
<file path=[Content_Types].xml><?xml version="1.0" encoding="utf-8"?>
<Types xmlns="http://schemas.openxmlformats.org/package/2006/content-types">
  <Override PartName="/xl/worksheets/sheet15.xml" ContentType="application/vnd.openxmlformats-officedocument.spreadsheetml.worksheet+xml"/>
  <Override PartName="/xl/worksheets/sheet16.xml" ContentType="application/vnd.openxmlformats-officedocument.spreadsheetml.worksheet+xml"/>
  <Default Extension="bin" ContentType="application/vnd.openxmlformats-officedocument.spreadsheetml.printerSettings"/>
  <Override PartName="/customXml/itemProps2.xml" ContentType="application/vnd.openxmlformats-officedocument.customXmlProperties+xml"/>
  <Override PartName="/customXml/itemProps3.xml" ContentType="application/vnd.openxmlformats-officedocument.customXmlProperties+xml"/>
  <Override PartName="/xl/worksheets/sheet9.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customXml/itemProps1.xml" ContentType="application/vnd.openxmlformats-officedocument.customXmlProperties+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xl/worksheets/sheet10.xml" ContentType="application/vnd.openxmlformats-officedocument.spreadsheetml.worksheet+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worksheets/sheet1.xml" ContentType="application/vnd.openxmlformats-officedocument.spreadsheetml.worksheet+xml"/>
  <Override PartName="/xl/externalLinks/externalLink1.xml" ContentType="application/vnd.openxmlformats-officedocument.spreadsheetml.externalLink+xml"/>
  <Default Extension="vml" ContentType="application/vnd.openxmlformats-officedocument.vmlDrawing"/>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7"/>
  <workbookPr codeName="ThisWorkbook" defaultThemeVersion="124226"/>
  <bookViews>
    <workbookView xWindow="90" yWindow="4725" windowWidth="28710" windowHeight="1635" tabRatio="903" activeTab="1"/>
  </bookViews>
  <sheets>
    <sheet name="Project Narrative" sheetId="37" r:id="rId1"/>
    <sheet name="Part I-Project Information" sheetId="7" r:id="rId2"/>
    <sheet name="Part II-Development Team" sheetId="18" r:id="rId3"/>
    <sheet name="Part III-Sources of Funds" sheetId="3" r:id="rId4"/>
    <sheet name="Part III B-USDA 538 Loan" sheetId="26" state="hidden" r:id="rId5"/>
    <sheet name="Part III C-HUD Insured Loan" sheetId="25" state="hidden" r:id="rId6"/>
    <sheet name="Part IV-Uses of Funds" sheetId="15" r:id="rId7"/>
    <sheet name="Part V-Utility Allowances" sheetId="29" r:id="rId8"/>
    <sheet name="Part VI-Revenues &amp; Expenses" sheetId="36" r:id="rId9"/>
    <sheet name="Part VII-Pro Forma" sheetId="8" r:id="rId10"/>
    <sheet name="Part VIII-Threshold Criteria" sheetId="6" r:id="rId11"/>
    <sheet name="Part IX A-Scoring Criteria" sheetId="11" r:id="rId12"/>
    <sheet name="Pt IX B-Super Proj Concept Narr" sheetId="41" r:id="rId13"/>
    <sheet name="Part X - Applicant Cert Ltr" sheetId="43" r:id="rId14"/>
    <sheet name="DCA Underwriting Assumptions" sheetId="24" r:id="rId15"/>
    <sheet name="DCA USE ONLY" sheetId="46" state="hidden" r:id="rId16"/>
  </sheets>
  <externalReferences>
    <externalReference r:id="rId17"/>
  </externalReferences>
  <definedNames>
    <definedName name="\P">#REF!</definedName>
    <definedName name="_704B">#REF!</definedName>
    <definedName name="_704C">#REF!</definedName>
    <definedName name="_CPI2">#REF!</definedName>
    <definedName name="AMORT">#REF!</definedName>
    <definedName name="AMORT1">#REF!</definedName>
    <definedName name="AMORT2">#REF!</definedName>
    <definedName name="AMORT2A">#REF!</definedName>
    <definedName name="AMORT3">#REF!</definedName>
    <definedName name="AMORT5">#REF!</definedName>
    <definedName name="AMORT7">#REF!</definedName>
    <definedName name="ASSETS">#REF!</definedName>
    <definedName name="BENEFITS2">#REF!</definedName>
    <definedName name="BENEFITS3">#REF!</definedName>
    <definedName name="colors">#REF!</definedName>
    <definedName name="CPI">#REF!</definedName>
    <definedName name="DEDUCT">#REF!</definedName>
    <definedName name="DISCOUNT">#REF!</definedName>
    <definedName name="EXP">#REF!</definedName>
    <definedName name="FACADE">#REF!</definedName>
    <definedName name="FINAN">[1]TOC:GEN!$J$1:$N$49</definedName>
    <definedName name="FLOW">#REF!</definedName>
    <definedName name="FUNDED">#REF!</definedName>
    <definedName name="IRR">#REF!</definedName>
    <definedName name="MaxBldrsOverhead">#REF!</definedName>
    <definedName name="MaxBldrsProfit">#REF!</definedName>
    <definedName name="MaxGenrlReqmtsPct">#REF!</definedName>
    <definedName name="MaxIdentIntDevFee">#REF!</definedName>
    <definedName name="MaxRehabConstrConting">#REF!</definedName>
    <definedName name="MINGAIN">#REF!</definedName>
    <definedName name="MINGAIN2">#REF!</definedName>
    <definedName name="MinLIHTCMonFeePerUnit">#REF!</definedName>
    <definedName name="MinNewContrReplResrvePerUnit">#REF!</definedName>
    <definedName name="MinOperExpPerUnit">#REF!</definedName>
    <definedName name="MinRehabConstrConting">#REF!</definedName>
    <definedName name="MinRehabReplResrvePerUnit">#REF!</definedName>
    <definedName name="MinRuralOperExp">#REF!</definedName>
    <definedName name="MinUSDAMonFee">#REF!</definedName>
    <definedName name="MOIRB3">#REF!</definedName>
    <definedName name="MOIRR1">#REF!</definedName>
    <definedName name="MOIRR2">#REF!</definedName>
    <definedName name="MOIRR3">#REF!</definedName>
    <definedName name="MOIRR4">#REF!</definedName>
    <definedName name="MOIRR5">#REF!</definedName>
    <definedName name="MOIRRB1">#REF!</definedName>
    <definedName name="MOIRRB2">#REF!</definedName>
    <definedName name="MOIRRB3">#REF!</definedName>
    <definedName name="MOIRRB4">#REF!</definedName>
    <definedName name="N">#REF!</definedName>
    <definedName name="NAME">#REF!</definedName>
    <definedName name="NewConstrConting">#REF!</definedName>
    <definedName name="NOI">#REF!</definedName>
    <definedName name="O">#REF!</definedName>
    <definedName name="_xlnm.Print_Area" localSheetId="14">'DCA Underwriting Assumptions'!$A$1:$R$71</definedName>
    <definedName name="_xlnm.Print_Area" localSheetId="2">'Part II-Development Team'!$A$1:$S$159</definedName>
    <definedName name="_xlnm.Print_Area" localSheetId="4">'Part III B-USDA 538 Loan'!$A$1:$F$111</definedName>
    <definedName name="_xlnm.Print_Area" localSheetId="5">'Part III C-HUD Insured Loan'!$A$1:$F$47</definedName>
    <definedName name="_xlnm.Print_Area" localSheetId="3">'Part III-Sources of Funds'!$A$1:$Q$56</definedName>
    <definedName name="_xlnm.Print_Area" localSheetId="1">'Part I-Project Information'!$A$1:$P$169</definedName>
    <definedName name="_xlnm.Print_Area" localSheetId="6">'Part IV-Uses of Funds'!$A$1:$T$177</definedName>
    <definedName name="_xlnm.Print_Area" localSheetId="11">'Part IX A-Scoring Criteria'!$A$1:$P$356</definedName>
    <definedName name="_xlnm.Print_Area" localSheetId="10">'Part VIII-Threshold Criteria'!$A$1:$Q$406</definedName>
    <definedName name="_xlnm.Print_Area" localSheetId="9">'Part VII-Pro Forma'!$A$1:$K$103</definedName>
    <definedName name="_xlnm.Print_Area" localSheetId="8">'Part VI-Revenues &amp; Expenses'!$A$1:$P$168</definedName>
    <definedName name="_xlnm.Print_Area" localSheetId="7">'Part V-Utility Allowances'!$A$1:$M$39</definedName>
    <definedName name="_xlnm.Print_Area" localSheetId="13">'Part X - Applicant Cert Ltr'!$A$1:$M$50</definedName>
    <definedName name="_xlnm.Print_Area" localSheetId="0">'Project Narrative'!$A$1:$A$23</definedName>
    <definedName name="_xlnm.Print_Area" localSheetId="12">'Pt IX B-Super Proj Concept Narr'!$A$1:$A$24</definedName>
    <definedName name="_xlnm.Print_Titles" localSheetId="2">'Part II-Development Team'!$1:$2</definedName>
    <definedName name="_xlnm.Print_Titles" localSheetId="4">'Part III B-USDA 538 Loan'!$58:$62</definedName>
    <definedName name="_xlnm.Print_Titles" localSheetId="5">'Part III C-HUD Insured Loan'!$50:$54</definedName>
    <definedName name="_xlnm.Print_Titles" localSheetId="3">'Part III-Sources of Funds'!$1:$2</definedName>
    <definedName name="_xlnm.Print_Titles" localSheetId="1">'Part I-Project Information'!$1:$2</definedName>
    <definedName name="_xlnm.Print_Titles" localSheetId="6">'Part IV-Uses of Funds'!$1:$3</definedName>
    <definedName name="_xlnm.Print_Titles" localSheetId="11">'Part IX A-Scoring Criteria'!$1:$7</definedName>
    <definedName name="_xlnm.Print_Titles" localSheetId="10">'Part VIII-Threshold Criteria'!$1:$6</definedName>
    <definedName name="_xlnm.Print_Titles" localSheetId="9">'Part VII-Pro Forma'!$1:$12</definedName>
    <definedName name="_xlnm.Print_Titles" localSheetId="8">'Part VI-Revenues &amp; Expenses'!$1:$2</definedName>
    <definedName name="_xlnm.Print_Titles" localSheetId="0">'Project Narrative'!$1:$4</definedName>
    <definedName name="_xlnm.Print_Titles" localSheetId="12">'Pt IX B-Super Proj Concept Narr'!$1:$5</definedName>
    <definedName name="REALLOC">#REF!</definedName>
    <definedName name="REALLOC2">#REF!</definedName>
    <definedName name="RENT">#REF!</definedName>
    <definedName name="RENTUP">#REF!</definedName>
    <definedName name="rf" localSheetId="8"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rf" localSheetId="13"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rf"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TAX_CREDIT">#REF!</definedName>
    <definedName name="TAX_CREDIT_3">#REF!</definedName>
    <definedName name="TAXPREF">#REF!</definedName>
    <definedName name="WORKCAP">#REF!</definedName>
    <definedName name="wrn.projection" localSheetId="8"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13"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6"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8"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13"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s>
  <calcPr calcId="125725" iterate="1" iterateCount="999"/>
</workbook>
</file>

<file path=xl/calcChain.xml><?xml version="1.0" encoding="utf-8"?>
<calcChain xmlns="http://schemas.openxmlformats.org/spreadsheetml/2006/main">
  <c r="A1683" i="46"/>
  <c r="A1680"/>
  <c r="A1679"/>
  <c r="P1673" l="1"/>
  <c r="P1672"/>
  <c r="P1671"/>
  <c r="P353" i="11"/>
  <c r="P355"/>
  <c r="P354"/>
  <c r="U1476" i="46"/>
  <c r="U1644"/>
  <c r="U1594"/>
  <c r="U1570"/>
  <c r="U1536"/>
  <c r="U1491"/>
  <c r="U1485"/>
  <c r="U1458"/>
  <c r="U1379"/>
  <c r="O1584"/>
  <c r="O1581"/>
  <c r="O1576"/>
  <c r="O1573"/>
  <c r="O1542"/>
  <c r="O1541"/>
  <c r="O1538"/>
  <c r="O1537"/>
  <c r="I1540"/>
  <c r="A4" i="41" l="1"/>
  <c r="A1681" i="46" s="1"/>
  <c r="J1638" l="1"/>
  <c r="I1638"/>
  <c r="J1637"/>
  <c r="I1637"/>
  <c r="J1636"/>
  <c r="I1636"/>
  <c r="J1635"/>
  <c r="I1635"/>
  <c r="J1634"/>
  <c r="I1634"/>
  <c r="F1638"/>
  <c r="E1638"/>
  <c r="F1637"/>
  <c r="E1637"/>
  <c r="F1636"/>
  <c r="E1636"/>
  <c r="F1635"/>
  <c r="E1635"/>
  <c r="F1634"/>
  <c r="E1634"/>
  <c r="J1625"/>
  <c r="I1625"/>
  <c r="J1624"/>
  <c r="I1624"/>
  <c r="J1623"/>
  <c r="I1623"/>
  <c r="J1622"/>
  <c r="I1622"/>
  <c r="J1621"/>
  <c r="I1621"/>
  <c r="F1625"/>
  <c r="E1625"/>
  <c r="F1624"/>
  <c r="E1624"/>
  <c r="F1623"/>
  <c r="E1623"/>
  <c r="F1622"/>
  <c r="E1622"/>
  <c r="F1621"/>
  <c r="E1621"/>
  <c r="J1612"/>
  <c r="I1612"/>
  <c r="J1611"/>
  <c r="I1611"/>
  <c r="J1610"/>
  <c r="I1610"/>
  <c r="J1609"/>
  <c r="I1609"/>
  <c r="J1608"/>
  <c r="I1608"/>
  <c r="F1608"/>
  <c r="F1609"/>
  <c r="F1610"/>
  <c r="F1611"/>
  <c r="F1612"/>
  <c r="E1609"/>
  <c r="G1609" s="1"/>
  <c r="E1610"/>
  <c r="G1610" s="1"/>
  <c r="E1611"/>
  <c r="E1612"/>
  <c r="E1608"/>
  <c r="G1649"/>
  <c r="G1647"/>
  <c r="F1632"/>
  <c r="E1632"/>
  <c r="F1631"/>
  <c r="E1631"/>
  <c r="F1630"/>
  <c r="E1630"/>
  <c r="F1629"/>
  <c r="E1629"/>
  <c r="F1628"/>
  <c r="E1628"/>
  <c r="J1632"/>
  <c r="I1632"/>
  <c r="J1631"/>
  <c r="I1631"/>
  <c r="J1630"/>
  <c r="I1630"/>
  <c r="J1629"/>
  <c r="I1629"/>
  <c r="J1628"/>
  <c r="I1628"/>
  <c r="J1619"/>
  <c r="I1619"/>
  <c r="J1618"/>
  <c r="I1618"/>
  <c r="J1617"/>
  <c r="I1617"/>
  <c r="J1616"/>
  <c r="I1616"/>
  <c r="J1615"/>
  <c r="I1615"/>
  <c r="F1619"/>
  <c r="E1619"/>
  <c r="F1618"/>
  <c r="E1618"/>
  <c r="F1617"/>
  <c r="E1617"/>
  <c r="F1616"/>
  <c r="E1616"/>
  <c r="F1615"/>
  <c r="E1615"/>
  <c r="J1606"/>
  <c r="I1606"/>
  <c r="J1605"/>
  <c r="I1605"/>
  <c r="J1604"/>
  <c r="I1604"/>
  <c r="J1603"/>
  <c r="I1603"/>
  <c r="J1602"/>
  <c r="I1602"/>
  <c r="F1602"/>
  <c r="F1603"/>
  <c r="F1604"/>
  <c r="F1605"/>
  <c r="F1606"/>
  <c r="E1603"/>
  <c r="E1604"/>
  <c r="G1604" s="1"/>
  <c r="E1605"/>
  <c r="E1606"/>
  <c r="G1606" s="1"/>
  <c r="E1602"/>
  <c r="K1598"/>
  <c r="I1598"/>
  <c r="D1598"/>
  <c r="O1595"/>
  <c r="K320" i="11"/>
  <c r="G320"/>
  <c r="K319"/>
  <c r="G319"/>
  <c r="K318"/>
  <c r="G318"/>
  <c r="K317"/>
  <c r="G317"/>
  <c r="K316"/>
  <c r="G316"/>
  <c r="K307"/>
  <c r="G307"/>
  <c r="K306"/>
  <c r="G306"/>
  <c r="K305"/>
  <c r="G305"/>
  <c r="K304"/>
  <c r="G304"/>
  <c r="K303"/>
  <c r="G303"/>
  <c r="K294"/>
  <c r="G294"/>
  <c r="K293"/>
  <c r="G293"/>
  <c r="K292"/>
  <c r="G292"/>
  <c r="K291"/>
  <c r="G291"/>
  <c r="K290"/>
  <c r="G290"/>
  <c r="E1560" i="46"/>
  <c r="H1553"/>
  <c r="L1529"/>
  <c r="E1530"/>
  <c r="E1529"/>
  <c r="I1528"/>
  <c r="L1511"/>
  <c r="L1512"/>
  <c r="L1513"/>
  <c r="L1514"/>
  <c r="L1515"/>
  <c r="L1516"/>
  <c r="L1517"/>
  <c r="L1518"/>
  <c r="L1519"/>
  <c r="L1520"/>
  <c r="L1510"/>
  <c r="I1511"/>
  <c r="I1512"/>
  <c r="I1513"/>
  <c r="I1514"/>
  <c r="I1515"/>
  <c r="I1516"/>
  <c r="I1517"/>
  <c r="I1518"/>
  <c r="I1519"/>
  <c r="I1520"/>
  <c r="I1510"/>
  <c r="J1493"/>
  <c r="L1470"/>
  <c r="L1469"/>
  <c r="L1451"/>
  <c r="O1450" s="1"/>
  <c r="K1446"/>
  <c r="I1446"/>
  <c r="L203" i="11"/>
  <c r="L1433" i="46"/>
  <c r="L1432"/>
  <c r="L1431"/>
  <c r="L1430"/>
  <c r="L1426"/>
  <c r="L1427"/>
  <c r="L1428"/>
  <c r="L1425"/>
  <c r="L1424"/>
  <c r="L1423"/>
  <c r="L1422"/>
  <c r="L1421"/>
  <c r="H1422"/>
  <c r="H1421"/>
  <c r="I1420"/>
  <c r="I1417"/>
  <c r="J1416"/>
  <c r="O1416" s="1"/>
  <c r="L1409"/>
  <c r="L1410"/>
  <c r="L1408"/>
  <c r="D1408"/>
  <c r="J1387"/>
  <c r="L1381"/>
  <c r="L1380"/>
  <c r="O1663"/>
  <c r="O1551"/>
  <c r="O1550"/>
  <c r="O1511"/>
  <c r="O1512"/>
  <c r="O1513"/>
  <c r="O1514"/>
  <c r="O1515"/>
  <c r="O1516"/>
  <c r="O1517"/>
  <c r="O1518"/>
  <c r="O1519"/>
  <c r="O1520"/>
  <c r="O1504"/>
  <c r="O1505"/>
  <c r="O1506"/>
  <c r="O1507"/>
  <c r="O1494"/>
  <c r="O1495"/>
  <c r="O1496"/>
  <c r="O1526"/>
  <c r="O1510"/>
  <c r="O1503"/>
  <c r="O1493"/>
  <c r="O1479"/>
  <c r="O1478"/>
  <c r="O1444"/>
  <c r="O1448"/>
  <c r="O1449"/>
  <c r="O1426"/>
  <c r="O1427"/>
  <c r="O1428"/>
  <c r="O1429"/>
  <c r="O1430"/>
  <c r="O1431"/>
  <c r="O1432"/>
  <c r="O1433"/>
  <c r="O1447"/>
  <c r="O1445"/>
  <c r="O1437"/>
  <c r="O1435"/>
  <c r="O1425"/>
  <c r="O1423"/>
  <c r="O1421"/>
  <c r="O1420"/>
  <c r="O1418"/>
  <c r="O1407"/>
  <c r="O1397"/>
  <c r="O1398"/>
  <c r="O1399"/>
  <c r="O1396"/>
  <c r="O1393"/>
  <c r="O1391"/>
  <c r="O1389"/>
  <c r="Q49" i="11"/>
  <c r="Q50"/>
  <c r="O1664" i="46"/>
  <c r="O1644"/>
  <c r="O1594"/>
  <c r="O1587"/>
  <c r="O1579"/>
  <c r="O1564"/>
  <c r="O1560"/>
  <c r="O1553"/>
  <c r="O1549"/>
  <c r="O1525"/>
  <c r="O1491"/>
  <c r="O1485"/>
  <c r="O1470"/>
  <c r="O1469"/>
  <c r="O1458"/>
  <c r="O1379"/>
  <c r="O1373"/>
  <c r="O1368"/>
  <c r="O1369"/>
  <c r="O1370"/>
  <c r="O1367"/>
  <c r="K1624" l="1"/>
  <c r="K1611"/>
  <c r="K1622"/>
  <c r="M304" i="11"/>
  <c r="G1602" i="46"/>
  <c r="G1617"/>
  <c r="G1631"/>
  <c r="G1622"/>
  <c r="K1625"/>
  <c r="K1635"/>
  <c r="G1611"/>
  <c r="K1637"/>
  <c r="K1638"/>
  <c r="K1609"/>
  <c r="M1609" s="1"/>
  <c r="G1635"/>
  <c r="K1608"/>
  <c r="G1624"/>
  <c r="M1624" s="1"/>
  <c r="G1637"/>
  <c r="M291" i="11"/>
  <c r="G1621" i="46"/>
  <c r="G1623"/>
  <c r="G1625"/>
  <c r="G1634"/>
  <c r="G1636"/>
  <c r="G1638"/>
  <c r="M1638" s="1"/>
  <c r="K1604"/>
  <c r="M1604" s="1"/>
  <c r="K1629"/>
  <c r="G1628"/>
  <c r="K1636"/>
  <c r="K1617"/>
  <c r="M1617" s="1"/>
  <c r="K1631"/>
  <c r="M1631" s="1"/>
  <c r="K1612"/>
  <c r="K1610"/>
  <c r="M1610" s="1"/>
  <c r="K1621"/>
  <c r="K1634"/>
  <c r="M1634" s="1"/>
  <c r="K1623"/>
  <c r="G1615"/>
  <c r="G1629"/>
  <c r="G1612"/>
  <c r="G1608"/>
  <c r="K1603"/>
  <c r="K1605"/>
  <c r="G1619"/>
  <c r="K1616"/>
  <c r="K1618"/>
  <c r="K1628"/>
  <c r="K1606"/>
  <c r="M1606" s="1"/>
  <c r="K1619"/>
  <c r="G1630"/>
  <c r="M290" i="11"/>
  <c r="G1605" i="46"/>
  <c r="K1602"/>
  <c r="G1616"/>
  <c r="G1618"/>
  <c r="K1615"/>
  <c r="G1632"/>
  <c r="M305" i="11"/>
  <c r="M307"/>
  <c r="K1630" i="46"/>
  <c r="K1632"/>
  <c r="G1603"/>
  <c r="M292" i="11"/>
  <c r="M294"/>
  <c r="M303"/>
  <c r="M318"/>
  <c r="M320"/>
  <c r="M319"/>
  <c r="M293"/>
  <c r="M317"/>
  <c r="M306"/>
  <c r="M316"/>
  <c r="O1365" i="46"/>
  <c r="O1548"/>
  <c r="O1468"/>
  <c r="O1559"/>
  <c r="L1521"/>
  <c r="A79" i="11"/>
  <c r="A80"/>
  <c r="A81"/>
  <c r="A78"/>
  <c r="A75"/>
  <c r="A73"/>
  <c r="P47"/>
  <c r="Q55"/>
  <c r="P1365" i="46"/>
  <c r="Q52" i="11"/>
  <c r="Q1369" i="46"/>
  <c r="Q1368"/>
  <c r="Q1367"/>
  <c r="A1499"/>
  <c r="A1489"/>
  <c r="M1611" l="1"/>
  <c r="M1622"/>
  <c r="M1602"/>
  <c r="M1625"/>
  <c r="M1635"/>
  <c r="O303" i="11"/>
  <c r="M1623" i="46"/>
  <c r="M1636"/>
  <c r="M1637"/>
  <c r="M1612"/>
  <c r="M1632"/>
  <c r="M1605"/>
  <c r="M1615"/>
  <c r="M1628"/>
  <c r="M1619"/>
  <c r="M1608"/>
  <c r="O316" i="11"/>
  <c r="O290"/>
  <c r="M1629" i="46"/>
  <c r="M1621"/>
  <c r="M1630"/>
  <c r="M1618"/>
  <c r="M1616"/>
  <c r="M1603"/>
  <c r="A1666"/>
  <c r="A1658"/>
  <c r="A1640"/>
  <c r="A1590"/>
  <c r="A1566"/>
  <c r="A1555"/>
  <c r="A1544"/>
  <c r="A1532"/>
  <c r="A1481"/>
  <c r="A1472"/>
  <c r="A1464"/>
  <c r="A1454"/>
  <c r="A1439"/>
  <c r="A1412"/>
  <c r="A1401"/>
  <c r="A1383"/>
  <c r="A1375"/>
  <c r="A1352"/>
  <c r="A1361"/>
  <c r="O1359"/>
  <c r="O1358"/>
  <c r="I1350"/>
  <c r="I1349"/>
  <c r="A1332"/>
  <c r="P1329"/>
  <c r="P1330"/>
  <c r="P1328"/>
  <c r="O1329"/>
  <c r="O1330"/>
  <c r="O1328"/>
  <c r="M1670"/>
  <c r="M1324" s="1"/>
  <c r="P1662"/>
  <c r="O1662"/>
  <c r="L1662" s="1"/>
  <c r="P1572"/>
  <c r="O1572"/>
  <c r="F1571"/>
  <c r="L1560"/>
  <c r="P1559"/>
  <c r="L1553"/>
  <c r="L1549"/>
  <c r="P1548"/>
  <c r="L1536"/>
  <c r="M1528"/>
  <c r="K1528"/>
  <c r="I1521"/>
  <c r="L1503"/>
  <c r="L1501"/>
  <c r="N1491"/>
  <c r="L1491"/>
  <c r="E1486"/>
  <c r="G1486" s="1"/>
  <c r="N1485"/>
  <c r="G1477"/>
  <c r="P1468"/>
  <c r="N1458"/>
  <c r="L1458"/>
  <c r="J1444"/>
  <c r="O1443" s="1"/>
  <c r="G1444"/>
  <c r="P1443"/>
  <c r="H1419"/>
  <c r="A1407"/>
  <c r="E1406"/>
  <c r="O1405" s="1"/>
  <c r="A1399"/>
  <c r="A1398"/>
  <c r="A1397"/>
  <c r="A1396"/>
  <c r="M1393"/>
  <c r="A1392"/>
  <c r="M1391"/>
  <c r="A1390"/>
  <c r="J1388"/>
  <c r="O1387" s="1"/>
  <c r="P1387"/>
  <c r="N1379"/>
  <c r="J1366"/>
  <c r="P1356"/>
  <c r="P1334"/>
  <c r="G1329" s="1"/>
  <c r="K1334"/>
  <c r="G1330" s="1"/>
  <c r="F1334"/>
  <c r="G1328" s="1"/>
  <c r="A1319"/>
  <c r="M352" i="11"/>
  <c r="K333"/>
  <c r="K1651" i="46" s="1"/>
  <c r="N1292"/>
  <c r="O1291"/>
  <c r="N1291"/>
  <c r="O1288"/>
  <c r="N1288"/>
  <c r="O1287"/>
  <c r="N1287"/>
  <c r="H1292"/>
  <c r="G1292"/>
  <c r="H1291"/>
  <c r="G1291"/>
  <c r="G1288"/>
  <c r="H1288"/>
  <c r="G1289"/>
  <c r="H1289"/>
  <c r="H1287"/>
  <c r="G1287"/>
  <c r="H1274"/>
  <c r="Q1261"/>
  <c r="H1261"/>
  <c r="P1260"/>
  <c r="N1260"/>
  <c r="M1251"/>
  <c r="E1251"/>
  <c r="Q1238"/>
  <c r="K1238"/>
  <c r="M1220"/>
  <c r="M1219"/>
  <c r="D1209"/>
  <c r="D1208"/>
  <c r="G1205"/>
  <c r="G1204"/>
  <c r="P1162"/>
  <c r="P1161"/>
  <c r="P1160"/>
  <c r="M1162"/>
  <c r="M1161"/>
  <c r="M1160"/>
  <c r="L1137"/>
  <c r="L1136"/>
  <c r="Q1137"/>
  <c r="P1137"/>
  <c r="Q1136"/>
  <c r="P1136"/>
  <c r="J1137"/>
  <c r="I1137"/>
  <c r="D1137"/>
  <c r="J1136"/>
  <c r="I1136"/>
  <c r="D1136"/>
  <c r="L1131"/>
  <c r="N1130"/>
  <c r="L1130"/>
  <c r="Q1130"/>
  <c r="Q1131"/>
  <c r="Q1129"/>
  <c r="L1129"/>
  <c r="G1115"/>
  <c r="K1114"/>
  <c r="G1114"/>
  <c r="K1105"/>
  <c r="K1104"/>
  <c r="K1094"/>
  <c r="K1093"/>
  <c r="Q1060"/>
  <c r="K1060"/>
  <c r="P1059"/>
  <c r="N1059"/>
  <c r="K1058"/>
  <c r="Q1035"/>
  <c r="P1035"/>
  <c r="Q1031"/>
  <c r="P1031"/>
  <c r="D1045"/>
  <c r="D1027"/>
  <c r="Q1025"/>
  <c r="P1025"/>
  <c r="M1024"/>
  <c r="M1021"/>
  <c r="Q1045"/>
  <c r="Q1024"/>
  <c r="Q1021"/>
  <c r="Q1004"/>
  <c r="M1004"/>
  <c r="O994"/>
  <c r="N994"/>
  <c r="O993"/>
  <c r="N993"/>
  <c r="J994"/>
  <c r="I994"/>
  <c r="J993"/>
  <c r="I993"/>
  <c r="E994"/>
  <c r="D994"/>
  <c r="E993"/>
  <c r="D993"/>
  <c r="Q990"/>
  <c r="Q989"/>
  <c r="Q988"/>
  <c r="Q987"/>
  <c r="M990"/>
  <c r="M989"/>
  <c r="M988"/>
  <c r="M987"/>
  <c r="K978"/>
  <c r="K979"/>
  <c r="K977"/>
  <c r="P975"/>
  <c r="K971"/>
  <c r="K965"/>
  <c r="A971"/>
  <c r="A965"/>
  <c r="A946"/>
  <c r="A947"/>
  <c r="A948"/>
  <c r="A1315"/>
  <c r="A1309"/>
  <c r="A1296"/>
  <c r="A1278"/>
  <c r="A1267"/>
  <c r="A1257"/>
  <c r="A1248"/>
  <c r="A1235"/>
  <c r="A1224"/>
  <c r="A1214"/>
  <c r="A1197"/>
  <c r="A1186"/>
  <c r="A1177"/>
  <c r="A1168"/>
  <c r="A1156"/>
  <c r="A1124"/>
  <c r="A1109"/>
  <c r="A1098"/>
  <c r="A1090"/>
  <c r="A1074"/>
  <c r="A1065"/>
  <c r="A1055"/>
  <c r="A1017"/>
  <c r="A999"/>
  <c r="A983"/>
  <c r="A945"/>
  <c r="J941"/>
  <c r="Q1299"/>
  <c r="Q1300"/>
  <c r="Q1301"/>
  <c r="Q1302"/>
  <c r="Q1303"/>
  <c r="Q1304"/>
  <c r="Q1305"/>
  <c r="Q1284"/>
  <c r="Q1285"/>
  <c r="Q1281"/>
  <c r="Q1282"/>
  <c r="Q1270"/>
  <c r="Q1271"/>
  <c r="Q1272"/>
  <c r="Q1273"/>
  <c r="Q1274"/>
  <c r="Q1262"/>
  <c r="Q1252"/>
  <c r="Q1253"/>
  <c r="Q1239"/>
  <c r="Q1240"/>
  <c r="Q1241"/>
  <c r="Q1242"/>
  <c r="Q1243"/>
  <c r="Q1244"/>
  <c r="Q1227"/>
  <c r="Q1228"/>
  <c r="Q1229"/>
  <c r="Q1230"/>
  <c r="Q1231"/>
  <c r="Q1217"/>
  <c r="Q1218"/>
  <c r="Q1199"/>
  <c r="Q1200"/>
  <c r="Q1202"/>
  <c r="Q1204"/>
  <c r="Q1205"/>
  <c r="Q1208"/>
  <c r="Q1209"/>
  <c r="Q1189"/>
  <c r="Q1190"/>
  <c r="Q1191"/>
  <c r="Q1192"/>
  <c r="Q1193"/>
  <c r="Q1181"/>
  <c r="Q1182"/>
  <c r="Q1172"/>
  <c r="Q1173"/>
  <c r="Q1163"/>
  <c r="Q1164"/>
  <c r="Q1148"/>
  <c r="Q1149"/>
  <c r="Q1150"/>
  <c r="Q1151"/>
  <c r="Q1152"/>
  <c r="Q1139"/>
  <c r="Q1140"/>
  <c r="Q1141"/>
  <c r="Q1142"/>
  <c r="Q1143"/>
  <c r="Q1144"/>
  <c r="Q1145"/>
  <c r="Q1146"/>
  <c r="Q1133"/>
  <c r="Q1127"/>
  <c r="Q1116"/>
  <c r="Q1117"/>
  <c r="Q1118"/>
  <c r="Q1119"/>
  <c r="Q1113"/>
  <c r="Q1105"/>
  <c r="Q1104"/>
  <c r="Q1103"/>
  <c r="Q1102"/>
  <c r="Q1093"/>
  <c r="Q1094"/>
  <c r="Q1077"/>
  <c r="Q1078"/>
  <c r="Q1079"/>
  <c r="Q1080"/>
  <c r="Q1081"/>
  <c r="Q1082"/>
  <c r="Q1083"/>
  <c r="Q1084"/>
  <c r="Q1085"/>
  <c r="Q1086"/>
  <c r="Q1068"/>
  <c r="Q1069"/>
  <c r="Q1070"/>
  <c r="Q1061"/>
  <c r="Q1058"/>
  <c r="Q1046"/>
  <c r="Q1047"/>
  <c r="Q1048"/>
  <c r="Q1049"/>
  <c r="Q1050"/>
  <c r="Q1040"/>
  <c r="Q1041"/>
  <c r="Q1042"/>
  <c r="M1043"/>
  <c r="L1043"/>
  <c r="M1042"/>
  <c r="L1042"/>
  <c r="M1041"/>
  <c r="L1041"/>
  <c r="M1040"/>
  <c r="L1040"/>
  <c r="G1043"/>
  <c r="G1042"/>
  <c r="G1041"/>
  <c r="G1040"/>
  <c r="Q1036"/>
  <c r="Q1037"/>
  <c r="Q1038"/>
  <c r="Q1032"/>
  <c r="Q1033"/>
  <c r="Q1034"/>
  <c r="Q1029"/>
  <c r="Q1030"/>
  <c r="Q1022"/>
  <c r="Q1023"/>
  <c r="Q1011"/>
  <c r="Q1012"/>
  <c r="Q1013"/>
  <c r="Q1005"/>
  <c r="Q1006"/>
  <c r="Q1007"/>
  <c r="Q1008"/>
  <c r="Q1009"/>
  <c r="Q1002"/>
  <c r="Q1003"/>
  <c r="Q995"/>
  <c r="Q940"/>
  <c r="A1313"/>
  <c r="A1307"/>
  <c r="A1294"/>
  <c r="A1276"/>
  <c r="A1264"/>
  <c r="A1255"/>
  <c r="A1246"/>
  <c r="A1233"/>
  <c r="A1222"/>
  <c r="A1212"/>
  <c r="A1195"/>
  <c r="A1184"/>
  <c r="A1175"/>
  <c r="A1166"/>
  <c r="A1154"/>
  <c r="A1121"/>
  <c r="A1107"/>
  <c r="A1096"/>
  <c r="A1088"/>
  <c r="A1072"/>
  <c r="A1063"/>
  <c r="A1053"/>
  <c r="A1015"/>
  <c r="A997"/>
  <c r="A981"/>
  <c r="A943"/>
  <c r="P1300"/>
  <c r="P1301"/>
  <c r="P1302"/>
  <c r="P1303"/>
  <c r="P1304"/>
  <c r="P1305"/>
  <c r="P1285"/>
  <c r="P1282"/>
  <c r="P1271"/>
  <c r="P1272"/>
  <c r="P1273"/>
  <c r="P1274"/>
  <c r="P1284"/>
  <c r="P1299"/>
  <c r="P1281"/>
  <c r="P1270"/>
  <c r="P1241"/>
  <c r="P1242"/>
  <c r="P1243"/>
  <c r="P1244"/>
  <c r="P1229"/>
  <c r="P1230"/>
  <c r="P1231"/>
  <c r="P1262"/>
  <c r="P1253"/>
  <c r="P1252"/>
  <c r="P1240"/>
  <c r="P1239"/>
  <c r="P1228"/>
  <c r="P1227"/>
  <c r="P1218"/>
  <c r="P1217"/>
  <c r="P1202"/>
  <c r="P1191"/>
  <c r="P1192"/>
  <c r="P1193"/>
  <c r="P1209"/>
  <c r="P1208"/>
  <c r="P1205"/>
  <c r="P1204"/>
  <c r="P1200"/>
  <c r="P1199"/>
  <c r="P1190"/>
  <c r="P1189"/>
  <c r="P1182"/>
  <c r="P1173"/>
  <c r="P1164"/>
  <c r="P1149"/>
  <c r="P1150"/>
  <c r="P1151"/>
  <c r="P1152"/>
  <c r="P1181"/>
  <c r="P1172"/>
  <c r="P1163"/>
  <c r="P1148"/>
  <c r="P1146"/>
  <c r="P1145"/>
  <c r="P1144"/>
  <c r="P1143"/>
  <c r="P1142"/>
  <c r="P1141"/>
  <c r="P1140"/>
  <c r="P1139"/>
  <c r="P1119"/>
  <c r="P1118"/>
  <c r="P1117"/>
  <c r="P1116"/>
  <c r="P1133"/>
  <c r="P1127"/>
  <c r="P1069"/>
  <c r="P1070"/>
  <c r="P1078"/>
  <c r="P1079"/>
  <c r="P1080"/>
  <c r="P1081"/>
  <c r="P1082"/>
  <c r="P1083"/>
  <c r="P1084"/>
  <c r="P1085"/>
  <c r="P1086"/>
  <c r="P1094"/>
  <c r="P1103"/>
  <c r="P1104"/>
  <c r="P1105"/>
  <c r="P1113"/>
  <c r="P1102"/>
  <c r="P1093"/>
  <c r="P1077"/>
  <c r="P1068"/>
  <c r="P1050"/>
  <c r="P1049"/>
  <c r="P1048"/>
  <c r="P1047"/>
  <c r="P1046"/>
  <c r="P1042"/>
  <c r="P1041"/>
  <c r="P1040"/>
  <c r="F1043"/>
  <c r="F1042"/>
  <c r="F1041"/>
  <c r="F1040"/>
  <c r="P1037"/>
  <c r="P1036"/>
  <c r="P1033"/>
  <c r="P1032"/>
  <c r="P1061"/>
  <c r="P1058"/>
  <c r="P1038"/>
  <c r="P1034"/>
  <c r="P1012"/>
  <c r="P1013"/>
  <c r="P1006"/>
  <c r="P1007"/>
  <c r="P1008"/>
  <c r="P1009"/>
  <c r="P1030"/>
  <c r="P1029"/>
  <c r="P1023"/>
  <c r="P1022"/>
  <c r="P1011"/>
  <c r="P1005"/>
  <c r="P1003"/>
  <c r="P1002"/>
  <c r="P995"/>
  <c r="Q952"/>
  <c r="P940"/>
  <c r="A918"/>
  <c r="A919"/>
  <c r="A920"/>
  <c r="A921"/>
  <c r="A922"/>
  <c r="A923"/>
  <c r="A924"/>
  <c r="A925"/>
  <c r="A926"/>
  <c r="A927"/>
  <c r="A928"/>
  <c r="A929"/>
  <c r="A930"/>
  <c r="A931"/>
  <c r="A932"/>
  <c r="A933"/>
  <c r="A934"/>
  <c r="A935"/>
  <c r="A936"/>
  <c r="P1311"/>
  <c r="P1298"/>
  <c r="P1280"/>
  <c r="P1269"/>
  <c r="P1259"/>
  <c r="P1250"/>
  <c r="P1237"/>
  <c r="P1226"/>
  <c r="P1216"/>
  <c r="P1198"/>
  <c r="P1188"/>
  <c r="P1179"/>
  <c r="P1170"/>
  <c r="P1158"/>
  <c r="P1126"/>
  <c r="P1111"/>
  <c r="P1100"/>
  <c r="P1092"/>
  <c r="P1076"/>
  <c r="P1067"/>
  <c r="P1057"/>
  <c r="P1019"/>
  <c r="P1000"/>
  <c r="P985"/>
  <c r="P973"/>
  <c r="P967"/>
  <c r="P950"/>
  <c r="P938"/>
  <c r="A917"/>
  <c r="P915"/>
  <c r="L961"/>
  <c r="G961"/>
  <c r="L960"/>
  <c r="G960"/>
  <c r="L959"/>
  <c r="G959"/>
  <c r="L958"/>
  <c r="G958"/>
  <c r="L957"/>
  <c r="G957"/>
  <c r="A910"/>
  <c r="O1634" l="1"/>
  <c r="O1621"/>
  <c r="O1608"/>
  <c r="O1602"/>
  <c r="O1615"/>
  <c r="O1628"/>
  <c r="P303" i="11"/>
  <c r="O1527" i="46"/>
  <c r="P1527"/>
  <c r="O1326"/>
  <c r="O1356"/>
  <c r="P1326"/>
  <c r="G907"/>
  <c r="A907"/>
  <c r="K889"/>
  <c r="J889"/>
  <c r="I889"/>
  <c r="H889"/>
  <c r="G889"/>
  <c r="F889"/>
  <c r="E889"/>
  <c r="D889"/>
  <c r="C889"/>
  <c r="B889"/>
  <c r="K860"/>
  <c r="J860"/>
  <c r="I860"/>
  <c r="H860"/>
  <c r="G860"/>
  <c r="F860"/>
  <c r="E860"/>
  <c r="D860"/>
  <c r="C860"/>
  <c r="B860"/>
  <c r="C831"/>
  <c r="D831"/>
  <c r="E831"/>
  <c r="F831"/>
  <c r="G831"/>
  <c r="H831"/>
  <c r="I831"/>
  <c r="J831"/>
  <c r="K831"/>
  <c r="B831"/>
  <c r="K813"/>
  <c r="K812"/>
  <c r="G813"/>
  <c r="G812"/>
  <c r="G809"/>
  <c r="B812"/>
  <c r="K882"/>
  <c r="J882"/>
  <c r="I882"/>
  <c r="H882"/>
  <c r="G882"/>
  <c r="F882"/>
  <c r="E882"/>
  <c r="D882"/>
  <c r="C882"/>
  <c r="B882"/>
  <c r="K880"/>
  <c r="J880"/>
  <c r="I880"/>
  <c r="H880"/>
  <c r="G880"/>
  <c r="F880"/>
  <c r="E880"/>
  <c r="D880"/>
  <c r="C880"/>
  <c r="B880"/>
  <c r="K879"/>
  <c r="J879"/>
  <c r="I879"/>
  <c r="H879"/>
  <c r="G879"/>
  <c r="F879"/>
  <c r="E879"/>
  <c r="D879"/>
  <c r="C879"/>
  <c r="B879"/>
  <c r="A867"/>
  <c r="A896" s="1"/>
  <c r="A859"/>
  <c r="A888" s="1"/>
  <c r="A858"/>
  <c r="A887" s="1"/>
  <c r="A857"/>
  <c r="A886" s="1"/>
  <c r="A856"/>
  <c r="A885" s="1"/>
  <c r="K853"/>
  <c r="J853"/>
  <c r="I853"/>
  <c r="H853"/>
  <c r="G853"/>
  <c r="F853"/>
  <c r="E853"/>
  <c r="D853"/>
  <c r="C853"/>
  <c r="B853"/>
  <c r="K851"/>
  <c r="J851"/>
  <c r="I851"/>
  <c r="H851"/>
  <c r="G851"/>
  <c r="F851"/>
  <c r="E851"/>
  <c r="D851"/>
  <c r="C851"/>
  <c r="B851"/>
  <c r="K850"/>
  <c r="J850"/>
  <c r="I850"/>
  <c r="H850"/>
  <c r="G850"/>
  <c r="F850"/>
  <c r="E850"/>
  <c r="D850"/>
  <c r="C850"/>
  <c r="B850"/>
  <c r="A837"/>
  <c r="A866" s="1"/>
  <c r="A895" s="1"/>
  <c r="A836"/>
  <c r="A865" s="1"/>
  <c r="A894" s="1"/>
  <c r="A835"/>
  <c r="A864" s="1"/>
  <c r="A893" s="1"/>
  <c r="B825"/>
  <c r="K824"/>
  <c r="J824"/>
  <c r="I824"/>
  <c r="H824"/>
  <c r="G824"/>
  <c r="F824"/>
  <c r="E824"/>
  <c r="D824"/>
  <c r="C824"/>
  <c r="B824"/>
  <c r="B823"/>
  <c r="K822"/>
  <c r="J822"/>
  <c r="I822"/>
  <c r="H822"/>
  <c r="G822"/>
  <c r="F822"/>
  <c r="E822"/>
  <c r="D822"/>
  <c r="C822"/>
  <c r="B822"/>
  <c r="K821"/>
  <c r="J821"/>
  <c r="I821"/>
  <c r="H821"/>
  <c r="G821"/>
  <c r="F821"/>
  <c r="E821"/>
  <c r="D821"/>
  <c r="C821"/>
  <c r="B821"/>
  <c r="B818"/>
  <c r="C817"/>
  <c r="C818" s="1"/>
  <c r="K811"/>
  <c r="K809"/>
  <c r="A805"/>
  <c r="K802"/>
  <c r="A802"/>
  <c r="P795"/>
  <c r="P776"/>
  <c r="P777"/>
  <c r="P775"/>
  <c r="K776"/>
  <c r="K775"/>
  <c r="K795"/>
  <c r="F795"/>
  <c r="F796"/>
  <c r="F797"/>
  <c r="F798"/>
  <c r="F786"/>
  <c r="F787"/>
  <c r="K794"/>
  <c r="K793"/>
  <c r="K792"/>
  <c r="K791"/>
  <c r="K785"/>
  <c r="K784"/>
  <c r="K783"/>
  <c r="K782"/>
  <c r="F794"/>
  <c r="F793"/>
  <c r="F792"/>
  <c r="F791"/>
  <c r="F785"/>
  <c r="F784"/>
  <c r="F783"/>
  <c r="F782"/>
  <c r="F776"/>
  <c r="F777"/>
  <c r="F778"/>
  <c r="F775"/>
  <c r="N777"/>
  <c r="I795"/>
  <c r="I785"/>
  <c r="B798"/>
  <c r="B787"/>
  <c r="B778"/>
  <c r="P769"/>
  <c r="O769"/>
  <c r="N769"/>
  <c r="M769"/>
  <c r="L769"/>
  <c r="K769"/>
  <c r="J769"/>
  <c r="I769"/>
  <c r="H769"/>
  <c r="G769"/>
  <c r="P768"/>
  <c r="O768"/>
  <c r="N768"/>
  <c r="M768"/>
  <c r="L768"/>
  <c r="K768"/>
  <c r="J768"/>
  <c r="I768"/>
  <c r="H768"/>
  <c r="G768"/>
  <c r="P764"/>
  <c r="O764"/>
  <c r="N764"/>
  <c r="M764"/>
  <c r="L764"/>
  <c r="K764"/>
  <c r="J764"/>
  <c r="I764"/>
  <c r="H764"/>
  <c r="G764"/>
  <c r="P763"/>
  <c r="O763"/>
  <c r="N763"/>
  <c r="M763"/>
  <c r="L763"/>
  <c r="K763"/>
  <c r="J763"/>
  <c r="I763"/>
  <c r="H763"/>
  <c r="G763"/>
  <c r="P759"/>
  <c r="O759"/>
  <c r="N759"/>
  <c r="M759"/>
  <c r="L759"/>
  <c r="K759"/>
  <c r="J759"/>
  <c r="I759"/>
  <c r="H759"/>
  <c r="G759"/>
  <c r="P758"/>
  <c r="O758"/>
  <c r="N758"/>
  <c r="M758"/>
  <c r="L758"/>
  <c r="K758"/>
  <c r="J758"/>
  <c r="I758"/>
  <c r="H758"/>
  <c r="G758"/>
  <c r="P754"/>
  <c r="O754"/>
  <c r="N754"/>
  <c r="M754"/>
  <c r="L754"/>
  <c r="K754"/>
  <c r="J754"/>
  <c r="I754"/>
  <c r="H754"/>
  <c r="G754"/>
  <c r="P753"/>
  <c r="O753"/>
  <c r="N753"/>
  <c r="M753"/>
  <c r="L753"/>
  <c r="K753"/>
  <c r="J753"/>
  <c r="I753"/>
  <c r="H753"/>
  <c r="G753"/>
  <c r="P749"/>
  <c r="O749"/>
  <c r="N749"/>
  <c r="M749"/>
  <c r="L749"/>
  <c r="K749"/>
  <c r="J749"/>
  <c r="I749"/>
  <c r="H749"/>
  <c r="G749"/>
  <c r="P748"/>
  <c r="O748"/>
  <c r="N748"/>
  <c r="M748"/>
  <c r="L748"/>
  <c r="K748"/>
  <c r="J748"/>
  <c r="I748"/>
  <c r="H748"/>
  <c r="G748"/>
  <c r="C769"/>
  <c r="C764"/>
  <c r="C759"/>
  <c r="C754"/>
  <c r="C749"/>
  <c r="C744"/>
  <c r="H743"/>
  <c r="I743"/>
  <c r="J743"/>
  <c r="K743"/>
  <c r="L743"/>
  <c r="M743"/>
  <c r="N743"/>
  <c r="O743"/>
  <c r="P743"/>
  <c r="H744"/>
  <c r="I744"/>
  <c r="J744"/>
  <c r="K744"/>
  <c r="L744"/>
  <c r="M744"/>
  <c r="N744"/>
  <c r="O744"/>
  <c r="P744"/>
  <c r="G744"/>
  <c r="G743"/>
  <c r="I715"/>
  <c r="J715"/>
  <c r="K715"/>
  <c r="L715"/>
  <c r="I716"/>
  <c r="J716"/>
  <c r="K716"/>
  <c r="L716"/>
  <c r="H716"/>
  <c r="H715"/>
  <c r="O645"/>
  <c r="O646"/>
  <c r="O647"/>
  <c r="O648"/>
  <c r="O649"/>
  <c r="O650"/>
  <c r="O651"/>
  <c r="O652"/>
  <c r="O653"/>
  <c r="O654"/>
  <c r="O655"/>
  <c r="O656"/>
  <c r="O657"/>
  <c r="O658"/>
  <c r="O659"/>
  <c r="O660"/>
  <c r="O661"/>
  <c r="O662"/>
  <c r="O663"/>
  <c r="O664"/>
  <c r="O665"/>
  <c r="O666"/>
  <c r="O667"/>
  <c r="O668"/>
  <c r="O669"/>
  <c r="O670"/>
  <c r="O671"/>
  <c r="O672"/>
  <c r="O673"/>
  <c r="O674"/>
  <c r="O675"/>
  <c r="O676"/>
  <c r="O677"/>
  <c r="O678"/>
  <c r="O679"/>
  <c r="O680"/>
  <c r="O681"/>
  <c r="N645"/>
  <c r="N646"/>
  <c r="N647"/>
  <c r="N648"/>
  <c r="N649"/>
  <c r="N650"/>
  <c r="N651"/>
  <c r="N652"/>
  <c r="N653"/>
  <c r="N654"/>
  <c r="N655"/>
  <c r="N656"/>
  <c r="N657"/>
  <c r="N658"/>
  <c r="N659"/>
  <c r="N660"/>
  <c r="N661"/>
  <c r="N662"/>
  <c r="N663"/>
  <c r="N664"/>
  <c r="N665"/>
  <c r="N666"/>
  <c r="N667"/>
  <c r="N668"/>
  <c r="N669"/>
  <c r="N670"/>
  <c r="N671"/>
  <c r="N672"/>
  <c r="N673"/>
  <c r="N674"/>
  <c r="N675"/>
  <c r="N676"/>
  <c r="N677"/>
  <c r="N678"/>
  <c r="N679"/>
  <c r="N680"/>
  <c r="N681"/>
  <c r="M645"/>
  <c r="M646"/>
  <c r="M647"/>
  <c r="M648"/>
  <c r="M649"/>
  <c r="M650"/>
  <c r="M651"/>
  <c r="M652"/>
  <c r="M653"/>
  <c r="M654"/>
  <c r="M655"/>
  <c r="M656"/>
  <c r="M657"/>
  <c r="M658"/>
  <c r="M659"/>
  <c r="M660"/>
  <c r="M661"/>
  <c r="M662"/>
  <c r="M663"/>
  <c r="M664"/>
  <c r="M665"/>
  <c r="M666"/>
  <c r="M667"/>
  <c r="M668"/>
  <c r="M669"/>
  <c r="M670"/>
  <c r="M671"/>
  <c r="M672"/>
  <c r="M673"/>
  <c r="M674"/>
  <c r="M675"/>
  <c r="M676"/>
  <c r="M677"/>
  <c r="M678"/>
  <c r="M679"/>
  <c r="M680"/>
  <c r="M681"/>
  <c r="J645"/>
  <c r="J646"/>
  <c r="J647"/>
  <c r="J648"/>
  <c r="J649"/>
  <c r="J650"/>
  <c r="J651"/>
  <c r="J652"/>
  <c r="J653"/>
  <c r="J654"/>
  <c r="J655"/>
  <c r="J656"/>
  <c r="J657"/>
  <c r="J658"/>
  <c r="J659"/>
  <c r="J660"/>
  <c r="J661"/>
  <c r="J662"/>
  <c r="J663"/>
  <c r="J664"/>
  <c r="J665"/>
  <c r="J666"/>
  <c r="J667"/>
  <c r="J668"/>
  <c r="J669"/>
  <c r="J670"/>
  <c r="J671"/>
  <c r="J672"/>
  <c r="J673"/>
  <c r="J674"/>
  <c r="J675"/>
  <c r="J676"/>
  <c r="J677"/>
  <c r="J678"/>
  <c r="J679"/>
  <c r="J680"/>
  <c r="J681"/>
  <c r="I645"/>
  <c r="I646"/>
  <c r="I647"/>
  <c r="I648"/>
  <c r="I649"/>
  <c r="I650"/>
  <c r="I651"/>
  <c r="I652"/>
  <c r="I653"/>
  <c r="I654"/>
  <c r="I655"/>
  <c r="I656"/>
  <c r="I657"/>
  <c r="I658"/>
  <c r="I659"/>
  <c r="I660"/>
  <c r="I661"/>
  <c r="I662"/>
  <c r="I663"/>
  <c r="I664"/>
  <c r="I665"/>
  <c r="I666"/>
  <c r="I667"/>
  <c r="I668"/>
  <c r="I669"/>
  <c r="I670"/>
  <c r="I671"/>
  <c r="I672"/>
  <c r="I673"/>
  <c r="I674"/>
  <c r="I675"/>
  <c r="I676"/>
  <c r="I677"/>
  <c r="I678"/>
  <c r="I679"/>
  <c r="I680"/>
  <c r="I681"/>
  <c r="H645"/>
  <c r="H646"/>
  <c r="H647"/>
  <c r="H648"/>
  <c r="H649"/>
  <c r="H650"/>
  <c r="H651"/>
  <c r="H652"/>
  <c r="H653"/>
  <c r="H654"/>
  <c r="H655"/>
  <c r="H656"/>
  <c r="H657"/>
  <c r="H658"/>
  <c r="H659"/>
  <c r="H660"/>
  <c r="H661"/>
  <c r="H662"/>
  <c r="H663"/>
  <c r="H664"/>
  <c r="H665"/>
  <c r="H666"/>
  <c r="H667"/>
  <c r="H668"/>
  <c r="H669"/>
  <c r="H670"/>
  <c r="H671"/>
  <c r="H672"/>
  <c r="H673"/>
  <c r="H674"/>
  <c r="H675"/>
  <c r="H676"/>
  <c r="H677"/>
  <c r="H678"/>
  <c r="H679"/>
  <c r="H680"/>
  <c r="H681"/>
  <c r="G645"/>
  <c r="G646"/>
  <c r="G647"/>
  <c r="G648"/>
  <c r="G649"/>
  <c r="G650"/>
  <c r="G651"/>
  <c r="G652"/>
  <c r="G653"/>
  <c r="G654"/>
  <c r="G655"/>
  <c r="G656"/>
  <c r="G657"/>
  <c r="G658"/>
  <c r="G659"/>
  <c r="G660"/>
  <c r="G661"/>
  <c r="G662"/>
  <c r="G663"/>
  <c r="G664"/>
  <c r="G665"/>
  <c r="G666"/>
  <c r="G667"/>
  <c r="G668"/>
  <c r="G669"/>
  <c r="G670"/>
  <c r="G671"/>
  <c r="G672"/>
  <c r="G673"/>
  <c r="G674"/>
  <c r="G675"/>
  <c r="G676"/>
  <c r="G677"/>
  <c r="G678"/>
  <c r="G679"/>
  <c r="G680"/>
  <c r="G681"/>
  <c r="F645"/>
  <c r="F646"/>
  <c r="F647"/>
  <c r="F648"/>
  <c r="F649"/>
  <c r="F650"/>
  <c r="F651"/>
  <c r="F652"/>
  <c r="F653"/>
  <c r="F654"/>
  <c r="F655"/>
  <c r="F656"/>
  <c r="F657"/>
  <c r="F658"/>
  <c r="F659"/>
  <c r="F660"/>
  <c r="F661"/>
  <c r="F662"/>
  <c r="F663"/>
  <c r="F664"/>
  <c r="F665"/>
  <c r="F666"/>
  <c r="F667"/>
  <c r="F668"/>
  <c r="F669"/>
  <c r="F670"/>
  <c r="F671"/>
  <c r="F672"/>
  <c r="F673"/>
  <c r="F674"/>
  <c r="F675"/>
  <c r="F676"/>
  <c r="F677"/>
  <c r="F678"/>
  <c r="F679"/>
  <c r="F680"/>
  <c r="F681"/>
  <c r="E645"/>
  <c r="E646"/>
  <c r="E647"/>
  <c r="E648"/>
  <c r="E649"/>
  <c r="E650"/>
  <c r="E651"/>
  <c r="E652"/>
  <c r="E653"/>
  <c r="E654"/>
  <c r="E655"/>
  <c r="E656"/>
  <c r="E657"/>
  <c r="E658"/>
  <c r="E659"/>
  <c r="E660"/>
  <c r="E661"/>
  <c r="E662"/>
  <c r="E663"/>
  <c r="E664"/>
  <c r="E665"/>
  <c r="E666"/>
  <c r="E667"/>
  <c r="E668"/>
  <c r="E669"/>
  <c r="E670"/>
  <c r="E671"/>
  <c r="E672"/>
  <c r="E673"/>
  <c r="E674"/>
  <c r="E675"/>
  <c r="E676"/>
  <c r="E677"/>
  <c r="E678"/>
  <c r="E679"/>
  <c r="E680"/>
  <c r="E681"/>
  <c r="D645"/>
  <c r="D646"/>
  <c r="D647"/>
  <c r="D648"/>
  <c r="D649"/>
  <c r="D650"/>
  <c r="D651"/>
  <c r="D652"/>
  <c r="D653"/>
  <c r="D654"/>
  <c r="D655"/>
  <c r="D656"/>
  <c r="D657"/>
  <c r="D658"/>
  <c r="D659"/>
  <c r="D660"/>
  <c r="D661"/>
  <c r="D662"/>
  <c r="D663"/>
  <c r="D664"/>
  <c r="D665"/>
  <c r="D666"/>
  <c r="D667"/>
  <c r="D668"/>
  <c r="D669"/>
  <c r="D670"/>
  <c r="D671"/>
  <c r="D672"/>
  <c r="D673"/>
  <c r="D674"/>
  <c r="D675"/>
  <c r="D676"/>
  <c r="D677"/>
  <c r="D678"/>
  <c r="D679"/>
  <c r="D680"/>
  <c r="D681"/>
  <c r="C645"/>
  <c r="C646"/>
  <c r="C647"/>
  <c r="C648"/>
  <c r="C649"/>
  <c r="C650"/>
  <c r="C651"/>
  <c r="C652"/>
  <c r="C653"/>
  <c r="C654"/>
  <c r="C655"/>
  <c r="C656"/>
  <c r="C657"/>
  <c r="C658"/>
  <c r="C659"/>
  <c r="C660"/>
  <c r="C661"/>
  <c r="C662"/>
  <c r="C663"/>
  <c r="C664"/>
  <c r="C665"/>
  <c r="C666"/>
  <c r="C667"/>
  <c r="C668"/>
  <c r="C669"/>
  <c r="C670"/>
  <c r="C671"/>
  <c r="C672"/>
  <c r="C673"/>
  <c r="C674"/>
  <c r="C675"/>
  <c r="C676"/>
  <c r="C677"/>
  <c r="C678"/>
  <c r="C679"/>
  <c r="C680"/>
  <c r="C681"/>
  <c r="B645"/>
  <c r="B646"/>
  <c r="B647"/>
  <c r="B648"/>
  <c r="B649"/>
  <c r="B650"/>
  <c r="B651"/>
  <c r="B652"/>
  <c r="B653"/>
  <c r="B654"/>
  <c r="B655"/>
  <c r="B656"/>
  <c r="B657"/>
  <c r="B658"/>
  <c r="B659"/>
  <c r="B660"/>
  <c r="B661"/>
  <c r="B662"/>
  <c r="B663"/>
  <c r="B664"/>
  <c r="B665"/>
  <c r="B666"/>
  <c r="B667"/>
  <c r="B668"/>
  <c r="B669"/>
  <c r="B670"/>
  <c r="B671"/>
  <c r="B672"/>
  <c r="B673"/>
  <c r="B674"/>
  <c r="B675"/>
  <c r="B676"/>
  <c r="B677"/>
  <c r="B678"/>
  <c r="B679"/>
  <c r="B680"/>
  <c r="B681"/>
  <c r="O644"/>
  <c r="N644"/>
  <c r="M644"/>
  <c r="J644"/>
  <c r="I644"/>
  <c r="H644"/>
  <c r="G644"/>
  <c r="F644"/>
  <c r="E644"/>
  <c r="D644"/>
  <c r="C644"/>
  <c r="B644"/>
  <c r="G640"/>
  <c r="G639"/>
  <c r="P1621" l="1"/>
  <c r="P1615"/>
  <c r="D817"/>
  <c r="E817" s="1"/>
  <c r="E818" s="1"/>
  <c r="C825"/>
  <c r="B819"/>
  <c r="C819"/>
  <c r="C820" s="1"/>
  <c r="C823"/>
  <c r="F799"/>
  <c r="K796"/>
  <c r="F788"/>
  <c r="K786"/>
  <c r="F779"/>
  <c r="P778"/>
  <c r="K777"/>
  <c r="T772"/>
  <c r="P770"/>
  <c r="O770"/>
  <c r="N770"/>
  <c r="M770"/>
  <c r="L770"/>
  <c r="K770"/>
  <c r="J770"/>
  <c r="I770"/>
  <c r="H770"/>
  <c r="G770"/>
  <c r="T767"/>
  <c r="P765"/>
  <c r="O765"/>
  <c r="N765"/>
  <c r="M765"/>
  <c r="L765"/>
  <c r="K765"/>
  <c r="J765"/>
  <c r="I765"/>
  <c r="H765"/>
  <c r="G765"/>
  <c r="T762"/>
  <c r="P760"/>
  <c r="O760"/>
  <c r="N760"/>
  <c r="M760"/>
  <c r="L760"/>
  <c r="K760"/>
  <c r="J760"/>
  <c r="I760"/>
  <c r="H760"/>
  <c r="G760"/>
  <c r="T757"/>
  <c r="P755"/>
  <c r="O755"/>
  <c r="N755"/>
  <c r="M755"/>
  <c r="L755"/>
  <c r="K755"/>
  <c r="J755"/>
  <c r="I755"/>
  <c r="H755"/>
  <c r="G755"/>
  <c r="T752"/>
  <c r="P750"/>
  <c r="O750"/>
  <c r="N750"/>
  <c r="M750"/>
  <c r="L750"/>
  <c r="K750"/>
  <c r="J750"/>
  <c r="I750"/>
  <c r="H750"/>
  <c r="G750"/>
  <c r="T747"/>
  <c r="P745"/>
  <c r="O745"/>
  <c r="N745"/>
  <c r="M745"/>
  <c r="L745"/>
  <c r="K745"/>
  <c r="J745"/>
  <c r="I745"/>
  <c r="H745"/>
  <c r="G745"/>
  <c r="T742"/>
  <c r="T740"/>
  <c r="T738"/>
  <c r="T727"/>
  <c r="T717"/>
  <c r="M716"/>
  <c r="M715"/>
  <c r="T705"/>
  <c r="T701"/>
  <c r="T697"/>
  <c r="T687"/>
  <c r="F682"/>
  <c r="E682"/>
  <c r="HM681"/>
  <c r="HL681"/>
  <c r="HK681"/>
  <c r="HJ681"/>
  <c r="HI681"/>
  <c r="HH681"/>
  <c r="HG681"/>
  <c r="HF681"/>
  <c r="HE681"/>
  <c r="HD681"/>
  <c r="HC681"/>
  <c r="HB681"/>
  <c r="HA681"/>
  <c r="GZ681"/>
  <c r="GY681"/>
  <c r="GX681"/>
  <c r="GW681"/>
  <c r="GV681"/>
  <c r="GU681"/>
  <c r="GT681"/>
  <c r="GS681"/>
  <c r="GR681"/>
  <c r="GQ681"/>
  <c r="GP681"/>
  <c r="GO681"/>
  <c r="GN681"/>
  <c r="GM681"/>
  <c r="GL681"/>
  <c r="GK681"/>
  <c r="GJ681"/>
  <c r="GI681"/>
  <c r="GH681"/>
  <c r="GG681"/>
  <c r="GF681"/>
  <c r="GE681"/>
  <c r="GD681"/>
  <c r="GC681"/>
  <c r="GB681"/>
  <c r="GA681"/>
  <c r="FZ681"/>
  <c r="FY681"/>
  <c r="FX681"/>
  <c r="FW681"/>
  <c r="FV681"/>
  <c r="FU681"/>
  <c r="FT681"/>
  <c r="FS681"/>
  <c r="FR681"/>
  <c r="FQ681"/>
  <c r="FP681"/>
  <c r="FO681"/>
  <c r="FN681"/>
  <c r="FM681"/>
  <c r="FL681"/>
  <c r="FK681"/>
  <c r="FJ681"/>
  <c r="FI681"/>
  <c r="FH681"/>
  <c r="FG681"/>
  <c r="FF681"/>
  <c r="FE681"/>
  <c r="FD681"/>
  <c r="FC681"/>
  <c r="FB681"/>
  <c r="FA681"/>
  <c r="EZ681"/>
  <c r="EY681"/>
  <c r="EX681"/>
  <c r="EW681"/>
  <c r="EV681"/>
  <c r="EU681"/>
  <c r="ET681"/>
  <c r="ES681"/>
  <c r="ER681"/>
  <c r="EQ681"/>
  <c r="EP681"/>
  <c r="EO681"/>
  <c r="EN681"/>
  <c r="EM681"/>
  <c r="EL681"/>
  <c r="EK681"/>
  <c r="EJ681"/>
  <c r="EI681"/>
  <c r="EH681"/>
  <c r="EG681"/>
  <c r="EF681"/>
  <c r="EE681"/>
  <c r="ED681"/>
  <c r="EC681"/>
  <c r="EB681"/>
  <c r="EA681"/>
  <c r="DZ681"/>
  <c r="DY681"/>
  <c r="DX681"/>
  <c r="DW681"/>
  <c r="DV681"/>
  <c r="DU681"/>
  <c r="DT681"/>
  <c r="DS681"/>
  <c r="DR681"/>
  <c r="DQ681"/>
  <c r="DP681"/>
  <c r="DO681"/>
  <c r="DN681"/>
  <c r="DM681"/>
  <c r="DL681"/>
  <c r="DK681"/>
  <c r="DJ681"/>
  <c r="DI681"/>
  <c r="DH681"/>
  <c r="DG681"/>
  <c r="DF681"/>
  <c r="DE681"/>
  <c r="DD681"/>
  <c r="DC681"/>
  <c r="DB681"/>
  <c r="DA681"/>
  <c r="CZ681"/>
  <c r="CY681"/>
  <c r="CX681"/>
  <c r="CW681"/>
  <c r="CV681"/>
  <c r="CU681"/>
  <c r="CT681"/>
  <c r="CS681"/>
  <c r="CR681"/>
  <c r="CQ681"/>
  <c r="CP681"/>
  <c r="CO681"/>
  <c r="CN681"/>
  <c r="CM681"/>
  <c r="CL681"/>
  <c r="CK681"/>
  <c r="CJ681"/>
  <c r="CI681"/>
  <c r="CH681"/>
  <c r="CG681"/>
  <c r="CF681"/>
  <c r="CE681"/>
  <c r="CD681"/>
  <c r="CC681"/>
  <c r="CB681"/>
  <c r="CA681"/>
  <c r="BZ681"/>
  <c r="BY681"/>
  <c r="BX681"/>
  <c r="BW681"/>
  <c r="BV681"/>
  <c r="BU681"/>
  <c r="BT681"/>
  <c r="BS681"/>
  <c r="BR681"/>
  <c r="BQ681"/>
  <c r="BP681"/>
  <c r="BO681"/>
  <c r="BN681"/>
  <c r="BM681"/>
  <c r="BL681"/>
  <c r="BK681"/>
  <c r="BJ681"/>
  <c r="BI681"/>
  <c r="BH681"/>
  <c r="BG681"/>
  <c r="BF681"/>
  <c r="BE681"/>
  <c r="BD681"/>
  <c r="BC681"/>
  <c r="BB681"/>
  <c r="BA681"/>
  <c r="AZ681"/>
  <c r="AY681"/>
  <c r="AX681"/>
  <c r="AW681"/>
  <c r="AV681"/>
  <c r="AU681"/>
  <c r="AT681"/>
  <c r="AS681"/>
  <c r="AR681"/>
  <c r="AQ681"/>
  <c r="AP681"/>
  <c r="AO681"/>
  <c r="AN681"/>
  <c r="AM681"/>
  <c r="AL681"/>
  <c r="AK681"/>
  <c r="AJ681"/>
  <c r="AI681"/>
  <c r="AH681"/>
  <c r="AG681"/>
  <c r="AF681"/>
  <c r="AE681"/>
  <c r="AD681"/>
  <c r="AC681"/>
  <c r="AB681"/>
  <c r="AA681"/>
  <c r="Z681"/>
  <c r="Y681"/>
  <c r="X681"/>
  <c r="W681"/>
  <c r="V681"/>
  <c r="P681"/>
  <c r="K681"/>
  <c r="L681" s="1"/>
  <c r="A681"/>
  <c r="HM680"/>
  <c r="HL680"/>
  <c r="HK680"/>
  <c r="HJ680"/>
  <c r="HI680"/>
  <c r="HH680"/>
  <c r="HG680"/>
  <c r="HF680"/>
  <c r="HE680"/>
  <c r="HD680"/>
  <c r="HC680"/>
  <c r="HB680"/>
  <c r="HA680"/>
  <c r="GZ680"/>
  <c r="GY680"/>
  <c r="GX680"/>
  <c r="GW680"/>
  <c r="GV680"/>
  <c r="GU680"/>
  <c r="GT680"/>
  <c r="GS680"/>
  <c r="GR680"/>
  <c r="GQ680"/>
  <c r="GP680"/>
  <c r="GO680"/>
  <c r="GN680"/>
  <c r="GM680"/>
  <c r="GL680"/>
  <c r="GK680"/>
  <c r="GJ680"/>
  <c r="GI680"/>
  <c r="GH680"/>
  <c r="GG680"/>
  <c r="GF680"/>
  <c r="GE680"/>
  <c r="GD680"/>
  <c r="GC680"/>
  <c r="GB680"/>
  <c r="GA680"/>
  <c r="FZ680"/>
  <c r="FY680"/>
  <c r="FX680"/>
  <c r="FW680"/>
  <c r="FV680"/>
  <c r="FU680"/>
  <c r="FT680"/>
  <c r="FS680"/>
  <c r="FR680"/>
  <c r="FQ680"/>
  <c r="FP680"/>
  <c r="FO680"/>
  <c r="FN680"/>
  <c r="FM680"/>
  <c r="FL680"/>
  <c r="FK680"/>
  <c r="FJ680"/>
  <c r="FI680"/>
  <c r="FH680"/>
  <c r="FG680"/>
  <c r="FF680"/>
  <c r="FE680"/>
  <c r="FD680"/>
  <c r="FC680"/>
  <c r="FB680"/>
  <c r="FA680"/>
  <c r="EZ680"/>
  <c r="EY680"/>
  <c r="EX680"/>
  <c r="EW680"/>
  <c r="EV680"/>
  <c r="EU680"/>
  <c r="ET680"/>
  <c r="ES680"/>
  <c r="ER680"/>
  <c r="EQ680"/>
  <c r="EP680"/>
  <c r="EO680"/>
  <c r="EN680"/>
  <c r="EM680"/>
  <c r="EL680"/>
  <c r="EK680"/>
  <c r="EJ680"/>
  <c r="EI680"/>
  <c r="EH680"/>
  <c r="EG680"/>
  <c r="EF680"/>
  <c r="EE680"/>
  <c r="ED680"/>
  <c r="EC680"/>
  <c r="EB680"/>
  <c r="EA680"/>
  <c r="DZ680"/>
  <c r="DY680"/>
  <c r="DX680"/>
  <c r="DW680"/>
  <c r="DV680"/>
  <c r="DU680"/>
  <c r="DT680"/>
  <c r="DS680"/>
  <c r="DR680"/>
  <c r="DQ680"/>
  <c r="DP680"/>
  <c r="DO680"/>
  <c r="DN680"/>
  <c r="DM680"/>
  <c r="DL680"/>
  <c r="DK680"/>
  <c r="DJ680"/>
  <c r="DI680"/>
  <c r="DH680"/>
  <c r="DG680"/>
  <c r="DF680"/>
  <c r="DE680"/>
  <c r="DD680"/>
  <c r="DC680"/>
  <c r="DB680"/>
  <c r="DA680"/>
  <c r="CZ680"/>
  <c r="CY680"/>
  <c r="CX680"/>
  <c r="CW680"/>
  <c r="CV680"/>
  <c r="CU680"/>
  <c r="CT680"/>
  <c r="CS680"/>
  <c r="CR680"/>
  <c r="CQ680"/>
  <c r="CP680"/>
  <c r="CO680"/>
  <c r="CN680"/>
  <c r="CM680"/>
  <c r="CL680"/>
  <c r="CK680"/>
  <c r="CJ680"/>
  <c r="CI680"/>
  <c r="CH680"/>
  <c r="CG680"/>
  <c r="CF680"/>
  <c r="CE680"/>
  <c r="CD680"/>
  <c r="CC680"/>
  <c r="CB680"/>
  <c r="CA680"/>
  <c r="BZ680"/>
  <c r="BY680"/>
  <c r="BX680"/>
  <c r="BW680"/>
  <c r="BV680"/>
  <c r="BU680"/>
  <c r="BT680"/>
  <c r="BS680"/>
  <c r="BR680"/>
  <c r="BQ680"/>
  <c r="BP680"/>
  <c r="BO680"/>
  <c r="BN680"/>
  <c r="BM680"/>
  <c r="BL680"/>
  <c r="BK680"/>
  <c r="BJ680"/>
  <c r="BI680"/>
  <c r="BH680"/>
  <c r="BG680"/>
  <c r="BF680"/>
  <c r="BE680"/>
  <c r="BD680"/>
  <c r="BC680"/>
  <c r="BB680"/>
  <c r="BA680"/>
  <c r="AZ680"/>
  <c r="AY680"/>
  <c r="AX680"/>
  <c r="AW680"/>
  <c r="AV680"/>
  <c r="AU680"/>
  <c r="AT680"/>
  <c r="AS680"/>
  <c r="AR680"/>
  <c r="AQ680"/>
  <c r="AP680"/>
  <c r="AO680"/>
  <c r="AN680"/>
  <c r="AM680"/>
  <c r="AL680"/>
  <c r="AK680"/>
  <c r="AJ680"/>
  <c r="AI680"/>
  <c r="AH680"/>
  <c r="AG680"/>
  <c r="AF680"/>
  <c r="AE680"/>
  <c r="AD680"/>
  <c r="AC680"/>
  <c r="AB680"/>
  <c r="AA680"/>
  <c r="Z680"/>
  <c r="Y680"/>
  <c r="X680"/>
  <c r="W680"/>
  <c r="V680"/>
  <c r="P680"/>
  <c r="K680"/>
  <c r="L680" s="1"/>
  <c r="A680"/>
  <c r="HM679"/>
  <c r="HL679"/>
  <c r="HK679"/>
  <c r="HJ679"/>
  <c r="HI679"/>
  <c r="HH679"/>
  <c r="HG679"/>
  <c r="HF679"/>
  <c r="HE679"/>
  <c r="HD679"/>
  <c r="HC679"/>
  <c r="HB679"/>
  <c r="HA679"/>
  <c r="GZ679"/>
  <c r="GY679"/>
  <c r="GX679"/>
  <c r="GW679"/>
  <c r="GV679"/>
  <c r="GU679"/>
  <c r="GT679"/>
  <c r="GS679"/>
  <c r="GR679"/>
  <c r="GQ679"/>
  <c r="GP679"/>
  <c r="GO679"/>
  <c r="GN679"/>
  <c r="GM679"/>
  <c r="GL679"/>
  <c r="GK679"/>
  <c r="GJ679"/>
  <c r="GI679"/>
  <c r="GH679"/>
  <c r="GG679"/>
  <c r="GF679"/>
  <c r="GE679"/>
  <c r="GD679"/>
  <c r="GC679"/>
  <c r="GB679"/>
  <c r="GA679"/>
  <c r="FZ679"/>
  <c r="FY679"/>
  <c r="FX679"/>
  <c r="FW679"/>
  <c r="FV679"/>
  <c r="FU679"/>
  <c r="FT679"/>
  <c r="FS679"/>
  <c r="FR679"/>
  <c r="FQ679"/>
  <c r="FP679"/>
  <c r="FO679"/>
  <c r="FN679"/>
  <c r="FM679"/>
  <c r="FL679"/>
  <c r="FK679"/>
  <c r="FJ679"/>
  <c r="FI679"/>
  <c r="FH679"/>
  <c r="FG679"/>
  <c r="FF679"/>
  <c r="FE679"/>
  <c r="FD679"/>
  <c r="FC679"/>
  <c r="FB679"/>
  <c r="FA679"/>
  <c r="EZ679"/>
  <c r="EY679"/>
  <c r="EX679"/>
  <c r="EW679"/>
  <c r="EV679"/>
  <c r="EU679"/>
  <c r="ET679"/>
  <c r="ES679"/>
  <c r="ER679"/>
  <c r="EQ679"/>
  <c r="EP679"/>
  <c r="EO679"/>
  <c r="EN679"/>
  <c r="EM679"/>
  <c r="EL679"/>
  <c r="EK679"/>
  <c r="EJ679"/>
  <c r="EI679"/>
  <c r="EH679"/>
  <c r="EG679"/>
  <c r="EF679"/>
  <c r="EE679"/>
  <c r="ED679"/>
  <c r="EC679"/>
  <c r="EB679"/>
  <c r="EA679"/>
  <c r="DZ679"/>
  <c r="DY679"/>
  <c r="DX679"/>
  <c r="DW679"/>
  <c r="DV679"/>
  <c r="DU679"/>
  <c r="DT679"/>
  <c r="DS679"/>
  <c r="DR679"/>
  <c r="DQ679"/>
  <c r="DP679"/>
  <c r="DO679"/>
  <c r="DN679"/>
  <c r="DM679"/>
  <c r="DL679"/>
  <c r="DK679"/>
  <c r="DJ679"/>
  <c r="DI679"/>
  <c r="DH679"/>
  <c r="DG679"/>
  <c r="DF679"/>
  <c r="DE679"/>
  <c r="DD679"/>
  <c r="DC679"/>
  <c r="DB679"/>
  <c r="DA679"/>
  <c r="CZ679"/>
  <c r="CY679"/>
  <c r="CX679"/>
  <c r="CW679"/>
  <c r="CV679"/>
  <c r="CU679"/>
  <c r="CT679"/>
  <c r="CS679"/>
  <c r="CR679"/>
  <c r="CQ679"/>
  <c r="CP679"/>
  <c r="CO679"/>
  <c r="CN679"/>
  <c r="CM679"/>
  <c r="CL679"/>
  <c r="CK679"/>
  <c r="CJ679"/>
  <c r="CI679"/>
  <c r="CH679"/>
  <c r="CG679"/>
  <c r="CF679"/>
  <c r="CE679"/>
  <c r="CD679"/>
  <c r="CC679"/>
  <c r="CB679"/>
  <c r="CA679"/>
  <c r="BZ679"/>
  <c r="BY679"/>
  <c r="BX679"/>
  <c r="BW679"/>
  <c r="BV679"/>
  <c r="BU679"/>
  <c r="BT679"/>
  <c r="BS679"/>
  <c r="BR679"/>
  <c r="BQ679"/>
  <c r="BP679"/>
  <c r="BO679"/>
  <c r="BN679"/>
  <c r="BM679"/>
  <c r="BL679"/>
  <c r="BK679"/>
  <c r="BJ679"/>
  <c r="BI679"/>
  <c r="BH679"/>
  <c r="BG679"/>
  <c r="BF679"/>
  <c r="BE679"/>
  <c r="BD679"/>
  <c r="BC679"/>
  <c r="BB679"/>
  <c r="BA679"/>
  <c r="AZ679"/>
  <c r="AY679"/>
  <c r="AX679"/>
  <c r="AW679"/>
  <c r="AV679"/>
  <c r="AU679"/>
  <c r="AT679"/>
  <c r="AS679"/>
  <c r="AR679"/>
  <c r="AQ679"/>
  <c r="AP679"/>
  <c r="AO679"/>
  <c r="AN679"/>
  <c r="AM679"/>
  <c r="AL679"/>
  <c r="AK679"/>
  <c r="AJ679"/>
  <c r="AI679"/>
  <c r="AH679"/>
  <c r="AG679"/>
  <c r="AF679"/>
  <c r="AE679"/>
  <c r="AD679"/>
  <c r="AC679"/>
  <c r="AB679"/>
  <c r="AA679"/>
  <c r="Z679"/>
  <c r="Y679"/>
  <c r="X679"/>
  <c r="W679"/>
  <c r="V679"/>
  <c r="P679"/>
  <c r="K679"/>
  <c r="L679" s="1"/>
  <c r="A679"/>
  <c r="HM678"/>
  <c r="HL678"/>
  <c r="HK678"/>
  <c r="HJ678"/>
  <c r="HI678"/>
  <c r="HH678"/>
  <c r="HG678"/>
  <c r="HF678"/>
  <c r="HE678"/>
  <c r="HD678"/>
  <c r="HC678"/>
  <c r="HB678"/>
  <c r="HA678"/>
  <c r="GZ678"/>
  <c r="GY678"/>
  <c r="GX678"/>
  <c r="GW678"/>
  <c r="GV678"/>
  <c r="GU678"/>
  <c r="GT678"/>
  <c r="GS678"/>
  <c r="GR678"/>
  <c r="GQ678"/>
  <c r="GP678"/>
  <c r="GO678"/>
  <c r="GN678"/>
  <c r="GM678"/>
  <c r="GL678"/>
  <c r="GK678"/>
  <c r="GJ678"/>
  <c r="GI678"/>
  <c r="GH678"/>
  <c r="GG678"/>
  <c r="GF678"/>
  <c r="GE678"/>
  <c r="GD678"/>
  <c r="GC678"/>
  <c r="GB678"/>
  <c r="GA678"/>
  <c r="FZ678"/>
  <c r="FY678"/>
  <c r="FX678"/>
  <c r="FW678"/>
  <c r="FV678"/>
  <c r="FU678"/>
  <c r="FT678"/>
  <c r="FS678"/>
  <c r="FR678"/>
  <c r="FQ678"/>
  <c r="FP678"/>
  <c r="FO678"/>
  <c r="FN678"/>
  <c r="FM678"/>
  <c r="FL678"/>
  <c r="FK678"/>
  <c r="FJ678"/>
  <c r="FI678"/>
  <c r="FH678"/>
  <c r="FG678"/>
  <c r="FF678"/>
  <c r="FE678"/>
  <c r="FD678"/>
  <c r="FC678"/>
  <c r="FB678"/>
  <c r="FA678"/>
  <c r="EZ678"/>
  <c r="EY678"/>
  <c r="EX678"/>
  <c r="EW678"/>
  <c r="EV678"/>
  <c r="EU678"/>
  <c r="ET678"/>
  <c r="ES678"/>
  <c r="ER678"/>
  <c r="EQ678"/>
  <c r="EP678"/>
  <c r="EO678"/>
  <c r="EN678"/>
  <c r="EM678"/>
  <c r="EL678"/>
  <c r="EK678"/>
  <c r="EJ678"/>
  <c r="EI678"/>
  <c r="EH678"/>
  <c r="EG678"/>
  <c r="EF678"/>
  <c r="EE678"/>
  <c r="ED678"/>
  <c r="EC678"/>
  <c r="EB678"/>
  <c r="EA678"/>
  <c r="DZ678"/>
  <c r="DY678"/>
  <c r="DX678"/>
  <c r="DW678"/>
  <c r="DV678"/>
  <c r="DU678"/>
  <c r="DT678"/>
  <c r="DS678"/>
  <c r="DR678"/>
  <c r="DQ678"/>
  <c r="DP678"/>
  <c r="DO678"/>
  <c r="DN678"/>
  <c r="DM678"/>
  <c r="DL678"/>
  <c r="DK678"/>
  <c r="DJ678"/>
  <c r="DI678"/>
  <c r="DH678"/>
  <c r="DG678"/>
  <c r="DF678"/>
  <c r="DE678"/>
  <c r="DD678"/>
  <c r="DC678"/>
  <c r="DB678"/>
  <c r="DA678"/>
  <c r="CZ678"/>
  <c r="CY678"/>
  <c r="CX678"/>
  <c r="CW678"/>
  <c r="CV678"/>
  <c r="CU678"/>
  <c r="CT678"/>
  <c r="CS678"/>
  <c r="CR678"/>
  <c r="CQ678"/>
  <c r="CP678"/>
  <c r="CO678"/>
  <c r="CN678"/>
  <c r="CM678"/>
  <c r="CL678"/>
  <c r="CK678"/>
  <c r="CJ678"/>
  <c r="CI678"/>
  <c r="CH678"/>
  <c r="CG678"/>
  <c r="CF678"/>
  <c r="CE678"/>
  <c r="CD678"/>
  <c r="CC678"/>
  <c r="CB678"/>
  <c r="CA678"/>
  <c r="BZ678"/>
  <c r="BY678"/>
  <c r="BX678"/>
  <c r="BW678"/>
  <c r="BV678"/>
  <c r="BU678"/>
  <c r="BT678"/>
  <c r="BS678"/>
  <c r="BR678"/>
  <c r="BQ678"/>
  <c r="BP678"/>
  <c r="BO678"/>
  <c r="BN678"/>
  <c r="BM678"/>
  <c r="BL678"/>
  <c r="BK678"/>
  <c r="BJ678"/>
  <c r="BI678"/>
  <c r="BH678"/>
  <c r="BG678"/>
  <c r="BF678"/>
  <c r="BE678"/>
  <c r="BD678"/>
  <c r="BC678"/>
  <c r="BB678"/>
  <c r="BA678"/>
  <c r="AZ678"/>
  <c r="AY678"/>
  <c r="AX678"/>
  <c r="AW678"/>
  <c r="AV678"/>
  <c r="AU678"/>
  <c r="AT678"/>
  <c r="AS678"/>
  <c r="AR678"/>
  <c r="AQ678"/>
  <c r="AP678"/>
  <c r="AO678"/>
  <c r="AN678"/>
  <c r="AM678"/>
  <c r="AL678"/>
  <c r="AK678"/>
  <c r="AJ678"/>
  <c r="AI678"/>
  <c r="AH678"/>
  <c r="AG678"/>
  <c r="AF678"/>
  <c r="AE678"/>
  <c r="AD678"/>
  <c r="AC678"/>
  <c r="AB678"/>
  <c r="AA678"/>
  <c r="Z678"/>
  <c r="Y678"/>
  <c r="X678"/>
  <c r="W678"/>
  <c r="V678"/>
  <c r="P678"/>
  <c r="K678"/>
  <c r="L678" s="1"/>
  <c r="A678"/>
  <c r="HM677"/>
  <c r="HL677"/>
  <c r="HK677"/>
  <c r="HJ677"/>
  <c r="HI677"/>
  <c r="HH677"/>
  <c r="HG677"/>
  <c r="HF677"/>
  <c r="HE677"/>
  <c r="HD677"/>
  <c r="HC677"/>
  <c r="HB677"/>
  <c r="HA677"/>
  <c r="GZ677"/>
  <c r="GY677"/>
  <c r="GX677"/>
  <c r="GW677"/>
  <c r="GV677"/>
  <c r="GU677"/>
  <c r="GT677"/>
  <c r="GS677"/>
  <c r="GR677"/>
  <c r="GQ677"/>
  <c r="GP677"/>
  <c r="GO677"/>
  <c r="GN677"/>
  <c r="GM677"/>
  <c r="GL677"/>
  <c r="GK677"/>
  <c r="GJ677"/>
  <c r="GI677"/>
  <c r="GH677"/>
  <c r="GG677"/>
  <c r="GF677"/>
  <c r="GE677"/>
  <c r="GD677"/>
  <c r="GC677"/>
  <c r="GB677"/>
  <c r="GA677"/>
  <c r="FZ677"/>
  <c r="FY677"/>
  <c r="FX677"/>
  <c r="FW677"/>
  <c r="FV677"/>
  <c r="FU677"/>
  <c r="FT677"/>
  <c r="FS677"/>
  <c r="FR677"/>
  <c r="FQ677"/>
  <c r="FP677"/>
  <c r="FO677"/>
  <c r="FN677"/>
  <c r="FM677"/>
  <c r="FL677"/>
  <c r="FK677"/>
  <c r="FJ677"/>
  <c r="FI677"/>
  <c r="FH677"/>
  <c r="FG677"/>
  <c r="FF677"/>
  <c r="FE677"/>
  <c r="FD677"/>
  <c r="FC677"/>
  <c r="FB677"/>
  <c r="FA677"/>
  <c r="EZ677"/>
  <c r="EY677"/>
  <c r="EX677"/>
  <c r="EW677"/>
  <c r="EV677"/>
  <c r="EU677"/>
  <c r="ET677"/>
  <c r="ES677"/>
  <c r="ER677"/>
  <c r="EQ677"/>
  <c r="EP677"/>
  <c r="EO677"/>
  <c r="EN677"/>
  <c r="EM677"/>
  <c r="EL677"/>
  <c r="EK677"/>
  <c r="EJ677"/>
  <c r="EI677"/>
  <c r="EH677"/>
  <c r="EG677"/>
  <c r="EF677"/>
  <c r="EE677"/>
  <c r="ED677"/>
  <c r="EC677"/>
  <c r="EB677"/>
  <c r="EA677"/>
  <c r="DZ677"/>
  <c r="DY677"/>
  <c r="DX677"/>
  <c r="DW677"/>
  <c r="DV677"/>
  <c r="DU677"/>
  <c r="DT677"/>
  <c r="DS677"/>
  <c r="DR677"/>
  <c r="DQ677"/>
  <c r="DP677"/>
  <c r="DO677"/>
  <c r="DN677"/>
  <c r="DM677"/>
  <c r="DL677"/>
  <c r="DK677"/>
  <c r="DJ677"/>
  <c r="DI677"/>
  <c r="DH677"/>
  <c r="DG677"/>
  <c r="DF677"/>
  <c r="DE677"/>
  <c r="DD677"/>
  <c r="DC677"/>
  <c r="DB677"/>
  <c r="DA677"/>
  <c r="CZ677"/>
  <c r="CY677"/>
  <c r="CX677"/>
  <c r="CW677"/>
  <c r="CV677"/>
  <c r="CU677"/>
  <c r="CT677"/>
  <c r="CS677"/>
  <c r="CR677"/>
  <c r="CQ677"/>
  <c r="CP677"/>
  <c r="CO677"/>
  <c r="CN677"/>
  <c r="CM677"/>
  <c r="CL677"/>
  <c r="CK677"/>
  <c r="CJ677"/>
  <c r="CI677"/>
  <c r="CH677"/>
  <c r="CG677"/>
  <c r="CF677"/>
  <c r="CE677"/>
  <c r="CD677"/>
  <c r="CC677"/>
  <c r="CB677"/>
  <c r="CA677"/>
  <c r="BZ677"/>
  <c r="BY677"/>
  <c r="BX677"/>
  <c r="BW677"/>
  <c r="BV677"/>
  <c r="BU677"/>
  <c r="BT677"/>
  <c r="BS677"/>
  <c r="BR677"/>
  <c r="BQ677"/>
  <c r="BP677"/>
  <c r="BO677"/>
  <c r="BN677"/>
  <c r="BM677"/>
  <c r="BL677"/>
  <c r="BK677"/>
  <c r="BJ677"/>
  <c r="BI677"/>
  <c r="BH677"/>
  <c r="BG677"/>
  <c r="BF677"/>
  <c r="BE677"/>
  <c r="BD677"/>
  <c r="BC677"/>
  <c r="BB677"/>
  <c r="BA677"/>
  <c r="AZ677"/>
  <c r="AY677"/>
  <c r="AX677"/>
  <c r="AW677"/>
  <c r="AV677"/>
  <c r="AU677"/>
  <c r="AT677"/>
  <c r="AS677"/>
  <c r="AR677"/>
  <c r="AQ677"/>
  <c r="AP677"/>
  <c r="AO677"/>
  <c r="AN677"/>
  <c r="AM677"/>
  <c r="AL677"/>
  <c r="AK677"/>
  <c r="AJ677"/>
  <c r="AI677"/>
  <c r="AH677"/>
  <c r="AG677"/>
  <c r="AF677"/>
  <c r="AE677"/>
  <c r="AD677"/>
  <c r="AC677"/>
  <c r="AB677"/>
  <c r="AA677"/>
  <c r="Z677"/>
  <c r="Y677"/>
  <c r="X677"/>
  <c r="W677"/>
  <c r="V677"/>
  <c r="P677"/>
  <c r="K677"/>
  <c r="L677" s="1"/>
  <c r="A677"/>
  <c r="HM676"/>
  <c r="HL676"/>
  <c r="HK676"/>
  <c r="HJ676"/>
  <c r="HI676"/>
  <c r="HH676"/>
  <c r="HG676"/>
  <c r="HF676"/>
  <c r="HE676"/>
  <c r="HD676"/>
  <c r="HC676"/>
  <c r="HB676"/>
  <c r="HA676"/>
  <c r="GZ676"/>
  <c r="GY676"/>
  <c r="GX676"/>
  <c r="GW676"/>
  <c r="GV676"/>
  <c r="GU676"/>
  <c r="GT676"/>
  <c r="GS676"/>
  <c r="GR676"/>
  <c r="GQ676"/>
  <c r="GP676"/>
  <c r="GO676"/>
  <c r="GN676"/>
  <c r="GM676"/>
  <c r="GL676"/>
  <c r="GK676"/>
  <c r="GJ676"/>
  <c r="GI676"/>
  <c r="GH676"/>
  <c r="GG676"/>
  <c r="GF676"/>
  <c r="GE676"/>
  <c r="GD676"/>
  <c r="GC676"/>
  <c r="GB676"/>
  <c r="GA676"/>
  <c r="FZ676"/>
  <c r="FY676"/>
  <c r="FX676"/>
  <c r="FW676"/>
  <c r="FV676"/>
  <c r="FU676"/>
  <c r="FT676"/>
  <c r="FS676"/>
  <c r="FR676"/>
  <c r="FQ676"/>
  <c r="FP676"/>
  <c r="FO676"/>
  <c r="FN676"/>
  <c r="FM676"/>
  <c r="FL676"/>
  <c r="FK676"/>
  <c r="FJ676"/>
  <c r="FI676"/>
  <c r="FH676"/>
  <c r="FG676"/>
  <c r="FF676"/>
  <c r="FE676"/>
  <c r="FD676"/>
  <c r="FC676"/>
  <c r="FB676"/>
  <c r="FA676"/>
  <c r="EZ676"/>
  <c r="EY676"/>
  <c r="EX676"/>
  <c r="EW676"/>
  <c r="EV676"/>
  <c r="EU676"/>
  <c r="ET676"/>
  <c r="ES676"/>
  <c r="ER676"/>
  <c r="EQ676"/>
  <c r="EP676"/>
  <c r="EO676"/>
  <c r="EN676"/>
  <c r="EM676"/>
  <c r="EL676"/>
  <c r="EK676"/>
  <c r="EJ676"/>
  <c r="EI676"/>
  <c r="EH676"/>
  <c r="EG676"/>
  <c r="EF676"/>
  <c r="EE676"/>
  <c r="ED676"/>
  <c r="EC676"/>
  <c r="EB676"/>
  <c r="EA676"/>
  <c r="DZ676"/>
  <c r="DY676"/>
  <c r="DX676"/>
  <c r="DW676"/>
  <c r="DV676"/>
  <c r="DU676"/>
  <c r="DT676"/>
  <c r="DS676"/>
  <c r="DR676"/>
  <c r="DQ676"/>
  <c r="DP676"/>
  <c r="DO676"/>
  <c r="DN676"/>
  <c r="DM676"/>
  <c r="DL676"/>
  <c r="DK676"/>
  <c r="DJ676"/>
  <c r="DI676"/>
  <c r="DH676"/>
  <c r="DG676"/>
  <c r="DF676"/>
  <c r="DE676"/>
  <c r="DD676"/>
  <c r="DC676"/>
  <c r="DB676"/>
  <c r="DA676"/>
  <c r="CZ676"/>
  <c r="CY676"/>
  <c r="CX676"/>
  <c r="CW676"/>
  <c r="CV676"/>
  <c r="CU676"/>
  <c r="CT676"/>
  <c r="CS676"/>
  <c r="CR676"/>
  <c r="CQ676"/>
  <c r="CP676"/>
  <c r="CO676"/>
  <c r="CN676"/>
  <c r="CM676"/>
  <c r="CL676"/>
  <c r="CK676"/>
  <c r="CJ676"/>
  <c r="CI676"/>
  <c r="CH676"/>
  <c r="CG676"/>
  <c r="CF676"/>
  <c r="CE676"/>
  <c r="CD676"/>
  <c r="CC676"/>
  <c r="CB676"/>
  <c r="CA676"/>
  <c r="BZ676"/>
  <c r="BY676"/>
  <c r="BX676"/>
  <c r="BW676"/>
  <c r="BV676"/>
  <c r="BU676"/>
  <c r="BT676"/>
  <c r="BS676"/>
  <c r="BR676"/>
  <c r="BQ676"/>
  <c r="BP676"/>
  <c r="BO676"/>
  <c r="BN676"/>
  <c r="BM676"/>
  <c r="BL676"/>
  <c r="BK676"/>
  <c r="BJ676"/>
  <c r="BI676"/>
  <c r="BH676"/>
  <c r="BG676"/>
  <c r="BF676"/>
  <c r="BE676"/>
  <c r="BD676"/>
  <c r="BC676"/>
  <c r="BB676"/>
  <c r="BA676"/>
  <c r="AZ676"/>
  <c r="AY676"/>
  <c r="AX676"/>
  <c r="AW676"/>
  <c r="AV676"/>
  <c r="AU676"/>
  <c r="AT676"/>
  <c r="AS676"/>
  <c r="AR676"/>
  <c r="AQ676"/>
  <c r="AP676"/>
  <c r="AO676"/>
  <c r="AN676"/>
  <c r="AM676"/>
  <c r="AL676"/>
  <c r="AK676"/>
  <c r="AJ676"/>
  <c r="AI676"/>
  <c r="AH676"/>
  <c r="AG676"/>
  <c r="AF676"/>
  <c r="AE676"/>
  <c r="AD676"/>
  <c r="AC676"/>
  <c r="AB676"/>
  <c r="AA676"/>
  <c r="Z676"/>
  <c r="Y676"/>
  <c r="X676"/>
  <c r="W676"/>
  <c r="V676"/>
  <c r="P676"/>
  <c r="K676"/>
  <c r="L676" s="1"/>
  <c r="A676"/>
  <c r="HM675"/>
  <c r="HL675"/>
  <c r="HK675"/>
  <c r="HJ675"/>
  <c r="HI675"/>
  <c r="HH675"/>
  <c r="HG675"/>
  <c r="HF675"/>
  <c r="HE675"/>
  <c r="HD675"/>
  <c r="HC675"/>
  <c r="HB675"/>
  <c r="HA675"/>
  <c r="GZ675"/>
  <c r="GY675"/>
  <c r="GX675"/>
  <c r="GW675"/>
  <c r="GV675"/>
  <c r="GU675"/>
  <c r="GT675"/>
  <c r="GS675"/>
  <c r="GR675"/>
  <c r="GQ675"/>
  <c r="GP675"/>
  <c r="GO675"/>
  <c r="GN675"/>
  <c r="GM675"/>
  <c r="GL675"/>
  <c r="GK675"/>
  <c r="GJ675"/>
  <c r="GI675"/>
  <c r="GH675"/>
  <c r="GG675"/>
  <c r="GF675"/>
  <c r="GE675"/>
  <c r="GD675"/>
  <c r="GC675"/>
  <c r="GB675"/>
  <c r="GA675"/>
  <c r="FZ675"/>
  <c r="FY675"/>
  <c r="FX675"/>
  <c r="FW675"/>
  <c r="FV675"/>
  <c r="FU675"/>
  <c r="FT675"/>
  <c r="FS675"/>
  <c r="FR675"/>
  <c r="FQ675"/>
  <c r="FP675"/>
  <c r="FO675"/>
  <c r="FN675"/>
  <c r="FM675"/>
  <c r="FL675"/>
  <c r="FK675"/>
  <c r="FJ675"/>
  <c r="FI675"/>
  <c r="FH675"/>
  <c r="FG675"/>
  <c r="FF675"/>
  <c r="FE675"/>
  <c r="FD675"/>
  <c r="FC675"/>
  <c r="FB675"/>
  <c r="FA675"/>
  <c r="EZ675"/>
  <c r="EY675"/>
  <c r="EX675"/>
  <c r="EW675"/>
  <c r="EV675"/>
  <c r="EU675"/>
  <c r="ET675"/>
  <c r="ES675"/>
  <c r="ER675"/>
  <c r="EQ675"/>
  <c r="EP675"/>
  <c r="EO675"/>
  <c r="EN675"/>
  <c r="EM675"/>
  <c r="EL675"/>
  <c r="EK675"/>
  <c r="EJ675"/>
  <c r="EI675"/>
  <c r="EH675"/>
  <c r="EG675"/>
  <c r="EF675"/>
  <c r="EE675"/>
  <c r="ED675"/>
  <c r="EC675"/>
  <c r="EB675"/>
  <c r="EA675"/>
  <c r="DZ675"/>
  <c r="DY675"/>
  <c r="DX675"/>
  <c r="DW675"/>
  <c r="DV675"/>
  <c r="DU675"/>
  <c r="DT675"/>
  <c r="DS675"/>
  <c r="DR675"/>
  <c r="DQ675"/>
  <c r="DP675"/>
  <c r="DO675"/>
  <c r="DN675"/>
  <c r="DM675"/>
  <c r="DL675"/>
  <c r="DK675"/>
  <c r="DJ675"/>
  <c r="DI675"/>
  <c r="DH675"/>
  <c r="DG675"/>
  <c r="DF675"/>
  <c r="DE675"/>
  <c r="DD675"/>
  <c r="DC675"/>
  <c r="DB675"/>
  <c r="DA675"/>
  <c r="CZ675"/>
  <c r="CY675"/>
  <c r="CX675"/>
  <c r="CW675"/>
  <c r="CV675"/>
  <c r="CU675"/>
  <c r="CT675"/>
  <c r="CS675"/>
  <c r="CR675"/>
  <c r="CQ675"/>
  <c r="CP675"/>
  <c r="CO675"/>
  <c r="CN675"/>
  <c r="CM675"/>
  <c r="CL675"/>
  <c r="CK675"/>
  <c r="CJ675"/>
  <c r="CI675"/>
  <c r="CH675"/>
  <c r="CG675"/>
  <c r="CF675"/>
  <c r="CE675"/>
  <c r="CD675"/>
  <c r="CC675"/>
  <c r="CB675"/>
  <c r="CA675"/>
  <c r="BZ675"/>
  <c r="BY675"/>
  <c r="BX675"/>
  <c r="BW675"/>
  <c r="BV675"/>
  <c r="BU675"/>
  <c r="BT675"/>
  <c r="BS675"/>
  <c r="BR675"/>
  <c r="BQ675"/>
  <c r="BP675"/>
  <c r="BO675"/>
  <c r="BN675"/>
  <c r="BM675"/>
  <c r="BL675"/>
  <c r="BK675"/>
  <c r="BJ675"/>
  <c r="BI675"/>
  <c r="BH675"/>
  <c r="BG675"/>
  <c r="BF675"/>
  <c r="BE675"/>
  <c r="BD675"/>
  <c r="BC675"/>
  <c r="BB675"/>
  <c r="BA675"/>
  <c r="AZ675"/>
  <c r="AY675"/>
  <c r="AX675"/>
  <c r="AW675"/>
  <c r="AV675"/>
  <c r="AU675"/>
  <c r="AT675"/>
  <c r="AS675"/>
  <c r="AR675"/>
  <c r="AQ675"/>
  <c r="AP675"/>
  <c r="AO675"/>
  <c r="AN675"/>
  <c r="AM675"/>
  <c r="AL675"/>
  <c r="AK675"/>
  <c r="AJ675"/>
  <c r="AI675"/>
  <c r="AH675"/>
  <c r="AG675"/>
  <c r="AF675"/>
  <c r="AE675"/>
  <c r="AD675"/>
  <c r="AC675"/>
  <c r="AB675"/>
  <c r="AA675"/>
  <c r="Z675"/>
  <c r="Y675"/>
  <c r="X675"/>
  <c r="W675"/>
  <c r="V675"/>
  <c r="P675"/>
  <c r="K675"/>
  <c r="L675" s="1"/>
  <c r="A675"/>
  <c r="HM674"/>
  <c r="HL674"/>
  <c r="HK674"/>
  <c r="HJ674"/>
  <c r="HI674"/>
  <c r="HH674"/>
  <c r="HG674"/>
  <c r="HF674"/>
  <c r="HE674"/>
  <c r="HD674"/>
  <c r="HC674"/>
  <c r="HB674"/>
  <c r="HA674"/>
  <c r="GZ674"/>
  <c r="GY674"/>
  <c r="GX674"/>
  <c r="GW674"/>
  <c r="GV674"/>
  <c r="GU674"/>
  <c r="GT674"/>
  <c r="GS674"/>
  <c r="GR674"/>
  <c r="GQ674"/>
  <c r="GP674"/>
  <c r="GO674"/>
  <c r="GN674"/>
  <c r="GM674"/>
  <c r="GL674"/>
  <c r="GK674"/>
  <c r="GJ674"/>
  <c r="GI674"/>
  <c r="GH674"/>
  <c r="GG674"/>
  <c r="GF674"/>
  <c r="GE674"/>
  <c r="GD674"/>
  <c r="GC674"/>
  <c r="GB674"/>
  <c r="GA674"/>
  <c r="FZ674"/>
  <c r="FY674"/>
  <c r="FX674"/>
  <c r="FW674"/>
  <c r="FV674"/>
  <c r="FU674"/>
  <c r="FT674"/>
  <c r="FS674"/>
  <c r="FR674"/>
  <c r="FQ674"/>
  <c r="FP674"/>
  <c r="FO674"/>
  <c r="FN674"/>
  <c r="FM674"/>
  <c r="FL674"/>
  <c r="FK674"/>
  <c r="FJ674"/>
  <c r="FI674"/>
  <c r="FH674"/>
  <c r="FG674"/>
  <c r="FF674"/>
  <c r="FE674"/>
  <c r="FD674"/>
  <c r="FC674"/>
  <c r="FB674"/>
  <c r="FA674"/>
  <c r="EZ674"/>
  <c r="EY674"/>
  <c r="EX674"/>
  <c r="EW674"/>
  <c r="EV674"/>
  <c r="EU674"/>
  <c r="ET674"/>
  <c r="ES674"/>
  <c r="ER674"/>
  <c r="EQ674"/>
  <c r="EP674"/>
  <c r="EO674"/>
  <c r="EN674"/>
  <c r="EM674"/>
  <c r="EL674"/>
  <c r="EK674"/>
  <c r="EJ674"/>
  <c r="EI674"/>
  <c r="EH674"/>
  <c r="EG674"/>
  <c r="EF674"/>
  <c r="EE674"/>
  <c r="ED674"/>
  <c r="EC674"/>
  <c r="EB674"/>
  <c r="EA674"/>
  <c r="DZ674"/>
  <c r="DY674"/>
  <c r="DX674"/>
  <c r="DW674"/>
  <c r="DV674"/>
  <c r="DU674"/>
  <c r="DT674"/>
  <c r="DS674"/>
  <c r="DR674"/>
  <c r="DQ674"/>
  <c r="DP674"/>
  <c r="DO674"/>
  <c r="DN674"/>
  <c r="DM674"/>
  <c r="DL674"/>
  <c r="DK674"/>
  <c r="DJ674"/>
  <c r="DI674"/>
  <c r="DH674"/>
  <c r="DG674"/>
  <c r="DF674"/>
  <c r="DE674"/>
  <c r="DD674"/>
  <c r="DC674"/>
  <c r="DB674"/>
  <c r="DA674"/>
  <c r="CZ674"/>
  <c r="CY674"/>
  <c r="CX674"/>
  <c r="CW674"/>
  <c r="CV674"/>
  <c r="CU674"/>
  <c r="CT674"/>
  <c r="CS674"/>
  <c r="CR674"/>
  <c r="CQ674"/>
  <c r="CP674"/>
  <c r="CO674"/>
  <c r="CN674"/>
  <c r="CM674"/>
  <c r="CL674"/>
  <c r="CK674"/>
  <c r="CJ674"/>
  <c r="CI674"/>
  <c r="CH674"/>
  <c r="CG674"/>
  <c r="CF674"/>
  <c r="CE674"/>
  <c r="CD674"/>
  <c r="CC674"/>
  <c r="CB674"/>
  <c r="CA674"/>
  <c r="BZ674"/>
  <c r="BY674"/>
  <c r="BX674"/>
  <c r="BW674"/>
  <c r="BV674"/>
  <c r="BU674"/>
  <c r="BT674"/>
  <c r="BS674"/>
  <c r="BR674"/>
  <c r="BQ674"/>
  <c r="BP674"/>
  <c r="BO674"/>
  <c r="BN674"/>
  <c r="BM674"/>
  <c r="BL674"/>
  <c r="BK674"/>
  <c r="BJ674"/>
  <c r="BI674"/>
  <c r="BH674"/>
  <c r="BG674"/>
  <c r="BF674"/>
  <c r="BE674"/>
  <c r="BD674"/>
  <c r="BC674"/>
  <c r="BB674"/>
  <c r="BA674"/>
  <c r="AZ674"/>
  <c r="AY674"/>
  <c r="AX674"/>
  <c r="AW674"/>
  <c r="AV674"/>
  <c r="AU674"/>
  <c r="AT674"/>
  <c r="AS674"/>
  <c r="AR674"/>
  <c r="AQ674"/>
  <c r="AP674"/>
  <c r="AO674"/>
  <c r="AN674"/>
  <c r="AM674"/>
  <c r="AL674"/>
  <c r="AK674"/>
  <c r="AJ674"/>
  <c r="AI674"/>
  <c r="AH674"/>
  <c r="AG674"/>
  <c r="AF674"/>
  <c r="AE674"/>
  <c r="AD674"/>
  <c r="AC674"/>
  <c r="AB674"/>
  <c r="AA674"/>
  <c r="Z674"/>
  <c r="Y674"/>
  <c r="X674"/>
  <c r="W674"/>
  <c r="V674"/>
  <c r="P674"/>
  <c r="K674"/>
  <c r="L674" s="1"/>
  <c r="A674"/>
  <c r="HM673"/>
  <c r="HL673"/>
  <c r="HK673"/>
  <c r="HJ673"/>
  <c r="HI673"/>
  <c r="HH673"/>
  <c r="HG673"/>
  <c r="HF673"/>
  <c r="HE673"/>
  <c r="HD673"/>
  <c r="HC673"/>
  <c r="HB673"/>
  <c r="HA673"/>
  <c r="GZ673"/>
  <c r="GY673"/>
  <c r="GX673"/>
  <c r="GW673"/>
  <c r="GV673"/>
  <c r="GU673"/>
  <c r="GT673"/>
  <c r="GS673"/>
  <c r="GR673"/>
  <c r="GQ673"/>
  <c r="GP673"/>
  <c r="GO673"/>
  <c r="GN673"/>
  <c r="GM673"/>
  <c r="GL673"/>
  <c r="GK673"/>
  <c r="GJ673"/>
  <c r="GI673"/>
  <c r="GH673"/>
  <c r="GG673"/>
  <c r="GF673"/>
  <c r="GE673"/>
  <c r="GD673"/>
  <c r="GC673"/>
  <c r="GB673"/>
  <c r="GA673"/>
  <c r="FZ673"/>
  <c r="FY673"/>
  <c r="FX673"/>
  <c r="FW673"/>
  <c r="FV673"/>
  <c r="FU673"/>
  <c r="FT673"/>
  <c r="FS673"/>
  <c r="FR673"/>
  <c r="FQ673"/>
  <c r="FP673"/>
  <c r="FO673"/>
  <c r="FN673"/>
  <c r="FM673"/>
  <c r="FL673"/>
  <c r="FK673"/>
  <c r="FJ673"/>
  <c r="FI673"/>
  <c r="FH673"/>
  <c r="FG673"/>
  <c r="FF673"/>
  <c r="FE673"/>
  <c r="FD673"/>
  <c r="FC673"/>
  <c r="FB673"/>
  <c r="FA673"/>
  <c r="EZ673"/>
  <c r="EY673"/>
  <c r="EX673"/>
  <c r="EW673"/>
  <c r="EV673"/>
  <c r="EU673"/>
  <c r="ET673"/>
  <c r="ES673"/>
  <c r="ER673"/>
  <c r="EQ673"/>
  <c r="EP673"/>
  <c r="EO673"/>
  <c r="EN673"/>
  <c r="EM673"/>
  <c r="EL673"/>
  <c r="EK673"/>
  <c r="EJ673"/>
  <c r="EI673"/>
  <c r="EH673"/>
  <c r="EG673"/>
  <c r="EF673"/>
  <c r="EE673"/>
  <c r="ED673"/>
  <c r="EC673"/>
  <c r="EB673"/>
  <c r="EA673"/>
  <c r="DZ673"/>
  <c r="DY673"/>
  <c r="DX673"/>
  <c r="DW673"/>
  <c r="DV673"/>
  <c r="DU673"/>
  <c r="DT673"/>
  <c r="DS673"/>
  <c r="DR673"/>
  <c r="DQ673"/>
  <c r="DP673"/>
  <c r="DO673"/>
  <c r="DN673"/>
  <c r="DM673"/>
  <c r="DL673"/>
  <c r="DK673"/>
  <c r="DJ673"/>
  <c r="DI673"/>
  <c r="DH673"/>
  <c r="DG673"/>
  <c r="DF673"/>
  <c r="DE673"/>
  <c r="DD673"/>
  <c r="DC673"/>
  <c r="DB673"/>
  <c r="DA673"/>
  <c r="CZ673"/>
  <c r="CY673"/>
  <c r="CX673"/>
  <c r="CW673"/>
  <c r="CV673"/>
  <c r="CU673"/>
  <c r="CT673"/>
  <c r="CS673"/>
  <c r="CR673"/>
  <c r="CQ673"/>
  <c r="CP673"/>
  <c r="CO673"/>
  <c r="CN673"/>
  <c r="CM673"/>
  <c r="CL673"/>
  <c r="CK673"/>
  <c r="CJ673"/>
  <c r="CI673"/>
  <c r="CH673"/>
  <c r="CG673"/>
  <c r="CF673"/>
  <c r="CE673"/>
  <c r="CD673"/>
  <c r="CC673"/>
  <c r="CB673"/>
  <c r="CA673"/>
  <c r="BZ673"/>
  <c r="BY673"/>
  <c r="BX673"/>
  <c r="BW673"/>
  <c r="BV673"/>
  <c r="BU673"/>
  <c r="BT673"/>
  <c r="BS673"/>
  <c r="BR673"/>
  <c r="BQ673"/>
  <c r="BP673"/>
  <c r="BO673"/>
  <c r="BN673"/>
  <c r="BM673"/>
  <c r="BL673"/>
  <c r="BK673"/>
  <c r="BJ673"/>
  <c r="BI673"/>
  <c r="BH673"/>
  <c r="BG673"/>
  <c r="BF673"/>
  <c r="BE673"/>
  <c r="BD673"/>
  <c r="BC673"/>
  <c r="BB673"/>
  <c r="BA673"/>
  <c r="AZ673"/>
  <c r="AY673"/>
  <c r="AX673"/>
  <c r="AW673"/>
  <c r="AV673"/>
  <c r="AU673"/>
  <c r="AT673"/>
  <c r="AS673"/>
  <c r="AR673"/>
  <c r="AQ673"/>
  <c r="AP673"/>
  <c r="AO673"/>
  <c r="AN673"/>
  <c r="AM673"/>
  <c r="AL673"/>
  <c r="AK673"/>
  <c r="AJ673"/>
  <c r="AI673"/>
  <c r="AH673"/>
  <c r="AG673"/>
  <c r="AF673"/>
  <c r="AE673"/>
  <c r="AD673"/>
  <c r="AC673"/>
  <c r="AB673"/>
  <c r="AA673"/>
  <c r="Z673"/>
  <c r="Y673"/>
  <c r="X673"/>
  <c r="W673"/>
  <c r="V673"/>
  <c r="P673"/>
  <c r="K673"/>
  <c r="L673" s="1"/>
  <c r="A673"/>
  <c r="HM672"/>
  <c r="HL672"/>
  <c r="HK672"/>
  <c r="HJ672"/>
  <c r="HI672"/>
  <c r="HH672"/>
  <c r="HG672"/>
  <c r="HF672"/>
  <c r="HE672"/>
  <c r="HD672"/>
  <c r="HC672"/>
  <c r="HB672"/>
  <c r="HA672"/>
  <c r="GZ672"/>
  <c r="GY672"/>
  <c r="GX672"/>
  <c r="GW672"/>
  <c r="GV672"/>
  <c r="GU672"/>
  <c r="GT672"/>
  <c r="GS672"/>
  <c r="GR672"/>
  <c r="GQ672"/>
  <c r="GP672"/>
  <c r="GO672"/>
  <c r="GN672"/>
  <c r="GM672"/>
  <c r="GL672"/>
  <c r="GK672"/>
  <c r="GJ672"/>
  <c r="GI672"/>
  <c r="GH672"/>
  <c r="GG672"/>
  <c r="GF672"/>
  <c r="GE672"/>
  <c r="GD672"/>
  <c r="GC672"/>
  <c r="GB672"/>
  <c r="GA672"/>
  <c r="FZ672"/>
  <c r="FY672"/>
  <c r="FX672"/>
  <c r="FW672"/>
  <c r="FV672"/>
  <c r="FU672"/>
  <c r="FT672"/>
  <c r="FS672"/>
  <c r="FR672"/>
  <c r="FQ672"/>
  <c r="FP672"/>
  <c r="FO672"/>
  <c r="FN672"/>
  <c r="FM672"/>
  <c r="FL672"/>
  <c r="FK672"/>
  <c r="FJ672"/>
  <c r="FI672"/>
  <c r="FH672"/>
  <c r="FG672"/>
  <c r="FF672"/>
  <c r="FE672"/>
  <c r="FD672"/>
  <c r="FC672"/>
  <c r="FB672"/>
  <c r="FA672"/>
  <c r="EZ672"/>
  <c r="EY672"/>
  <c r="EX672"/>
  <c r="EW672"/>
  <c r="EV672"/>
  <c r="EU672"/>
  <c r="ET672"/>
  <c r="ES672"/>
  <c r="ER672"/>
  <c r="EQ672"/>
  <c r="EP672"/>
  <c r="EO672"/>
  <c r="EN672"/>
  <c r="EM672"/>
  <c r="EL672"/>
  <c r="EK672"/>
  <c r="EJ672"/>
  <c r="EI672"/>
  <c r="EH672"/>
  <c r="EG672"/>
  <c r="EF672"/>
  <c r="EE672"/>
  <c r="ED672"/>
  <c r="EC672"/>
  <c r="EB672"/>
  <c r="EA672"/>
  <c r="DZ672"/>
  <c r="DY672"/>
  <c r="DX672"/>
  <c r="DW672"/>
  <c r="DV672"/>
  <c r="DU672"/>
  <c r="DT672"/>
  <c r="DS672"/>
  <c r="DR672"/>
  <c r="DQ672"/>
  <c r="DP672"/>
  <c r="DO672"/>
  <c r="DN672"/>
  <c r="DM672"/>
  <c r="DL672"/>
  <c r="DK672"/>
  <c r="DJ672"/>
  <c r="DI672"/>
  <c r="DH672"/>
  <c r="DG672"/>
  <c r="DF672"/>
  <c r="DE672"/>
  <c r="DD672"/>
  <c r="DC672"/>
  <c r="DB672"/>
  <c r="DA672"/>
  <c r="CZ672"/>
  <c r="CY672"/>
  <c r="CX672"/>
  <c r="CW672"/>
  <c r="CV672"/>
  <c r="CU672"/>
  <c r="CT672"/>
  <c r="CS672"/>
  <c r="CR672"/>
  <c r="CQ672"/>
  <c r="CP672"/>
  <c r="CO672"/>
  <c r="CN672"/>
  <c r="CM672"/>
  <c r="CL672"/>
  <c r="CK672"/>
  <c r="CJ672"/>
  <c r="CI672"/>
  <c r="CH672"/>
  <c r="CG672"/>
  <c r="CF672"/>
  <c r="CE672"/>
  <c r="CD672"/>
  <c r="CC672"/>
  <c r="CB672"/>
  <c r="CA672"/>
  <c r="BZ672"/>
  <c r="BY672"/>
  <c r="BX672"/>
  <c r="BW672"/>
  <c r="BV672"/>
  <c r="BU672"/>
  <c r="BT672"/>
  <c r="BS672"/>
  <c r="BR672"/>
  <c r="BQ672"/>
  <c r="BP672"/>
  <c r="BO672"/>
  <c r="BN672"/>
  <c r="BM672"/>
  <c r="BL672"/>
  <c r="BK672"/>
  <c r="BJ672"/>
  <c r="BI672"/>
  <c r="BH672"/>
  <c r="BG672"/>
  <c r="BF672"/>
  <c r="BE672"/>
  <c r="BD672"/>
  <c r="BC672"/>
  <c r="BB672"/>
  <c r="BA672"/>
  <c r="AZ672"/>
  <c r="AY672"/>
  <c r="AX672"/>
  <c r="AW672"/>
  <c r="AV672"/>
  <c r="AU672"/>
  <c r="AT672"/>
  <c r="AS672"/>
  <c r="AR672"/>
  <c r="AQ672"/>
  <c r="AP672"/>
  <c r="AO672"/>
  <c r="AN672"/>
  <c r="AM672"/>
  <c r="AL672"/>
  <c r="AK672"/>
  <c r="AJ672"/>
  <c r="AI672"/>
  <c r="AH672"/>
  <c r="AG672"/>
  <c r="AF672"/>
  <c r="AE672"/>
  <c r="AD672"/>
  <c r="AC672"/>
  <c r="AB672"/>
  <c r="AA672"/>
  <c r="Z672"/>
  <c r="Y672"/>
  <c r="X672"/>
  <c r="W672"/>
  <c r="V672"/>
  <c r="P672"/>
  <c r="K672"/>
  <c r="L672" s="1"/>
  <c r="A672"/>
  <c r="HM671"/>
  <c r="HL671"/>
  <c r="HK671"/>
  <c r="HJ671"/>
  <c r="HI671"/>
  <c r="HH671"/>
  <c r="HG671"/>
  <c r="HF671"/>
  <c r="HE671"/>
  <c r="HD671"/>
  <c r="HC671"/>
  <c r="HB671"/>
  <c r="HA671"/>
  <c r="GZ671"/>
  <c r="GY671"/>
  <c r="GX671"/>
  <c r="GW671"/>
  <c r="GV671"/>
  <c r="GU671"/>
  <c r="GT671"/>
  <c r="GS671"/>
  <c r="GR671"/>
  <c r="GQ671"/>
  <c r="GP671"/>
  <c r="GO671"/>
  <c r="GN671"/>
  <c r="GM671"/>
  <c r="GL671"/>
  <c r="GK671"/>
  <c r="GJ671"/>
  <c r="GI671"/>
  <c r="GH671"/>
  <c r="GG671"/>
  <c r="GF671"/>
  <c r="GE671"/>
  <c r="GD671"/>
  <c r="GC671"/>
  <c r="GB671"/>
  <c r="GA671"/>
  <c r="FZ671"/>
  <c r="FY671"/>
  <c r="FX671"/>
  <c r="FW671"/>
  <c r="FV671"/>
  <c r="FU671"/>
  <c r="FT671"/>
  <c r="FS671"/>
  <c r="FR671"/>
  <c r="FQ671"/>
  <c r="FP671"/>
  <c r="FO671"/>
  <c r="FN671"/>
  <c r="FM671"/>
  <c r="FL671"/>
  <c r="FK671"/>
  <c r="FJ671"/>
  <c r="FI671"/>
  <c r="FH671"/>
  <c r="FG671"/>
  <c r="FF671"/>
  <c r="FE671"/>
  <c r="FD671"/>
  <c r="FC671"/>
  <c r="FB671"/>
  <c r="FA671"/>
  <c r="EZ671"/>
  <c r="EY671"/>
  <c r="EX671"/>
  <c r="EW671"/>
  <c r="EV671"/>
  <c r="EU671"/>
  <c r="ET671"/>
  <c r="ES671"/>
  <c r="ER671"/>
  <c r="EQ671"/>
  <c r="EP671"/>
  <c r="EO671"/>
  <c r="EN671"/>
  <c r="EM671"/>
  <c r="EL671"/>
  <c r="EK671"/>
  <c r="EJ671"/>
  <c r="EI671"/>
  <c r="EH671"/>
  <c r="EG671"/>
  <c r="EF671"/>
  <c r="EE671"/>
  <c r="ED671"/>
  <c r="EC671"/>
  <c r="EB671"/>
  <c r="EA671"/>
  <c r="DZ671"/>
  <c r="DY671"/>
  <c r="DX671"/>
  <c r="DW671"/>
  <c r="DV671"/>
  <c r="DU671"/>
  <c r="DT671"/>
  <c r="DS671"/>
  <c r="DR671"/>
  <c r="DQ671"/>
  <c r="DP671"/>
  <c r="DO671"/>
  <c r="DN671"/>
  <c r="DM671"/>
  <c r="DL671"/>
  <c r="DK671"/>
  <c r="DJ671"/>
  <c r="DI671"/>
  <c r="DH671"/>
  <c r="DG671"/>
  <c r="DF671"/>
  <c r="DE671"/>
  <c r="DD671"/>
  <c r="DC671"/>
  <c r="DB671"/>
  <c r="DA671"/>
  <c r="CZ671"/>
  <c r="CY671"/>
  <c r="CX671"/>
  <c r="CW671"/>
  <c r="CV671"/>
  <c r="CU671"/>
  <c r="CT671"/>
  <c r="CS671"/>
  <c r="CR671"/>
  <c r="CQ671"/>
  <c r="CP671"/>
  <c r="CO671"/>
  <c r="CN671"/>
  <c r="CM671"/>
  <c r="CL671"/>
  <c r="CK671"/>
  <c r="CJ671"/>
  <c r="CI671"/>
  <c r="CH671"/>
  <c r="CG671"/>
  <c r="CF671"/>
  <c r="CE671"/>
  <c r="CD671"/>
  <c r="CC671"/>
  <c r="CB671"/>
  <c r="CA671"/>
  <c r="BZ671"/>
  <c r="BY671"/>
  <c r="BX671"/>
  <c r="BW671"/>
  <c r="BV671"/>
  <c r="BU671"/>
  <c r="BT671"/>
  <c r="BS671"/>
  <c r="BR671"/>
  <c r="BQ671"/>
  <c r="BP671"/>
  <c r="BO671"/>
  <c r="BN671"/>
  <c r="BM671"/>
  <c r="BL671"/>
  <c r="BK671"/>
  <c r="BJ671"/>
  <c r="BI671"/>
  <c r="BH671"/>
  <c r="BG671"/>
  <c r="BF671"/>
  <c r="BE671"/>
  <c r="BD671"/>
  <c r="BC671"/>
  <c r="BB671"/>
  <c r="BA671"/>
  <c r="AZ671"/>
  <c r="AY671"/>
  <c r="AX671"/>
  <c r="AW671"/>
  <c r="AV671"/>
  <c r="AU671"/>
  <c r="AT671"/>
  <c r="AS671"/>
  <c r="AR671"/>
  <c r="AQ671"/>
  <c r="AP671"/>
  <c r="AO671"/>
  <c r="AN671"/>
  <c r="AM671"/>
  <c r="AL671"/>
  <c r="AK671"/>
  <c r="AJ671"/>
  <c r="AI671"/>
  <c r="AH671"/>
  <c r="AG671"/>
  <c r="AF671"/>
  <c r="AE671"/>
  <c r="AD671"/>
  <c r="AC671"/>
  <c r="AB671"/>
  <c r="AA671"/>
  <c r="Z671"/>
  <c r="Y671"/>
  <c r="X671"/>
  <c r="W671"/>
  <c r="V671"/>
  <c r="P671"/>
  <c r="K671"/>
  <c r="L671" s="1"/>
  <c r="A671"/>
  <c r="HM670"/>
  <c r="HL670"/>
  <c r="HK670"/>
  <c r="HJ670"/>
  <c r="HI670"/>
  <c r="HH670"/>
  <c r="HG670"/>
  <c r="HF670"/>
  <c r="HE670"/>
  <c r="HD670"/>
  <c r="HC670"/>
  <c r="HB670"/>
  <c r="HA670"/>
  <c r="GZ670"/>
  <c r="GY670"/>
  <c r="GX670"/>
  <c r="GW670"/>
  <c r="GV670"/>
  <c r="GU670"/>
  <c r="GT670"/>
  <c r="GS670"/>
  <c r="GR670"/>
  <c r="GQ670"/>
  <c r="GP670"/>
  <c r="GO670"/>
  <c r="GN670"/>
  <c r="GM670"/>
  <c r="GL670"/>
  <c r="GK670"/>
  <c r="GJ670"/>
  <c r="GI670"/>
  <c r="GH670"/>
  <c r="GG670"/>
  <c r="GF670"/>
  <c r="GE670"/>
  <c r="GD670"/>
  <c r="GC670"/>
  <c r="GB670"/>
  <c r="GA670"/>
  <c r="FZ670"/>
  <c r="FY670"/>
  <c r="FX670"/>
  <c r="FW670"/>
  <c r="FV670"/>
  <c r="FU670"/>
  <c r="FT670"/>
  <c r="FS670"/>
  <c r="FR670"/>
  <c r="FQ670"/>
  <c r="FP670"/>
  <c r="FO670"/>
  <c r="FN670"/>
  <c r="FM670"/>
  <c r="FL670"/>
  <c r="FK670"/>
  <c r="FJ670"/>
  <c r="FI670"/>
  <c r="FH670"/>
  <c r="FG670"/>
  <c r="FF670"/>
  <c r="FE670"/>
  <c r="FD670"/>
  <c r="FC670"/>
  <c r="FB670"/>
  <c r="FA670"/>
  <c r="EZ670"/>
  <c r="EY670"/>
  <c r="EX670"/>
  <c r="EW670"/>
  <c r="EV670"/>
  <c r="EU670"/>
  <c r="ET670"/>
  <c r="ES670"/>
  <c r="ER670"/>
  <c r="EQ670"/>
  <c r="EP670"/>
  <c r="EO670"/>
  <c r="EN670"/>
  <c r="EM670"/>
  <c r="EL670"/>
  <c r="EK670"/>
  <c r="EJ670"/>
  <c r="EI670"/>
  <c r="EH670"/>
  <c r="EG670"/>
  <c r="EF670"/>
  <c r="EE670"/>
  <c r="ED670"/>
  <c r="EC670"/>
  <c r="EB670"/>
  <c r="EA670"/>
  <c r="DZ670"/>
  <c r="DY670"/>
  <c r="DX670"/>
  <c r="DW670"/>
  <c r="DV670"/>
  <c r="DU670"/>
  <c r="DT670"/>
  <c r="DS670"/>
  <c r="DR670"/>
  <c r="DQ670"/>
  <c r="DP670"/>
  <c r="DO670"/>
  <c r="DN670"/>
  <c r="DM670"/>
  <c r="DL670"/>
  <c r="DK670"/>
  <c r="DJ670"/>
  <c r="DI670"/>
  <c r="DH670"/>
  <c r="DG670"/>
  <c r="DF670"/>
  <c r="DE670"/>
  <c r="DD670"/>
  <c r="DC670"/>
  <c r="DB670"/>
  <c r="DA670"/>
  <c r="CZ670"/>
  <c r="CY670"/>
  <c r="CX670"/>
  <c r="CW670"/>
  <c r="CV670"/>
  <c r="CU670"/>
  <c r="CT670"/>
  <c r="CS670"/>
  <c r="CR670"/>
  <c r="CQ670"/>
  <c r="CP670"/>
  <c r="CO670"/>
  <c r="CN670"/>
  <c r="CM670"/>
  <c r="CL670"/>
  <c r="CK670"/>
  <c r="CJ670"/>
  <c r="CI670"/>
  <c r="CH670"/>
  <c r="CG670"/>
  <c r="CF670"/>
  <c r="CE670"/>
  <c r="CD670"/>
  <c r="CC670"/>
  <c r="CB670"/>
  <c r="CA670"/>
  <c r="BZ670"/>
  <c r="BY670"/>
  <c r="BX670"/>
  <c r="BW670"/>
  <c r="BV670"/>
  <c r="BU670"/>
  <c r="BT670"/>
  <c r="BS670"/>
  <c r="BR670"/>
  <c r="BQ670"/>
  <c r="BP670"/>
  <c r="BO670"/>
  <c r="BN670"/>
  <c r="BM670"/>
  <c r="BL670"/>
  <c r="BK670"/>
  <c r="BJ670"/>
  <c r="BI670"/>
  <c r="BH670"/>
  <c r="BG670"/>
  <c r="BF670"/>
  <c r="BE670"/>
  <c r="BD670"/>
  <c r="BC670"/>
  <c r="BB670"/>
  <c r="BA670"/>
  <c r="AZ670"/>
  <c r="AY670"/>
  <c r="AX670"/>
  <c r="AW670"/>
  <c r="AV670"/>
  <c r="AU670"/>
  <c r="AT670"/>
  <c r="AS670"/>
  <c r="AR670"/>
  <c r="AQ670"/>
  <c r="AP670"/>
  <c r="AO670"/>
  <c r="AN670"/>
  <c r="AM670"/>
  <c r="AL670"/>
  <c r="AK670"/>
  <c r="AJ670"/>
  <c r="AI670"/>
  <c r="AH670"/>
  <c r="AG670"/>
  <c r="AF670"/>
  <c r="AE670"/>
  <c r="AD670"/>
  <c r="AC670"/>
  <c r="AB670"/>
  <c r="AA670"/>
  <c r="Z670"/>
  <c r="Y670"/>
  <c r="X670"/>
  <c r="W670"/>
  <c r="V670"/>
  <c r="P670"/>
  <c r="K670"/>
  <c r="L670" s="1"/>
  <c r="A670"/>
  <c r="HM669"/>
  <c r="HL669"/>
  <c r="HK669"/>
  <c r="HJ669"/>
  <c r="HI669"/>
  <c r="HH669"/>
  <c r="HG669"/>
  <c r="HF669"/>
  <c r="HE669"/>
  <c r="HD669"/>
  <c r="HC669"/>
  <c r="HB669"/>
  <c r="HA669"/>
  <c r="GZ669"/>
  <c r="GY669"/>
  <c r="GX669"/>
  <c r="GW669"/>
  <c r="GV669"/>
  <c r="GU669"/>
  <c r="GT669"/>
  <c r="GS669"/>
  <c r="GR669"/>
  <c r="GQ669"/>
  <c r="GP669"/>
  <c r="GO669"/>
  <c r="GN669"/>
  <c r="GM669"/>
  <c r="GL669"/>
  <c r="GK669"/>
  <c r="GJ669"/>
  <c r="GI669"/>
  <c r="GH669"/>
  <c r="GG669"/>
  <c r="GF669"/>
  <c r="GE669"/>
  <c r="GD669"/>
  <c r="GC669"/>
  <c r="GB669"/>
  <c r="GA669"/>
  <c r="FZ669"/>
  <c r="FY669"/>
  <c r="FX669"/>
  <c r="FW669"/>
  <c r="FV669"/>
  <c r="FU669"/>
  <c r="FT669"/>
  <c r="FS669"/>
  <c r="FR669"/>
  <c r="FQ669"/>
  <c r="FP669"/>
  <c r="FO669"/>
  <c r="FN669"/>
  <c r="FM669"/>
  <c r="FL669"/>
  <c r="FK669"/>
  <c r="FJ669"/>
  <c r="FI669"/>
  <c r="FH669"/>
  <c r="FG669"/>
  <c r="FF669"/>
  <c r="FE669"/>
  <c r="FD669"/>
  <c r="FC669"/>
  <c r="FB669"/>
  <c r="FA669"/>
  <c r="EZ669"/>
  <c r="EY669"/>
  <c r="EX669"/>
  <c r="EW669"/>
  <c r="EV669"/>
  <c r="EU669"/>
  <c r="ET669"/>
  <c r="ES669"/>
  <c r="ER669"/>
  <c r="EQ669"/>
  <c r="EP669"/>
  <c r="EO669"/>
  <c r="EN669"/>
  <c r="EM669"/>
  <c r="EL669"/>
  <c r="EK669"/>
  <c r="EJ669"/>
  <c r="EI669"/>
  <c r="EH669"/>
  <c r="EG669"/>
  <c r="EF669"/>
  <c r="EE669"/>
  <c r="ED669"/>
  <c r="EC669"/>
  <c r="EB669"/>
  <c r="EA669"/>
  <c r="DZ669"/>
  <c r="DY669"/>
  <c r="DX669"/>
  <c r="DW669"/>
  <c r="DV669"/>
  <c r="DU669"/>
  <c r="DT669"/>
  <c r="DS669"/>
  <c r="DR669"/>
  <c r="DQ669"/>
  <c r="DP669"/>
  <c r="DO669"/>
  <c r="DN669"/>
  <c r="DM669"/>
  <c r="DL669"/>
  <c r="DK669"/>
  <c r="DJ669"/>
  <c r="DI669"/>
  <c r="DH669"/>
  <c r="DG669"/>
  <c r="DF669"/>
  <c r="DE669"/>
  <c r="DD669"/>
  <c r="DC669"/>
  <c r="DB669"/>
  <c r="DA669"/>
  <c r="CZ669"/>
  <c r="CY669"/>
  <c r="CX669"/>
  <c r="CW669"/>
  <c r="CV669"/>
  <c r="CU669"/>
  <c r="CT669"/>
  <c r="CS669"/>
  <c r="CR669"/>
  <c r="CQ669"/>
  <c r="CP669"/>
  <c r="CO669"/>
  <c r="CN669"/>
  <c r="CM669"/>
  <c r="CL669"/>
  <c r="CK669"/>
  <c r="CJ669"/>
  <c r="CI669"/>
  <c r="CH669"/>
  <c r="CG669"/>
  <c r="CF669"/>
  <c r="CE669"/>
  <c r="CD669"/>
  <c r="CC669"/>
  <c r="CB669"/>
  <c r="CA669"/>
  <c r="BZ669"/>
  <c r="BY669"/>
  <c r="BX669"/>
  <c r="BW669"/>
  <c r="BV669"/>
  <c r="BU669"/>
  <c r="BT669"/>
  <c r="BS669"/>
  <c r="BR669"/>
  <c r="BQ669"/>
  <c r="BP669"/>
  <c r="BO669"/>
  <c r="BN669"/>
  <c r="BM669"/>
  <c r="BL669"/>
  <c r="BK669"/>
  <c r="BJ669"/>
  <c r="BI669"/>
  <c r="BH669"/>
  <c r="BG669"/>
  <c r="BF669"/>
  <c r="BE669"/>
  <c r="BD669"/>
  <c r="BC669"/>
  <c r="BB669"/>
  <c r="BA669"/>
  <c r="AZ669"/>
  <c r="AY669"/>
  <c r="AX669"/>
  <c r="AW669"/>
  <c r="AV669"/>
  <c r="AU669"/>
  <c r="AT669"/>
  <c r="AS669"/>
  <c r="AR669"/>
  <c r="AQ669"/>
  <c r="AP669"/>
  <c r="AO669"/>
  <c r="AN669"/>
  <c r="AM669"/>
  <c r="AL669"/>
  <c r="AK669"/>
  <c r="AJ669"/>
  <c r="AI669"/>
  <c r="AH669"/>
  <c r="AG669"/>
  <c r="AF669"/>
  <c r="AE669"/>
  <c r="AD669"/>
  <c r="AC669"/>
  <c r="AB669"/>
  <c r="AA669"/>
  <c r="Z669"/>
  <c r="Y669"/>
  <c r="X669"/>
  <c r="W669"/>
  <c r="V669"/>
  <c r="P669"/>
  <c r="K669"/>
  <c r="L669" s="1"/>
  <c r="A669"/>
  <c r="HM668"/>
  <c r="HL668"/>
  <c r="HK668"/>
  <c r="HJ668"/>
  <c r="HI668"/>
  <c r="HH668"/>
  <c r="HG668"/>
  <c r="HF668"/>
  <c r="HE668"/>
  <c r="HD668"/>
  <c r="HC668"/>
  <c r="HB668"/>
  <c r="HA668"/>
  <c r="GZ668"/>
  <c r="GY668"/>
  <c r="GX668"/>
  <c r="GW668"/>
  <c r="GV668"/>
  <c r="GU668"/>
  <c r="GT668"/>
  <c r="GS668"/>
  <c r="GR668"/>
  <c r="GQ668"/>
  <c r="GP668"/>
  <c r="GO668"/>
  <c r="GN668"/>
  <c r="GM668"/>
  <c r="GL668"/>
  <c r="GK668"/>
  <c r="GJ668"/>
  <c r="GI668"/>
  <c r="GH668"/>
  <c r="GG668"/>
  <c r="GF668"/>
  <c r="GE668"/>
  <c r="GD668"/>
  <c r="GC668"/>
  <c r="GB668"/>
  <c r="GA668"/>
  <c r="FZ668"/>
  <c r="FY668"/>
  <c r="FX668"/>
  <c r="FW668"/>
  <c r="FV668"/>
  <c r="FU668"/>
  <c r="FT668"/>
  <c r="FS668"/>
  <c r="FR668"/>
  <c r="FQ668"/>
  <c r="FP668"/>
  <c r="FO668"/>
  <c r="FN668"/>
  <c r="FM668"/>
  <c r="FL668"/>
  <c r="FK668"/>
  <c r="FJ668"/>
  <c r="FI668"/>
  <c r="FH668"/>
  <c r="FG668"/>
  <c r="FF668"/>
  <c r="FE668"/>
  <c r="FD668"/>
  <c r="FC668"/>
  <c r="FB668"/>
  <c r="FA668"/>
  <c r="EZ668"/>
  <c r="EY668"/>
  <c r="EX668"/>
  <c r="EW668"/>
  <c r="EV668"/>
  <c r="EU668"/>
  <c r="ET668"/>
  <c r="ES668"/>
  <c r="ER668"/>
  <c r="EQ668"/>
  <c r="EP668"/>
  <c r="EO668"/>
  <c r="EN668"/>
  <c r="EM668"/>
  <c r="EL668"/>
  <c r="EK668"/>
  <c r="EJ668"/>
  <c r="EI668"/>
  <c r="EH668"/>
  <c r="EG668"/>
  <c r="EF668"/>
  <c r="EE668"/>
  <c r="ED668"/>
  <c r="EC668"/>
  <c r="EB668"/>
  <c r="EA668"/>
  <c r="DZ668"/>
  <c r="DY668"/>
  <c r="DX668"/>
  <c r="DW668"/>
  <c r="DV668"/>
  <c r="DU668"/>
  <c r="DT668"/>
  <c r="DS668"/>
  <c r="DR668"/>
  <c r="DQ668"/>
  <c r="DP668"/>
  <c r="DO668"/>
  <c r="DN668"/>
  <c r="DM668"/>
  <c r="DL668"/>
  <c r="DK668"/>
  <c r="DJ668"/>
  <c r="DI668"/>
  <c r="DH668"/>
  <c r="DG668"/>
  <c r="DF668"/>
  <c r="DE668"/>
  <c r="DD668"/>
  <c r="DC668"/>
  <c r="DB668"/>
  <c r="DA668"/>
  <c r="CZ668"/>
  <c r="CY668"/>
  <c r="CX668"/>
  <c r="CW668"/>
  <c r="CV668"/>
  <c r="CU668"/>
  <c r="CT668"/>
  <c r="CS668"/>
  <c r="CR668"/>
  <c r="CQ668"/>
  <c r="CP668"/>
  <c r="CO668"/>
  <c r="CN668"/>
  <c r="CM668"/>
  <c r="CL668"/>
  <c r="CK668"/>
  <c r="CJ668"/>
  <c r="CI668"/>
  <c r="CH668"/>
  <c r="CG668"/>
  <c r="CF668"/>
  <c r="CE668"/>
  <c r="CD668"/>
  <c r="CC668"/>
  <c r="CB668"/>
  <c r="CA668"/>
  <c r="BZ668"/>
  <c r="BY668"/>
  <c r="BX668"/>
  <c r="BW668"/>
  <c r="BV668"/>
  <c r="BU668"/>
  <c r="BT668"/>
  <c r="BS668"/>
  <c r="BR668"/>
  <c r="BQ668"/>
  <c r="BP668"/>
  <c r="BO668"/>
  <c r="BN668"/>
  <c r="BM668"/>
  <c r="BL668"/>
  <c r="BK668"/>
  <c r="BJ668"/>
  <c r="BI668"/>
  <c r="BH668"/>
  <c r="BG668"/>
  <c r="BF668"/>
  <c r="BE668"/>
  <c r="BD668"/>
  <c r="BC668"/>
  <c r="BB668"/>
  <c r="BA668"/>
  <c r="AZ668"/>
  <c r="AY668"/>
  <c r="AX668"/>
  <c r="AW668"/>
  <c r="AV668"/>
  <c r="AU668"/>
  <c r="AT668"/>
  <c r="AS668"/>
  <c r="AR668"/>
  <c r="AQ668"/>
  <c r="AP668"/>
  <c r="AO668"/>
  <c r="AN668"/>
  <c r="AM668"/>
  <c r="AL668"/>
  <c r="AK668"/>
  <c r="AJ668"/>
  <c r="AI668"/>
  <c r="AH668"/>
  <c r="AG668"/>
  <c r="AF668"/>
  <c r="AE668"/>
  <c r="AD668"/>
  <c r="AC668"/>
  <c r="AB668"/>
  <c r="AA668"/>
  <c r="Z668"/>
  <c r="Y668"/>
  <c r="X668"/>
  <c r="W668"/>
  <c r="V668"/>
  <c r="P668"/>
  <c r="K668"/>
  <c r="L668" s="1"/>
  <c r="A668"/>
  <c r="HM667"/>
  <c r="HL667"/>
  <c r="HK667"/>
  <c r="HJ667"/>
  <c r="HI667"/>
  <c r="HH667"/>
  <c r="HG667"/>
  <c r="HF667"/>
  <c r="HE667"/>
  <c r="HD667"/>
  <c r="HC667"/>
  <c r="HB667"/>
  <c r="HA667"/>
  <c r="GZ667"/>
  <c r="GY667"/>
  <c r="GX667"/>
  <c r="GW667"/>
  <c r="GV667"/>
  <c r="GU667"/>
  <c r="GT667"/>
  <c r="GS667"/>
  <c r="GR667"/>
  <c r="GQ667"/>
  <c r="GP667"/>
  <c r="GO667"/>
  <c r="GN667"/>
  <c r="GM667"/>
  <c r="GL667"/>
  <c r="GK667"/>
  <c r="GJ667"/>
  <c r="GI667"/>
  <c r="GH667"/>
  <c r="GG667"/>
  <c r="GF667"/>
  <c r="GE667"/>
  <c r="GD667"/>
  <c r="GC667"/>
  <c r="GB667"/>
  <c r="GA667"/>
  <c r="FZ667"/>
  <c r="FY667"/>
  <c r="FX667"/>
  <c r="FW667"/>
  <c r="FV667"/>
  <c r="FU667"/>
  <c r="FT667"/>
  <c r="FS667"/>
  <c r="FR667"/>
  <c r="FQ667"/>
  <c r="FP667"/>
  <c r="FO667"/>
  <c r="FN667"/>
  <c r="FM667"/>
  <c r="FL667"/>
  <c r="FK667"/>
  <c r="FJ667"/>
  <c r="FI667"/>
  <c r="FH667"/>
  <c r="FG667"/>
  <c r="FF667"/>
  <c r="FE667"/>
  <c r="FD667"/>
  <c r="FC667"/>
  <c r="FB667"/>
  <c r="FA667"/>
  <c r="EZ667"/>
  <c r="EY667"/>
  <c r="EX667"/>
  <c r="EW667"/>
  <c r="EV667"/>
  <c r="EU667"/>
  <c r="ET667"/>
  <c r="ES667"/>
  <c r="ER667"/>
  <c r="EQ667"/>
  <c r="EP667"/>
  <c r="EO667"/>
  <c r="EN667"/>
  <c r="EM667"/>
  <c r="EL667"/>
  <c r="EK667"/>
  <c r="EJ667"/>
  <c r="EI667"/>
  <c r="EH667"/>
  <c r="EG667"/>
  <c r="EF667"/>
  <c r="EE667"/>
  <c r="ED667"/>
  <c r="EC667"/>
  <c r="EB667"/>
  <c r="EA667"/>
  <c r="DZ667"/>
  <c r="DY667"/>
  <c r="DX667"/>
  <c r="DW667"/>
  <c r="DV667"/>
  <c r="DU667"/>
  <c r="DT667"/>
  <c r="DS667"/>
  <c r="DR667"/>
  <c r="DQ667"/>
  <c r="DP667"/>
  <c r="DO667"/>
  <c r="DN667"/>
  <c r="DM667"/>
  <c r="DL667"/>
  <c r="DK667"/>
  <c r="DJ667"/>
  <c r="DI667"/>
  <c r="DH667"/>
  <c r="DG667"/>
  <c r="DF667"/>
  <c r="DE667"/>
  <c r="DD667"/>
  <c r="DC667"/>
  <c r="DB667"/>
  <c r="DA667"/>
  <c r="CZ667"/>
  <c r="CY667"/>
  <c r="CX667"/>
  <c r="CW667"/>
  <c r="CV667"/>
  <c r="CU667"/>
  <c r="CT667"/>
  <c r="CS667"/>
  <c r="CR667"/>
  <c r="CQ667"/>
  <c r="CP667"/>
  <c r="CO667"/>
  <c r="CN667"/>
  <c r="CM667"/>
  <c r="CL667"/>
  <c r="CK667"/>
  <c r="CJ667"/>
  <c r="CI667"/>
  <c r="CH667"/>
  <c r="CG667"/>
  <c r="CF667"/>
  <c r="CE667"/>
  <c r="CD667"/>
  <c r="CC667"/>
  <c r="CB667"/>
  <c r="CA667"/>
  <c r="BZ667"/>
  <c r="BY667"/>
  <c r="BX667"/>
  <c r="BW667"/>
  <c r="BV667"/>
  <c r="BU667"/>
  <c r="BT667"/>
  <c r="BS667"/>
  <c r="BR667"/>
  <c r="BQ667"/>
  <c r="BP667"/>
  <c r="BO667"/>
  <c r="BN667"/>
  <c r="BM667"/>
  <c r="BL667"/>
  <c r="BK667"/>
  <c r="BJ667"/>
  <c r="BI667"/>
  <c r="BH667"/>
  <c r="BG667"/>
  <c r="BF667"/>
  <c r="BE667"/>
  <c r="BD667"/>
  <c r="BC667"/>
  <c r="BB667"/>
  <c r="BA667"/>
  <c r="AZ667"/>
  <c r="AY667"/>
  <c r="AX667"/>
  <c r="AW667"/>
  <c r="AV667"/>
  <c r="AU667"/>
  <c r="AT667"/>
  <c r="AS667"/>
  <c r="AR667"/>
  <c r="AQ667"/>
  <c r="AP667"/>
  <c r="AO667"/>
  <c r="AN667"/>
  <c r="AM667"/>
  <c r="AL667"/>
  <c r="AK667"/>
  <c r="AJ667"/>
  <c r="AI667"/>
  <c r="AH667"/>
  <c r="AG667"/>
  <c r="AF667"/>
  <c r="AE667"/>
  <c r="AD667"/>
  <c r="AC667"/>
  <c r="AB667"/>
  <c r="AA667"/>
  <c r="Z667"/>
  <c r="Y667"/>
  <c r="X667"/>
  <c r="W667"/>
  <c r="V667"/>
  <c r="P667"/>
  <c r="K667"/>
  <c r="L667" s="1"/>
  <c r="A667"/>
  <c r="HM666"/>
  <c r="HL666"/>
  <c r="HK666"/>
  <c r="HJ666"/>
  <c r="HI666"/>
  <c r="HH666"/>
  <c r="HG666"/>
  <c r="HF666"/>
  <c r="HE666"/>
  <c r="HD666"/>
  <c r="HC666"/>
  <c r="HB666"/>
  <c r="HA666"/>
  <c r="GZ666"/>
  <c r="GY666"/>
  <c r="GX666"/>
  <c r="GW666"/>
  <c r="GV666"/>
  <c r="GU666"/>
  <c r="GT666"/>
  <c r="GS666"/>
  <c r="GR666"/>
  <c r="GQ666"/>
  <c r="GP666"/>
  <c r="GO666"/>
  <c r="GN666"/>
  <c r="GM666"/>
  <c r="GL666"/>
  <c r="GK666"/>
  <c r="GJ666"/>
  <c r="GI666"/>
  <c r="GH666"/>
  <c r="GG666"/>
  <c r="GF666"/>
  <c r="GE666"/>
  <c r="GD666"/>
  <c r="GC666"/>
  <c r="GB666"/>
  <c r="GA666"/>
  <c r="FZ666"/>
  <c r="FY666"/>
  <c r="FX666"/>
  <c r="FW666"/>
  <c r="FV666"/>
  <c r="FU666"/>
  <c r="FT666"/>
  <c r="FS666"/>
  <c r="FR666"/>
  <c r="FQ666"/>
  <c r="FP666"/>
  <c r="FO666"/>
  <c r="FN666"/>
  <c r="FM666"/>
  <c r="FL666"/>
  <c r="FK666"/>
  <c r="FJ666"/>
  <c r="FI666"/>
  <c r="FH666"/>
  <c r="FG666"/>
  <c r="FF666"/>
  <c r="FE666"/>
  <c r="FD666"/>
  <c r="FC666"/>
  <c r="FB666"/>
  <c r="FA666"/>
  <c r="EZ666"/>
  <c r="EY666"/>
  <c r="EX666"/>
  <c r="EW666"/>
  <c r="EV666"/>
  <c r="EU666"/>
  <c r="ET666"/>
  <c r="ES666"/>
  <c r="ER666"/>
  <c r="EQ666"/>
  <c r="EP666"/>
  <c r="EO666"/>
  <c r="EN666"/>
  <c r="EM666"/>
  <c r="EL666"/>
  <c r="EK666"/>
  <c r="EJ666"/>
  <c r="EI666"/>
  <c r="EH666"/>
  <c r="EG666"/>
  <c r="EF666"/>
  <c r="EE666"/>
  <c r="ED666"/>
  <c r="EC666"/>
  <c r="EB666"/>
  <c r="EA666"/>
  <c r="DZ666"/>
  <c r="DY666"/>
  <c r="DX666"/>
  <c r="DW666"/>
  <c r="DV666"/>
  <c r="DU666"/>
  <c r="DT666"/>
  <c r="DS666"/>
  <c r="DR666"/>
  <c r="DQ666"/>
  <c r="DP666"/>
  <c r="DO666"/>
  <c r="DN666"/>
  <c r="DM666"/>
  <c r="DL666"/>
  <c r="DK666"/>
  <c r="DJ666"/>
  <c r="DI666"/>
  <c r="DH666"/>
  <c r="DG666"/>
  <c r="DF666"/>
  <c r="DE666"/>
  <c r="DD666"/>
  <c r="DC666"/>
  <c r="DB666"/>
  <c r="DA666"/>
  <c r="CZ666"/>
  <c r="CY666"/>
  <c r="CX666"/>
  <c r="CW666"/>
  <c r="CV666"/>
  <c r="CU666"/>
  <c r="CT666"/>
  <c r="CS666"/>
  <c r="CR666"/>
  <c r="CQ666"/>
  <c r="CP666"/>
  <c r="CO666"/>
  <c r="CN666"/>
  <c r="CM666"/>
  <c r="CL666"/>
  <c r="CK666"/>
  <c r="CJ666"/>
  <c r="CI666"/>
  <c r="CH666"/>
  <c r="CG666"/>
  <c r="CF666"/>
  <c r="CE666"/>
  <c r="CD666"/>
  <c r="CC666"/>
  <c r="CB666"/>
  <c r="CA666"/>
  <c r="BZ666"/>
  <c r="BY666"/>
  <c r="BX666"/>
  <c r="BW666"/>
  <c r="BV666"/>
  <c r="BU666"/>
  <c r="BT666"/>
  <c r="BS666"/>
  <c r="BR666"/>
  <c r="BQ666"/>
  <c r="BP666"/>
  <c r="BO666"/>
  <c r="BN666"/>
  <c r="BM666"/>
  <c r="BL666"/>
  <c r="BK666"/>
  <c r="BJ666"/>
  <c r="BI666"/>
  <c r="BH666"/>
  <c r="BG666"/>
  <c r="BF666"/>
  <c r="BE666"/>
  <c r="BD666"/>
  <c r="BC666"/>
  <c r="BB666"/>
  <c r="BA666"/>
  <c r="AZ666"/>
  <c r="AY666"/>
  <c r="AX666"/>
  <c r="AW666"/>
  <c r="AV666"/>
  <c r="AU666"/>
  <c r="AT666"/>
  <c r="AS666"/>
  <c r="AR666"/>
  <c r="AQ666"/>
  <c r="AP666"/>
  <c r="AO666"/>
  <c r="AN666"/>
  <c r="AM666"/>
  <c r="AL666"/>
  <c r="AK666"/>
  <c r="AJ666"/>
  <c r="AI666"/>
  <c r="AH666"/>
  <c r="AG666"/>
  <c r="AF666"/>
  <c r="AE666"/>
  <c r="AD666"/>
  <c r="AC666"/>
  <c r="AB666"/>
  <c r="AA666"/>
  <c r="Z666"/>
  <c r="Y666"/>
  <c r="X666"/>
  <c r="W666"/>
  <c r="V666"/>
  <c r="P666"/>
  <c r="K666"/>
  <c r="L666" s="1"/>
  <c r="A666"/>
  <c r="HM665"/>
  <c r="HL665"/>
  <c r="HK665"/>
  <c r="HJ665"/>
  <c r="HI665"/>
  <c r="HH665"/>
  <c r="HG665"/>
  <c r="HF665"/>
  <c r="HE665"/>
  <c r="HD665"/>
  <c r="HC665"/>
  <c r="HB665"/>
  <c r="HA665"/>
  <c r="GZ665"/>
  <c r="GY665"/>
  <c r="GX665"/>
  <c r="GW665"/>
  <c r="GV665"/>
  <c r="GU665"/>
  <c r="GT665"/>
  <c r="GS665"/>
  <c r="GR665"/>
  <c r="GQ665"/>
  <c r="GP665"/>
  <c r="GO665"/>
  <c r="GN665"/>
  <c r="GM665"/>
  <c r="GL665"/>
  <c r="GK665"/>
  <c r="GJ665"/>
  <c r="GI665"/>
  <c r="GH665"/>
  <c r="GG665"/>
  <c r="GF665"/>
  <c r="GE665"/>
  <c r="GD665"/>
  <c r="GC665"/>
  <c r="GB665"/>
  <c r="GA665"/>
  <c r="FZ665"/>
  <c r="FY665"/>
  <c r="FX665"/>
  <c r="FW665"/>
  <c r="FV665"/>
  <c r="FU665"/>
  <c r="FT665"/>
  <c r="FS665"/>
  <c r="FR665"/>
  <c r="FQ665"/>
  <c r="FP665"/>
  <c r="FO665"/>
  <c r="FN665"/>
  <c r="FM665"/>
  <c r="FL665"/>
  <c r="FK665"/>
  <c r="FJ665"/>
  <c r="FI665"/>
  <c r="FH665"/>
  <c r="FG665"/>
  <c r="FF665"/>
  <c r="FE665"/>
  <c r="FD665"/>
  <c r="FC665"/>
  <c r="FB665"/>
  <c r="FA665"/>
  <c r="EZ665"/>
  <c r="EY665"/>
  <c r="EX665"/>
  <c r="EW665"/>
  <c r="EV665"/>
  <c r="EU665"/>
  <c r="ET665"/>
  <c r="ES665"/>
  <c r="ER665"/>
  <c r="EQ665"/>
  <c r="EP665"/>
  <c r="EO665"/>
  <c r="EN665"/>
  <c r="EM665"/>
  <c r="EL665"/>
  <c r="EK665"/>
  <c r="EJ665"/>
  <c r="EI665"/>
  <c r="EH665"/>
  <c r="EG665"/>
  <c r="EF665"/>
  <c r="EE665"/>
  <c r="ED665"/>
  <c r="EC665"/>
  <c r="EB665"/>
  <c r="EA665"/>
  <c r="DZ665"/>
  <c r="DY665"/>
  <c r="DX665"/>
  <c r="DW665"/>
  <c r="DV665"/>
  <c r="DU665"/>
  <c r="DT665"/>
  <c r="DS665"/>
  <c r="DR665"/>
  <c r="DQ665"/>
  <c r="DP665"/>
  <c r="DO665"/>
  <c r="DN665"/>
  <c r="DM665"/>
  <c r="DL665"/>
  <c r="DK665"/>
  <c r="DJ665"/>
  <c r="DI665"/>
  <c r="DH665"/>
  <c r="DG665"/>
  <c r="DF665"/>
  <c r="DE665"/>
  <c r="DD665"/>
  <c r="DC665"/>
  <c r="DB665"/>
  <c r="DA665"/>
  <c r="CZ665"/>
  <c r="CY665"/>
  <c r="CX665"/>
  <c r="CW665"/>
  <c r="CV665"/>
  <c r="CU665"/>
  <c r="CT665"/>
  <c r="CS665"/>
  <c r="CR665"/>
  <c r="CQ665"/>
  <c r="CP665"/>
  <c r="CO665"/>
  <c r="CN665"/>
  <c r="CM665"/>
  <c r="CL665"/>
  <c r="CK665"/>
  <c r="CJ665"/>
  <c r="CI665"/>
  <c r="CH665"/>
  <c r="CG665"/>
  <c r="CF665"/>
  <c r="CE665"/>
  <c r="CD665"/>
  <c r="CC665"/>
  <c r="CB665"/>
  <c r="CA665"/>
  <c r="BZ665"/>
  <c r="BY665"/>
  <c r="BX665"/>
  <c r="BW665"/>
  <c r="BV665"/>
  <c r="BU665"/>
  <c r="BT665"/>
  <c r="BS665"/>
  <c r="BR665"/>
  <c r="BQ665"/>
  <c r="BP665"/>
  <c r="BO665"/>
  <c r="BN665"/>
  <c r="BM665"/>
  <c r="BL665"/>
  <c r="BK665"/>
  <c r="BJ665"/>
  <c r="BI665"/>
  <c r="BH665"/>
  <c r="BG665"/>
  <c r="BF665"/>
  <c r="BE665"/>
  <c r="BD665"/>
  <c r="BC665"/>
  <c r="BB665"/>
  <c r="BA665"/>
  <c r="AZ665"/>
  <c r="AY665"/>
  <c r="AX665"/>
  <c r="AW665"/>
  <c r="AV665"/>
  <c r="AU665"/>
  <c r="AT665"/>
  <c r="AS665"/>
  <c r="AR665"/>
  <c r="AQ665"/>
  <c r="AP665"/>
  <c r="AO665"/>
  <c r="AN665"/>
  <c r="AM665"/>
  <c r="AL665"/>
  <c r="AK665"/>
  <c r="AJ665"/>
  <c r="AI665"/>
  <c r="AH665"/>
  <c r="AG665"/>
  <c r="AF665"/>
  <c r="AE665"/>
  <c r="AD665"/>
  <c r="AC665"/>
  <c r="AB665"/>
  <c r="AA665"/>
  <c r="Z665"/>
  <c r="Y665"/>
  <c r="X665"/>
  <c r="W665"/>
  <c r="V665"/>
  <c r="P665"/>
  <c r="K665"/>
  <c r="L665" s="1"/>
  <c r="A665"/>
  <c r="HM664"/>
  <c r="HL664"/>
  <c r="HK664"/>
  <c r="HJ664"/>
  <c r="HI664"/>
  <c r="HH664"/>
  <c r="HG664"/>
  <c r="HF664"/>
  <c r="HE664"/>
  <c r="HD664"/>
  <c r="HC664"/>
  <c r="HB664"/>
  <c r="HA664"/>
  <c r="GZ664"/>
  <c r="GY664"/>
  <c r="GX664"/>
  <c r="GW664"/>
  <c r="GV664"/>
  <c r="GU664"/>
  <c r="GT664"/>
  <c r="GS664"/>
  <c r="GR664"/>
  <c r="GQ664"/>
  <c r="GP664"/>
  <c r="GO664"/>
  <c r="GN664"/>
  <c r="GM664"/>
  <c r="GL664"/>
  <c r="GK664"/>
  <c r="GJ664"/>
  <c r="GI664"/>
  <c r="GH664"/>
  <c r="GG664"/>
  <c r="GF664"/>
  <c r="GE664"/>
  <c r="GD664"/>
  <c r="GC664"/>
  <c r="GB664"/>
  <c r="GA664"/>
  <c r="FZ664"/>
  <c r="FY664"/>
  <c r="FX664"/>
  <c r="FW664"/>
  <c r="FV664"/>
  <c r="FU664"/>
  <c r="FT664"/>
  <c r="FS664"/>
  <c r="FR664"/>
  <c r="FQ664"/>
  <c r="FP664"/>
  <c r="FO664"/>
  <c r="FN664"/>
  <c r="FM664"/>
  <c r="FL664"/>
  <c r="FK664"/>
  <c r="FJ664"/>
  <c r="FI664"/>
  <c r="FH664"/>
  <c r="FG664"/>
  <c r="FF664"/>
  <c r="FE664"/>
  <c r="FD664"/>
  <c r="FC664"/>
  <c r="FB664"/>
  <c r="FA664"/>
  <c r="EZ664"/>
  <c r="EY664"/>
  <c r="EX664"/>
  <c r="EW664"/>
  <c r="EV664"/>
  <c r="EU664"/>
  <c r="ET664"/>
  <c r="ES664"/>
  <c r="ER664"/>
  <c r="EQ664"/>
  <c r="EP664"/>
  <c r="EO664"/>
  <c r="EN664"/>
  <c r="EM664"/>
  <c r="EL664"/>
  <c r="EK664"/>
  <c r="EJ664"/>
  <c r="EI664"/>
  <c r="EH664"/>
  <c r="EG664"/>
  <c r="EF664"/>
  <c r="EE664"/>
  <c r="ED664"/>
  <c r="EC664"/>
  <c r="EB664"/>
  <c r="EA664"/>
  <c r="DZ664"/>
  <c r="DY664"/>
  <c r="DX664"/>
  <c r="DW664"/>
  <c r="DV664"/>
  <c r="DU664"/>
  <c r="DT664"/>
  <c r="DS664"/>
  <c r="DR664"/>
  <c r="DQ664"/>
  <c r="DP664"/>
  <c r="DO664"/>
  <c r="DN664"/>
  <c r="DM664"/>
  <c r="DL664"/>
  <c r="DK664"/>
  <c r="DJ664"/>
  <c r="DI664"/>
  <c r="DH664"/>
  <c r="DG664"/>
  <c r="DF664"/>
  <c r="DE664"/>
  <c r="DD664"/>
  <c r="DC664"/>
  <c r="DB664"/>
  <c r="DA664"/>
  <c r="CZ664"/>
  <c r="CY664"/>
  <c r="CX664"/>
  <c r="CW664"/>
  <c r="CV664"/>
  <c r="CU664"/>
  <c r="CT664"/>
  <c r="CS664"/>
  <c r="CR664"/>
  <c r="CQ664"/>
  <c r="CP664"/>
  <c r="CO664"/>
  <c r="CN664"/>
  <c r="CM664"/>
  <c r="CL664"/>
  <c r="CK664"/>
  <c r="CJ664"/>
  <c r="CI664"/>
  <c r="CH664"/>
  <c r="CG664"/>
  <c r="CF664"/>
  <c r="CE664"/>
  <c r="CD664"/>
  <c r="CC664"/>
  <c r="CB664"/>
  <c r="CA664"/>
  <c r="BZ664"/>
  <c r="BY664"/>
  <c r="BX664"/>
  <c r="BW664"/>
  <c r="BV664"/>
  <c r="BU664"/>
  <c r="BT664"/>
  <c r="BS664"/>
  <c r="BR664"/>
  <c r="BQ664"/>
  <c r="BP664"/>
  <c r="BO664"/>
  <c r="BN664"/>
  <c r="BM664"/>
  <c r="BL664"/>
  <c r="BK664"/>
  <c r="BJ664"/>
  <c r="BI664"/>
  <c r="BH664"/>
  <c r="BG664"/>
  <c r="BF664"/>
  <c r="BE664"/>
  <c r="BD664"/>
  <c r="BC664"/>
  <c r="BB664"/>
  <c r="BA664"/>
  <c r="AZ664"/>
  <c r="AY664"/>
  <c r="AX664"/>
  <c r="AW664"/>
  <c r="AV664"/>
  <c r="AU664"/>
  <c r="AT664"/>
  <c r="AS664"/>
  <c r="AR664"/>
  <c r="AQ664"/>
  <c r="AP664"/>
  <c r="AO664"/>
  <c r="AN664"/>
  <c r="AM664"/>
  <c r="AL664"/>
  <c r="AK664"/>
  <c r="AJ664"/>
  <c r="AI664"/>
  <c r="AH664"/>
  <c r="AG664"/>
  <c r="AF664"/>
  <c r="AE664"/>
  <c r="AD664"/>
  <c r="AC664"/>
  <c r="AB664"/>
  <c r="AA664"/>
  <c r="Z664"/>
  <c r="Y664"/>
  <c r="X664"/>
  <c r="W664"/>
  <c r="V664"/>
  <c r="P664"/>
  <c r="K664"/>
  <c r="L664" s="1"/>
  <c r="A664"/>
  <c r="HM663"/>
  <c r="HL663"/>
  <c r="HK663"/>
  <c r="HJ663"/>
  <c r="HI663"/>
  <c r="HH663"/>
  <c r="HG663"/>
  <c r="HF663"/>
  <c r="HE663"/>
  <c r="HD663"/>
  <c r="HC663"/>
  <c r="HB663"/>
  <c r="HA663"/>
  <c r="GZ663"/>
  <c r="GY663"/>
  <c r="GX663"/>
  <c r="GW663"/>
  <c r="GV663"/>
  <c r="GU663"/>
  <c r="GT663"/>
  <c r="GS663"/>
  <c r="GR663"/>
  <c r="GQ663"/>
  <c r="GP663"/>
  <c r="GO663"/>
  <c r="GN663"/>
  <c r="GM663"/>
  <c r="GL663"/>
  <c r="GK663"/>
  <c r="GJ663"/>
  <c r="GI663"/>
  <c r="GH663"/>
  <c r="GG663"/>
  <c r="GF663"/>
  <c r="GE663"/>
  <c r="GD663"/>
  <c r="GC663"/>
  <c r="GB663"/>
  <c r="GA663"/>
  <c r="FZ663"/>
  <c r="FY663"/>
  <c r="FX663"/>
  <c r="FW663"/>
  <c r="FV663"/>
  <c r="FU663"/>
  <c r="FT663"/>
  <c r="FS663"/>
  <c r="FR663"/>
  <c r="FQ663"/>
  <c r="FP663"/>
  <c r="FO663"/>
  <c r="FN663"/>
  <c r="FM663"/>
  <c r="FL663"/>
  <c r="FK663"/>
  <c r="FJ663"/>
  <c r="FI663"/>
  <c r="FH663"/>
  <c r="FG663"/>
  <c r="FF663"/>
  <c r="FE663"/>
  <c r="FD663"/>
  <c r="FC663"/>
  <c r="FB663"/>
  <c r="FA663"/>
  <c r="EZ663"/>
  <c r="EY663"/>
  <c r="EX663"/>
  <c r="EW663"/>
  <c r="EV663"/>
  <c r="EU663"/>
  <c r="ET663"/>
  <c r="ES663"/>
  <c r="ER663"/>
  <c r="EQ663"/>
  <c r="EP663"/>
  <c r="EO663"/>
  <c r="EN663"/>
  <c r="EM663"/>
  <c r="EL663"/>
  <c r="EK663"/>
  <c r="EJ663"/>
  <c r="EI663"/>
  <c r="EH663"/>
  <c r="EG663"/>
  <c r="EF663"/>
  <c r="EE663"/>
  <c r="ED663"/>
  <c r="EC663"/>
  <c r="EB663"/>
  <c r="EA663"/>
  <c r="DZ663"/>
  <c r="DY663"/>
  <c r="DX663"/>
  <c r="DW663"/>
  <c r="DV663"/>
  <c r="DU663"/>
  <c r="DT663"/>
  <c r="DS663"/>
  <c r="DR663"/>
  <c r="DQ663"/>
  <c r="DP663"/>
  <c r="DO663"/>
  <c r="DN663"/>
  <c r="DM663"/>
  <c r="DL663"/>
  <c r="DK663"/>
  <c r="DJ663"/>
  <c r="DI663"/>
  <c r="DH663"/>
  <c r="DG663"/>
  <c r="DF663"/>
  <c r="DE663"/>
  <c r="DD663"/>
  <c r="DC663"/>
  <c r="DB663"/>
  <c r="DA663"/>
  <c r="CZ663"/>
  <c r="CY663"/>
  <c r="CX663"/>
  <c r="CW663"/>
  <c r="CV663"/>
  <c r="CU663"/>
  <c r="CT663"/>
  <c r="CS663"/>
  <c r="CR663"/>
  <c r="CQ663"/>
  <c r="CP663"/>
  <c r="CO663"/>
  <c r="CN663"/>
  <c r="CM663"/>
  <c r="CL663"/>
  <c r="CK663"/>
  <c r="CJ663"/>
  <c r="CI663"/>
  <c r="CH663"/>
  <c r="CG663"/>
  <c r="CF663"/>
  <c r="CE663"/>
  <c r="CD663"/>
  <c r="CC663"/>
  <c r="CB663"/>
  <c r="CA663"/>
  <c r="BZ663"/>
  <c r="BY663"/>
  <c r="BX663"/>
  <c r="BW663"/>
  <c r="BV663"/>
  <c r="BU663"/>
  <c r="BT663"/>
  <c r="BS663"/>
  <c r="BR663"/>
  <c r="BQ663"/>
  <c r="BP663"/>
  <c r="BO663"/>
  <c r="BN663"/>
  <c r="BM663"/>
  <c r="BL663"/>
  <c r="BK663"/>
  <c r="BJ663"/>
  <c r="BI663"/>
  <c r="BH663"/>
  <c r="BG663"/>
  <c r="BF663"/>
  <c r="BE663"/>
  <c r="BD663"/>
  <c r="BC663"/>
  <c r="BB663"/>
  <c r="BA663"/>
  <c r="AZ663"/>
  <c r="AY663"/>
  <c r="AX663"/>
  <c r="AW663"/>
  <c r="AV663"/>
  <c r="AU663"/>
  <c r="AT663"/>
  <c r="AS663"/>
  <c r="AR663"/>
  <c r="AQ663"/>
  <c r="AP663"/>
  <c r="AO663"/>
  <c r="AN663"/>
  <c r="AM663"/>
  <c r="AL663"/>
  <c r="AK663"/>
  <c r="AJ663"/>
  <c r="AI663"/>
  <c r="AH663"/>
  <c r="AG663"/>
  <c r="AF663"/>
  <c r="AE663"/>
  <c r="AD663"/>
  <c r="AC663"/>
  <c r="AB663"/>
  <c r="AA663"/>
  <c r="Z663"/>
  <c r="Y663"/>
  <c r="X663"/>
  <c r="W663"/>
  <c r="V663"/>
  <c r="P663"/>
  <c r="K663"/>
  <c r="L663" s="1"/>
  <c r="A663"/>
  <c r="HM662"/>
  <c r="HL662"/>
  <c r="HK662"/>
  <c r="HJ662"/>
  <c r="HI662"/>
  <c r="HH662"/>
  <c r="HG662"/>
  <c r="HF662"/>
  <c r="HE662"/>
  <c r="HD662"/>
  <c r="HC662"/>
  <c r="HB662"/>
  <c r="HA662"/>
  <c r="GZ662"/>
  <c r="GY662"/>
  <c r="GX662"/>
  <c r="GW662"/>
  <c r="GV662"/>
  <c r="GU662"/>
  <c r="GT662"/>
  <c r="GS662"/>
  <c r="GR662"/>
  <c r="GQ662"/>
  <c r="GP662"/>
  <c r="GO662"/>
  <c r="GN662"/>
  <c r="GM662"/>
  <c r="GL662"/>
  <c r="GK662"/>
  <c r="GJ662"/>
  <c r="GI662"/>
  <c r="GH662"/>
  <c r="GG662"/>
  <c r="GF662"/>
  <c r="GE662"/>
  <c r="GD662"/>
  <c r="GC662"/>
  <c r="GB662"/>
  <c r="GA662"/>
  <c r="FZ662"/>
  <c r="FY662"/>
  <c r="FX662"/>
  <c r="FW662"/>
  <c r="FV662"/>
  <c r="FU662"/>
  <c r="FT662"/>
  <c r="FS662"/>
  <c r="FR662"/>
  <c r="FQ662"/>
  <c r="FP662"/>
  <c r="FO662"/>
  <c r="FN662"/>
  <c r="FM662"/>
  <c r="FL662"/>
  <c r="FK662"/>
  <c r="FJ662"/>
  <c r="FI662"/>
  <c r="FH662"/>
  <c r="FG662"/>
  <c r="FF662"/>
  <c r="FE662"/>
  <c r="FD662"/>
  <c r="FC662"/>
  <c r="FB662"/>
  <c r="FA662"/>
  <c r="EZ662"/>
  <c r="EY662"/>
  <c r="EX662"/>
  <c r="EW662"/>
  <c r="EV662"/>
  <c r="EU662"/>
  <c r="ET662"/>
  <c r="ES662"/>
  <c r="ER662"/>
  <c r="EQ662"/>
  <c r="EP662"/>
  <c r="EO662"/>
  <c r="EN662"/>
  <c r="EM662"/>
  <c r="EL662"/>
  <c r="EK662"/>
  <c r="EJ662"/>
  <c r="EI662"/>
  <c r="EH662"/>
  <c r="EG662"/>
  <c r="EF662"/>
  <c r="EE662"/>
  <c r="ED662"/>
  <c r="EC662"/>
  <c r="EB662"/>
  <c r="EA662"/>
  <c r="DZ662"/>
  <c r="DY662"/>
  <c r="DX662"/>
  <c r="DW662"/>
  <c r="DV662"/>
  <c r="DU662"/>
  <c r="DT662"/>
  <c r="DS662"/>
  <c r="DR662"/>
  <c r="DQ662"/>
  <c r="DP662"/>
  <c r="DO662"/>
  <c r="DN662"/>
  <c r="DM662"/>
  <c r="DL662"/>
  <c r="DK662"/>
  <c r="DJ662"/>
  <c r="DI662"/>
  <c r="DH662"/>
  <c r="DG662"/>
  <c r="DF662"/>
  <c r="DE662"/>
  <c r="DD662"/>
  <c r="DC662"/>
  <c r="DB662"/>
  <c r="DA662"/>
  <c r="CZ662"/>
  <c r="CY662"/>
  <c r="CX662"/>
  <c r="CW662"/>
  <c r="CV662"/>
  <c r="CU662"/>
  <c r="CT662"/>
  <c r="CS662"/>
  <c r="CR662"/>
  <c r="CQ662"/>
  <c r="CP662"/>
  <c r="CO662"/>
  <c r="CN662"/>
  <c r="CM662"/>
  <c r="CL662"/>
  <c r="CK662"/>
  <c r="CJ662"/>
  <c r="CI662"/>
  <c r="CH662"/>
  <c r="CG662"/>
  <c r="CF662"/>
  <c r="CE662"/>
  <c r="CD662"/>
  <c r="CC662"/>
  <c r="CB662"/>
  <c r="CA662"/>
  <c r="BZ662"/>
  <c r="BY662"/>
  <c r="BX662"/>
  <c r="BW662"/>
  <c r="BV662"/>
  <c r="BU662"/>
  <c r="BT662"/>
  <c r="BS662"/>
  <c r="BR662"/>
  <c r="BQ662"/>
  <c r="BP662"/>
  <c r="BO662"/>
  <c r="BN662"/>
  <c r="BM662"/>
  <c r="BL662"/>
  <c r="BK662"/>
  <c r="BJ662"/>
  <c r="BI662"/>
  <c r="BH662"/>
  <c r="BG662"/>
  <c r="BF662"/>
  <c r="BE662"/>
  <c r="BD662"/>
  <c r="BC662"/>
  <c r="BB662"/>
  <c r="BA662"/>
  <c r="AZ662"/>
  <c r="AY662"/>
  <c r="AX662"/>
  <c r="AW662"/>
  <c r="AV662"/>
  <c r="AU662"/>
  <c r="AT662"/>
  <c r="AS662"/>
  <c r="AR662"/>
  <c r="AQ662"/>
  <c r="AP662"/>
  <c r="AO662"/>
  <c r="AN662"/>
  <c r="AM662"/>
  <c r="AL662"/>
  <c r="AK662"/>
  <c r="AJ662"/>
  <c r="AI662"/>
  <c r="AH662"/>
  <c r="AG662"/>
  <c r="AF662"/>
  <c r="AE662"/>
  <c r="AD662"/>
  <c r="AC662"/>
  <c r="AB662"/>
  <c r="AA662"/>
  <c r="Z662"/>
  <c r="Y662"/>
  <c r="X662"/>
  <c r="W662"/>
  <c r="V662"/>
  <c r="P662"/>
  <c r="K662"/>
  <c r="L662" s="1"/>
  <c r="A662"/>
  <c r="HM661"/>
  <c r="HL661"/>
  <c r="HK661"/>
  <c r="HJ661"/>
  <c r="HI661"/>
  <c r="HH661"/>
  <c r="HG661"/>
  <c r="HF661"/>
  <c r="HE661"/>
  <c r="HD661"/>
  <c r="HC661"/>
  <c r="HB661"/>
  <c r="HA661"/>
  <c r="GZ661"/>
  <c r="GY661"/>
  <c r="GX661"/>
  <c r="GW661"/>
  <c r="GV661"/>
  <c r="GU661"/>
  <c r="GT661"/>
  <c r="GS661"/>
  <c r="GR661"/>
  <c r="GQ661"/>
  <c r="GP661"/>
  <c r="GO661"/>
  <c r="GN661"/>
  <c r="GM661"/>
  <c r="GL661"/>
  <c r="GK661"/>
  <c r="GJ661"/>
  <c r="GI661"/>
  <c r="GH661"/>
  <c r="GG661"/>
  <c r="GF661"/>
  <c r="GE661"/>
  <c r="GD661"/>
  <c r="GC661"/>
  <c r="GB661"/>
  <c r="GA661"/>
  <c r="FZ661"/>
  <c r="FY661"/>
  <c r="FX661"/>
  <c r="FW661"/>
  <c r="FV661"/>
  <c r="FU661"/>
  <c r="FT661"/>
  <c r="FS661"/>
  <c r="FR661"/>
  <c r="FQ661"/>
  <c r="FP661"/>
  <c r="FO661"/>
  <c r="FN661"/>
  <c r="FM661"/>
  <c r="FL661"/>
  <c r="FK661"/>
  <c r="FJ661"/>
  <c r="FI661"/>
  <c r="FH661"/>
  <c r="FG661"/>
  <c r="FF661"/>
  <c r="FE661"/>
  <c r="FD661"/>
  <c r="FC661"/>
  <c r="FB661"/>
  <c r="FA661"/>
  <c r="EZ661"/>
  <c r="EY661"/>
  <c r="EX661"/>
  <c r="EW661"/>
  <c r="EV661"/>
  <c r="EU661"/>
  <c r="ET661"/>
  <c r="ES661"/>
  <c r="ER661"/>
  <c r="EQ661"/>
  <c r="EP661"/>
  <c r="EO661"/>
  <c r="EN661"/>
  <c r="EM661"/>
  <c r="EL661"/>
  <c r="EK661"/>
  <c r="EJ661"/>
  <c r="EI661"/>
  <c r="EH661"/>
  <c r="EG661"/>
  <c r="EF661"/>
  <c r="EE661"/>
  <c r="ED661"/>
  <c r="EC661"/>
  <c r="EB661"/>
  <c r="EA661"/>
  <c r="DZ661"/>
  <c r="DY661"/>
  <c r="DX661"/>
  <c r="DW661"/>
  <c r="DV661"/>
  <c r="DU661"/>
  <c r="DT661"/>
  <c r="DS661"/>
  <c r="DR661"/>
  <c r="DQ661"/>
  <c r="DP661"/>
  <c r="DO661"/>
  <c r="DN661"/>
  <c r="DM661"/>
  <c r="DL661"/>
  <c r="DK661"/>
  <c r="DJ661"/>
  <c r="DI661"/>
  <c r="DH661"/>
  <c r="DG661"/>
  <c r="DF661"/>
  <c r="DE661"/>
  <c r="DD661"/>
  <c r="DC661"/>
  <c r="DB661"/>
  <c r="DA661"/>
  <c r="CZ661"/>
  <c r="CY661"/>
  <c r="CX661"/>
  <c r="CW661"/>
  <c r="CV661"/>
  <c r="CU661"/>
  <c r="CT661"/>
  <c r="CS661"/>
  <c r="CR661"/>
  <c r="CQ661"/>
  <c r="CP661"/>
  <c r="CO661"/>
  <c r="CN661"/>
  <c r="CM661"/>
  <c r="CL661"/>
  <c r="CK661"/>
  <c r="CJ661"/>
  <c r="CI661"/>
  <c r="CH661"/>
  <c r="CG661"/>
  <c r="CF661"/>
  <c r="CE661"/>
  <c r="CD661"/>
  <c r="CC661"/>
  <c r="CB661"/>
  <c r="CA661"/>
  <c r="BZ661"/>
  <c r="BY661"/>
  <c r="BX661"/>
  <c r="BW661"/>
  <c r="BV661"/>
  <c r="BU661"/>
  <c r="BT661"/>
  <c r="BS661"/>
  <c r="BR661"/>
  <c r="BQ661"/>
  <c r="BP661"/>
  <c r="BO661"/>
  <c r="BN661"/>
  <c r="BM661"/>
  <c r="BL661"/>
  <c r="BK661"/>
  <c r="BJ661"/>
  <c r="BI661"/>
  <c r="BH661"/>
  <c r="BG661"/>
  <c r="BF661"/>
  <c r="BE661"/>
  <c r="BD661"/>
  <c r="BC661"/>
  <c r="BB661"/>
  <c r="BA661"/>
  <c r="AZ661"/>
  <c r="AY661"/>
  <c r="AX661"/>
  <c r="AW661"/>
  <c r="AV661"/>
  <c r="AU661"/>
  <c r="AT661"/>
  <c r="AS661"/>
  <c r="AR661"/>
  <c r="AQ661"/>
  <c r="AP661"/>
  <c r="AO661"/>
  <c r="AN661"/>
  <c r="AM661"/>
  <c r="AL661"/>
  <c r="AK661"/>
  <c r="AJ661"/>
  <c r="AI661"/>
  <c r="AH661"/>
  <c r="AG661"/>
  <c r="AF661"/>
  <c r="AE661"/>
  <c r="AD661"/>
  <c r="AC661"/>
  <c r="AB661"/>
  <c r="AA661"/>
  <c r="Z661"/>
  <c r="Y661"/>
  <c r="X661"/>
  <c r="W661"/>
  <c r="V661"/>
  <c r="P661"/>
  <c r="K661"/>
  <c r="L661" s="1"/>
  <c r="A661"/>
  <c r="HM660"/>
  <c r="HL660"/>
  <c r="HK660"/>
  <c r="HJ660"/>
  <c r="HI660"/>
  <c r="HH660"/>
  <c r="HG660"/>
  <c r="HF660"/>
  <c r="HE660"/>
  <c r="HD660"/>
  <c r="HC660"/>
  <c r="HB660"/>
  <c r="HA660"/>
  <c r="GZ660"/>
  <c r="GY660"/>
  <c r="GX660"/>
  <c r="GW660"/>
  <c r="GV660"/>
  <c r="GU660"/>
  <c r="GT660"/>
  <c r="GS660"/>
  <c r="GR660"/>
  <c r="GQ660"/>
  <c r="GP660"/>
  <c r="GO660"/>
  <c r="GN660"/>
  <c r="GM660"/>
  <c r="GL660"/>
  <c r="GK660"/>
  <c r="GJ660"/>
  <c r="GI660"/>
  <c r="GH660"/>
  <c r="GG660"/>
  <c r="GF660"/>
  <c r="GE660"/>
  <c r="GD660"/>
  <c r="GC660"/>
  <c r="GB660"/>
  <c r="GA660"/>
  <c r="FZ660"/>
  <c r="FY660"/>
  <c r="FX660"/>
  <c r="FW660"/>
  <c r="FV660"/>
  <c r="FU660"/>
  <c r="FT660"/>
  <c r="FS660"/>
  <c r="FR660"/>
  <c r="FQ660"/>
  <c r="FP660"/>
  <c r="FO660"/>
  <c r="FN660"/>
  <c r="FM660"/>
  <c r="FL660"/>
  <c r="FK660"/>
  <c r="FJ660"/>
  <c r="FI660"/>
  <c r="FH660"/>
  <c r="FG660"/>
  <c r="FF660"/>
  <c r="FE660"/>
  <c r="FD660"/>
  <c r="FC660"/>
  <c r="FB660"/>
  <c r="FA660"/>
  <c r="EZ660"/>
  <c r="EY660"/>
  <c r="EX660"/>
  <c r="EW660"/>
  <c r="EV660"/>
  <c r="EU660"/>
  <c r="ET660"/>
  <c r="ES660"/>
  <c r="ER660"/>
  <c r="EQ660"/>
  <c r="EP660"/>
  <c r="EO660"/>
  <c r="EN660"/>
  <c r="EM660"/>
  <c r="EL660"/>
  <c r="EK660"/>
  <c r="EJ660"/>
  <c r="EI660"/>
  <c r="EH660"/>
  <c r="EG660"/>
  <c r="EF660"/>
  <c r="EE660"/>
  <c r="ED660"/>
  <c r="EC660"/>
  <c r="EB660"/>
  <c r="EA660"/>
  <c r="DZ660"/>
  <c r="DY660"/>
  <c r="DX660"/>
  <c r="DW660"/>
  <c r="DV660"/>
  <c r="DU660"/>
  <c r="DT660"/>
  <c r="DS660"/>
  <c r="DR660"/>
  <c r="DQ660"/>
  <c r="DP660"/>
  <c r="DO660"/>
  <c r="DN660"/>
  <c r="DM660"/>
  <c r="DL660"/>
  <c r="DK660"/>
  <c r="DJ660"/>
  <c r="DI660"/>
  <c r="DH660"/>
  <c r="DG660"/>
  <c r="DF660"/>
  <c r="DE660"/>
  <c r="DD660"/>
  <c r="DC660"/>
  <c r="DB660"/>
  <c r="DA660"/>
  <c r="CZ660"/>
  <c r="CY660"/>
  <c r="CX660"/>
  <c r="CW660"/>
  <c r="CV660"/>
  <c r="CU660"/>
  <c r="CT660"/>
  <c r="CS660"/>
  <c r="CR660"/>
  <c r="CQ660"/>
  <c r="CP660"/>
  <c r="CO660"/>
  <c r="CN660"/>
  <c r="CM660"/>
  <c r="CL660"/>
  <c r="CK660"/>
  <c r="CJ660"/>
  <c r="CI660"/>
  <c r="CH660"/>
  <c r="CG660"/>
  <c r="CF660"/>
  <c r="CE660"/>
  <c r="CD660"/>
  <c r="CC660"/>
  <c r="CB660"/>
  <c r="CA660"/>
  <c r="BZ660"/>
  <c r="BY660"/>
  <c r="BX660"/>
  <c r="BW660"/>
  <c r="BV660"/>
  <c r="BU660"/>
  <c r="BT660"/>
  <c r="BS660"/>
  <c r="BR660"/>
  <c r="BQ660"/>
  <c r="BP660"/>
  <c r="BO660"/>
  <c r="BN660"/>
  <c r="BM660"/>
  <c r="BL660"/>
  <c r="BK660"/>
  <c r="BJ660"/>
  <c r="BI660"/>
  <c r="BH660"/>
  <c r="BG660"/>
  <c r="BF660"/>
  <c r="BE660"/>
  <c r="BD660"/>
  <c r="BC660"/>
  <c r="BB660"/>
  <c r="BA660"/>
  <c r="AZ660"/>
  <c r="AY660"/>
  <c r="AX660"/>
  <c r="AW660"/>
  <c r="AV660"/>
  <c r="AU660"/>
  <c r="AT660"/>
  <c r="AS660"/>
  <c r="AR660"/>
  <c r="AQ660"/>
  <c r="AP660"/>
  <c r="AO660"/>
  <c r="AN660"/>
  <c r="AM660"/>
  <c r="AL660"/>
  <c r="AK660"/>
  <c r="AJ660"/>
  <c r="AI660"/>
  <c r="AH660"/>
  <c r="AG660"/>
  <c r="AF660"/>
  <c r="AE660"/>
  <c r="AD660"/>
  <c r="AC660"/>
  <c r="AB660"/>
  <c r="AA660"/>
  <c r="Z660"/>
  <c r="Y660"/>
  <c r="X660"/>
  <c r="W660"/>
  <c r="V660"/>
  <c r="P660"/>
  <c r="K660"/>
  <c r="L660" s="1"/>
  <c r="A660"/>
  <c r="HM659"/>
  <c r="HL659"/>
  <c r="HK659"/>
  <c r="HJ659"/>
  <c r="HI659"/>
  <c r="HH659"/>
  <c r="HG659"/>
  <c r="HF659"/>
  <c r="HE659"/>
  <c r="HD659"/>
  <c r="HC659"/>
  <c r="HB659"/>
  <c r="HA659"/>
  <c r="GZ659"/>
  <c r="GY659"/>
  <c r="GX659"/>
  <c r="GW659"/>
  <c r="GV659"/>
  <c r="GU659"/>
  <c r="GT659"/>
  <c r="GS659"/>
  <c r="GR659"/>
  <c r="GQ659"/>
  <c r="GP659"/>
  <c r="GO659"/>
  <c r="GN659"/>
  <c r="GM659"/>
  <c r="GL659"/>
  <c r="GK659"/>
  <c r="GJ659"/>
  <c r="GI659"/>
  <c r="GH659"/>
  <c r="GG659"/>
  <c r="GF659"/>
  <c r="GE659"/>
  <c r="GD659"/>
  <c r="GC659"/>
  <c r="GB659"/>
  <c r="GA659"/>
  <c r="FZ659"/>
  <c r="FY659"/>
  <c r="FX659"/>
  <c r="FW659"/>
  <c r="FV659"/>
  <c r="FU659"/>
  <c r="FT659"/>
  <c r="FS659"/>
  <c r="FR659"/>
  <c r="FQ659"/>
  <c r="FP659"/>
  <c r="FO659"/>
  <c r="FN659"/>
  <c r="FM659"/>
  <c r="FL659"/>
  <c r="FK659"/>
  <c r="FJ659"/>
  <c r="FI659"/>
  <c r="FH659"/>
  <c r="FG659"/>
  <c r="FF659"/>
  <c r="FE659"/>
  <c r="FD659"/>
  <c r="FC659"/>
  <c r="FB659"/>
  <c r="FA659"/>
  <c r="EZ659"/>
  <c r="EY659"/>
  <c r="EX659"/>
  <c r="EW659"/>
  <c r="EV659"/>
  <c r="EU659"/>
  <c r="ET659"/>
  <c r="ES659"/>
  <c r="ER659"/>
  <c r="EQ659"/>
  <c r="EP659"/>
  <c r="EO659"/>
  <c r="EN659"/>
  <c r="EM659"/>
  <c r="EL659"/>
  <c r="EK659"/>
  <c r="EJ659"/>
  <c r="EI659"/>
  <c r="EH659"/>
  <c r="EG659"/>
  <c r="EF659"/>
  <c r="EE659"/>
  <c r="ED659"/>
  <c r="EC659"/>
  <c r="EB659"/>
  <c r="EA659"/>
  <c r="DZ659"/>
  <c r="DY659"/>
  <c r="DX659"/>
  <c r="DW659"/>
  <c r="DV659"/>
  <c r="DU659"/>
  <c r="DT659"/>
  <c r="DS659"/>
  <c r="DR659"/>
  <c r="DQ659"/>
  <c r="DP659"/>
  <c r="DO659"/>
  <c r="DN659"/>
  <c r="DM659"/>
  <c r="DL659"/>
  <c r="DK659"/>
  <c r="DJ659"/>
  <c r="DI659"/>
  <c r="DH659"/>
  <c r="DG659"/>
  <c r="DF659"/>
  <c r="DE659"/>
  <c r="DD659"/>
  <c r="DC659"/>
  <c r="DB659"/>
  <c r="DA659"/>
  <c r="CZ659"/>
  <c r="CY659"/>
  <c r="CX659"/>
  <c r="CW659"/>
  <c r="CV659"/>
  <c r="CU659"/>
  <c r="CT659"/>
  <c r="CS659"/>
  <c r="CR659"/>
  <c r="CQ659"/>
  <c r="CP659"/>
  <c r="CO659"/>
  <c r="CN659"/>
  <c r="CM659"/>
  <c r="CL659"/>
  <c r="CK659"/>
  <c r="CJ659"/>
  <c r="CI659"/>
  <c r="CH659"/>
  <c r="CG659"/>
  <c r="CF659"/>
  <c r="CE659"/>
  <c r="CD659"/>
  <c r="CC659"/>
  <c r="CB659"/>
  <c r="CA659"/>
  <c r="BZ659"/>
  <c r="BY659"/>
  <c r="BX659"/>
  <c r="BW659"/>
  <c r="BV659"/>
  <c r="BU659"/>
  <c r="BT659"/>
  <c r="BS659"/>
  <c r="BR659"/>
  <c r="BQ659"/>
  <c r="BP659"/>
  <c r="BO659"/>
  <c r="BN659"/>
  <c r="BM659"/>
  <c r="BL659"/>
  <c r="BK659"/>
  <c r="BJ659"/>
  <c r="BI659"/>
  <c r="BH659"/>
  <c r="BG659"/>
  <c r="BF659"/>
  <c r="BE659"/>
  <c r="BD659"/>
  <c r="BC659"/>
  <c r="BB659"/>
  <c r="BA659"/>
  <c r="AZ659"/>
  <c r="AY659"/>
  <c r="AX659"/>
  <c r="AW659"/>
  <c r="AV659"/>
  <c r="AU659"/>
  <c r="AT659"/>
  <c r="AS659"/>
  <c r="AR659"/>
  <c r="AQ659"/>
  <c r="AP659"/>
  <c r="AO659"/>
  <c r="AN659"/>
  <c r="AM659"/>
  <c r="AL659"/>
  <c r="AK659"/>
  <c r="AJ659"/>
  <c r="AI659"/>
  <c r="AH659"/>
  <c r="AG659"/>
  <c r="AF659"/>
  <c r="AE659"/>
  <c r="AD659"/>
  <c r="AC659"/>
  <c r="AB659"/>
  <c r="AA659"/>
  <c r="Z659"/>
  <c r="Y659"/>
  <c r="X659"/>
  <c r="W659"/>
  <c r="V659"/>
  <c r="P659"/>
  <c r="K659"/>
  <c r="L659" s="1"/>
  <c r="A659"/>
  <c r="HM658"/>
  <c r="HL658"/>
  <c r="HK658"/>
  <c r="HJ658"/>
  <c r="HI658"/>
  <c r="HH658"/>
  <c r="HG658"/>
  <c r="HF658"/>
  <c r="HE658"/>
  <c r="HD658"/>
  <c r="HC658"/>
  <c r="HB658"/>
  <c r="HA658"/>
  <c r="GZ658"/>
  <c r="GY658"/>
  <c r="GX658"/>
  <c r="GW658"/>
  <c r="GV658"/>
  <c r="GU658"/>
  <c r="GT658"/>
  <c r="GS658"/>
  <c r="GR658"/>
  <c r="GQ658"/>
  <c r="GP658"/>
  <c r="GO658"/>
  <c r="GN658"/>
  <c r="GM658"/>
  <c r="GL658"/>
  <c r="GK658"/>
  <c r="GJ658"/>
  <c r="GI658"/>
  <c r="GH658"/>
  <c r="GG658"/>
  <c r="GF658"/>
  <c r="GE658"/>
  <c r="GD658"/>
  <c r="GC658"/>
  <c r="GB658"/>
  <c r="GA658"/>
  <c r="FZ658"/>
  <c r="FY658"/>
  <c r="FX658"/>
  <c r="FW658"/>
  <c r="FV658"/>
  <c r="FU658"/>
  <c r="FT658"/>
  <c r="FS658"/>
  <c r="FR658"/>
  <c r="FQ658"/>
  <c r="FP658"/>
  <c r="FO658"/>
  <c r="FN658"/>
  <c r="FM658"/>
  <c r="FL658"/>
  <c r="FK658"/>
  <c r="FJ658"/>
  <c r="FI658"/>
  <c r="FH658"/>
  <c r="FG658"/>
  <c r="FF658"/>
  <c r="FE658"/>
  <c r="FD658"/>
  <c r="FC658"/>
  <c r="FB658"/>
  <c r="FA658"/>
  <c r="EZ658"/>
  <c r="EY658"/>
  <c r="EX658"/>
  <c r="EW658"/>
  <c r="EV658"/>
  <c r="EU658"/>
  <c r="ET658"/>
  <c r="ES658"/>
  <c r="ER658"/>
  <c r="EQ658"/>
  <c r="EP658"/>
  <c r="EO658"/>
  <c r="EN658"/>
  <c r="EM658"/>
  <c r="EL658"/>
  <c r="EK658"/>
  <c r="EJ658"/>
  <c r="EI658"/>
  <c r="EH658"/>
  <c r="EG658"/>
  <c r="EF658"/>
  <c r="EE658"/>
  <c r="ED658"/>
  <c r="EC658"/>
  <c r="EB658"/>
  <c r="EA658"/>
  <c r="DZ658"/>
  <c r="DY658"/>
  <c r="DX658"/>
  <c r="DW658"/>
  <c r="DV658"/>
  <c r="DU658"/>
  <c r="DT658"/>
  <c r="DS658"/>
  <c r="DR658"/>
  <c r="DQ658"/>
  <c r="DP658"/>
  <c r="DO658"/>
  <c r="DN658"/>
  <c r="DM658"/>
  <c r="DL658"/>
  <c r="DK658"/>
  <c r="DJ658"/>
  <c r="DI658"/>
  <c r="DH658"/>
  <c r="DG658"/>
  <c r="DF658"/>
  <c r="DE658"/>
  <c r="DD658"/>
  <c r="DC658"/>
  <c r="DB658"/>
  <c r="DA658"/>
  <c r="CZ658"/>
  <c r="CY658"/>
  <c r="CX658"/>
  <c r="CW658"/>
  <c r="CV658"/>
  <c r="CU658"/>
  <c r="CT658"/>
  <c r="CS658"/>
  <c r="CR658"/>
  <c r="CQ658"/>
  <c r="CP658"/>
  <c r="CO658"/>
  <c r="CN658"/>
  <c r="CM658"/>
  <c r="CL658"/>
  <c r="CK658"/>
  <c r="CJ658"/>
  <c r="CI658"/>
  <c r="CH658"/>
  <c r="CG658"/>
  <c r="CF658"/>
  <c r="CE658"/>
  <c r="CD658"/>
  <c r="CC658"/>
  <c r="CB658"/>
  <c r="CA658"/>
  <c r="BZ658"/>
  <c r="BY658"/>
  <c r="BX658"/>
  <c r="BW658"/>
  <c r="BV658"/>
  <c r="BU658"/>
  <c r="BT658"/>
  <c r="BS658"/>
  <c r="BR658"/>
  <c r="BQ658"/>
  <c r="BP658"/>
  <c r="BO658"/>
  <c r="BN658"/>
  <c r="BM658"/>
  <c r="BL658"/>
  <c r="BK658"/>
  <c r="BJ658"/>
  <c r="BI658"/>
  <c r="BH658"/>
  <c r="BG658"/>
  <c r="BF658"/>
  <c r="BE658"/>
  <c r="BD658"/>
  <c r="BC658"/>
  <c r="BB658"/>
  <c r="BA658"/>
  <c r="AZ658"/>
  <c r="AY658"/>
  <c r="AX658"/>
  <c r="AW658"/>
  <c r="AV658"/>
  <c r="AU658"/>
  <c r="AT658"/>
  <c r="AS658"/>
  <c r="AR658"/>
  <c r="AQ658"/>
  <c r="AP658"/>
  <c r="AO658"/>
  <c r="AN658"/>
  <c r="AM658"/>
  <c r="AL658"/>
  <c r="AK658"/>
  <c r="AJ658"/>
  <c r="AI658"/>
  <c r="AH658"/>
  <c r="AG658"/>
  <c r="AF658"/>
  <c r="AE658"/>
  <c r="AD658"/>
  <c r="AC658"/>
  <c r="AB658"/>
  <c r="AA658"/>
  <c r="Z658"/>
  <c r="Y658"/>
  <c r="X658"/>
  <c r="W658"/>
  <c r="V658"/>
  <c r="P658"/>
  <c r="K658"/>
  <c r="L658" s="1"/>
  <c r="A658"/>
  <c r="HM657"/>
  <c r="HL657"/>
  <c r="HK657"/>
  <c r="HJ657"/>
  <c r="HI657"/>
  <c r="HH657"/>
  <c r="HG657"/>
  <c r="HF657"/>
  <c r="HE657"/>
  <c r="HD657"/>
  <c r="HC657"/>
  <c r="HB657"/>
  <c r="HA657"/>
  <c r="GZ657"/>
  <c r="GY657"/>
  <c r="GX657"/>
  <c r="GW657"/>
  <c r="GV657"/>
  <c r="GU657"/>
  <c r="GT657"/>
  <c r="GS657"/>
  <c r="GR657"/>
  <c r="GQ657"/>
  <c r="GP657"/>
  <c r="GO657"/>
  <c r="GN657"/>
  <c r="GM657"/>
  <c r="GL657"/>
  <c r="GK657"/>
  <c r="GJ657"/>
  <c r="GI657"/>
  <c r="GH657"/>
  <c r="GG657"/>
  <c r="GF657"/>
  <c r="GE657"/>
  <c r="GD657"/>
  <c r="GC657"/>
  <c r="GB657"/>
  <c r="GA657"/>
  <c r="FZ657"/>
  <c r="FY657"/>
  <c r="FX657"/>
  <c r="FW657"/>
  <c r="FV657"/>
  <c r="FU657"/>
  <c r="FT657"/>
  <c r="FS657"/>
  <c r="FR657"/>
  <c r="FQ657"/>
  <c r="FP657"/>
  <c r="FO657"/>
  <c r="FN657"/>
  <c r="FM657"/>
  <c r="FL657"/>
  <c r="FK657"/>
  <c r="FJ657"/>
  <c r="FI657"/>
  <c r="FH657"/>
  <c r="FG657"/>
  <c r="FF657"/>
  <c r="FE657"/>
  <c r="FD657"/>
  <c r="FC657"/>
  <c r="FB657"/>
  <c r="FA657"/>
  <c r="EZ657"/>
  <c r="EY657"/>
  <c r="EX657"/>
  <c r="EW657"/>
  <c r="EV657"/>
  <c r="EU657"/>
  <c r="ET657"/>
  <c r="ES657"/>
  <c r="ER657"/>
  <c r="EQ657"/>
  <c r="EP657"/>
  <c r="EO657"/>
  <c r="EN657"/>
  <c r="EM657"/>
  <c r="EL657"/>
  <c r="EK657"/>
  <c r="EJ657"/>
  <c r="EI657"/>
  <c r="EH657"/>
  <c r="EG657"/>
  <c r="EF657"/>
  <c r="EE657"/>
  <c r="ED657"/>
  <c r="EC657"/>
  <c r="EB657"/>
  <c r="EA657"/>
  <c r="DZ657"/>
  <c r="DY657"/>
  <c r="DX657"/>
  <c r="DW657"/>
  <c r="DV657"/>
  <c r="DU657"/>
  <c r="DT657"/>
  <c r="DS657"/>
  <c r="DR657"/>
  <c r="DQ657"/>
  <c r="DP657"/>
  <c r="DO657"/>
  <c r="DN657"/>
  <c r="DM657"/>
  <c r="DL657"/>
  <c r="DK657"/>
  <c r="DJ657"/>
  <c r="DI657"/>
  <c r="DH657"/>
  <c r="DG657"/>
  <c r="DF657"/>
  <c r="DE657"/>
  <c r="DD657"/>
  <c r="DC657"/>
  <c r="DB657"/>
  <c r="DA657"/>
  <c r="CZ657"/>
  <c r="CY657"/>
  <c r="CX657"/>
  <c r="CW657"/>
  <c r="CV657"/>
  <c r="CU657"/>
  <c r="CT657"/>
  <c r="CS657"/>
  <c r="CR657"/>
  <c r="CQ657"/>
  <c r="CP657"/>
  <c r="CO657"/>
  <c r="CN657"/>
  <c r="CM657"/>
  <c r="CL657"/>
  <c r="CK657"/>
  <c r="CJ657"/>
  <c r="CI657"/>
  <c r="CH657"/>
  <c r="CG657"/>
  <c r="CF657"/>
  <c r="CE657"/>
  <c r="CD657"/>
  <c r="CC657"/>
  <c r="CB657"/>
  <c r="CA657"/>
  <c r="BZ657"/>
  <c r="BY657"/>
  <c r="BX657"/>
  <c r="BW657"/>
  <c r="BV657"/>
  <c r="BU657"/>
  <c r="BT657"/>
  <c r="BS657"/>
  <c r="BR657"/>
  <c r="BQ657"/>
  <c r="BP657"/>
  <c r="BO657"/>
  <c r="BN657"/>
  <c r="BM657"/>
  <c r="BL657"/>
  <c r="BK657"/>
  <c r="BJ657"/>
  <c r="BI657"/>
  <c r="BH657"/>
  <c r="BG657"/>
  <c r="BF657"/>
  <c r="BE657"/>
  <c r="BD657"/>
  <c r="BC657"/>
  <c r="BB657"/>
  <c r="BA657"/>
  <c r="AZ657"/>
  <c r="AY657"/>
  <c r="AX657"/>
  <c r="AW657"/>
  <c r="AV657"/>
  <c r="AU657"/>
  <c r="AT657"/>
  <c r="AS657"/>
  <c r="AR657"/>
  <c r="AQ657"/>
  <c r="AP657"/>
  <c r="AO657"/>
  <c r="AN657"/>
  <c r="AM657"/>
  <c r="AL657"/>
  <c r="AK657"/>
  <c r="AJ657"/>
  <c r="AI657"/>
  <c r="AH657"/>
  <c r="AG657"/>
  <c r="AF657"/>
  <c r="AE657"/>
  <c r="AD657"/>
  <c r="AC657"/>
  <c r="AB657"/>
  <c r="AA657"/>
  <c r="Z657"/>
  <c r="Y657"/>
  <c r="X657"/>
  <c r="W657"/>
  <c r="V657"/>
  <c r="P657"/>
  <c r="K657"/>
  <c r="L657" s="1"/>
  <c r="A657"/>
  <c r="HM656"/>
  <c r="HL656"/>
  <c r="HK656"/>
  <c r="HJ656"/>
  <c r="HI656"/>
  <c r="HH656"/>
  <c r="HG656"/>
  <c r="HF656"/>
  <c r="HE656"/>
  <c r="HD656"/>
  <c r="HC656"/>
  <c r="HB656"/>
  <c r="HA656"/>
  <c r="GZ656"/>
  <c r="GY656"/>
  <c r="GX656"/>
  <c r="GW656"/>
  <c r="GV656"/>
  <c r="GU656"/>
  <c r="GT656"/>
  <c r="GS656"/>
  <c r="GR656"/>
  <c r="GQ656"/>
  <c r="GP656"/>
  <c r="GO656"/>
  <c r="GN656"/>
  <c r="GM656"/>
  <c r="GL656"/>
  <c r="GK656"/>
  <c r="GJ656"/>
  <c r="GI656"/>
  <c r="GH656"/>
  <c r="GG656"/>
  <c r="GF656"/>
  <c r="GE656"/>
  <c r="GD656"/>
  <c r="GC656"/>
  <c r="GB656"/>
  <c r="GA656"/>
  <c r="FZ656"/>
  <c r="FY656"/>
  <c r="FX656"/>
  <c r="FW656"/>
  <c r="FV656"/>
  <c r="FU656"/>
  <c r="FT656"/>
  <c r="FS656"/>
  <c r="FR656"/>
  <c r="FQ656"/>
  <c r="FP656"/>
  <c r="FO656"/>
  <c r="FN656"/>
  <c r="FM656"/>
  <c r="FL656"/>
  <c r="FK656"/>
  <c r="FJ656"/>
  <c r="FI656"/>
  <c r="FH656"/>
  <c r="FG656"/>
  <c r="FF656"/>
  <c r="FE656"/>
  <c r="FD656"/>
  <c r="FC656"/>
  <c r="FB656"/>
  <c r="FA656"/>
  <c r="EZ656"/>
  <c r="EY656"/>
  <c r="EX656"/>
  <c r="EW656"/>
  <c r="EV656"/>
  <c r="EU656"/>
  <c r="ET656"/>
  <c r="ES656"/>
  <c r="ER656"/>
  <c r="EQ656"/>
  <c r="EP656"/>
  <c r="EO656"/>
  <c r="EN656"/>
  <c r="EM656"/>
  <c r="EL656"/>
  <c r="EK656"/>
  <c r="EJ656"/>
  <c r="EI656"/>
  <c r="EH656"/>
  <c r="EG656"/>
  <c r="EF656"/>
  <c r="EE656"/>
  <c r="ED656"/>
  <c r="EC656"/>
  <c r="EB656"/>
  <c r="EA656"/>
  <c r="DZ656"/>
  <c r="DY656"/>
  <c r="DX656"/>
  <c r="DW656"/>
  <c r="DV656"/>
  <c r="DU656"/>
  <c r="DT656"/>
  <c r="DS656"/>
  <c r="DR656"/>
  <c r="DQ656"/>
  <c r="DP656"/>
  <c r="DO656"/>
  <c r="DN656"/>
  <c r="DM656"/>
  <c r="DL656"/>
  <c r="DK656"/>
  <c r="DJ656"/>
  <c r="DI656"/>
  <c r="DH656"/>
  <c r="DG656"/>
  <c r="DF656"/>
  <c r="DE656"/>
  <c r="DD656"/>
  <c r="DC656"/>
  <c r="DB656"/>
  <c r="DA656"/>
  <c r="CZ656"/>
  <c r="CY656"/>
  <c r="CX656"/>
  <c r="CW656"/>
  <c r="CV656"/>
  <c r="CU656"/>
  <c r="CT656"/>
  <c r="CS656"/>
  <c r="CR656"/>
  <c r="CQ656"/>
  <c r="CP656"/>
  <c r="CO656"/>
  <c r="CN656"/>
  <c r="CM656"/>
  <c r="CL656"/>
  <c r="CK656"/>
  <c r="CJ656"/>
  <c r="CI656"/>
  <c r="CH656"/>
  <c r="CG656"/>
  <c r="CF656"/>
  <c r="CE656"/>
  <c r="CD656"/>
  <c r="CC656"/>
  <c r="CB656"/>
  <c r="CA656"/>
  <c r="BZ656"/>
  <c r="BY656"/>
  <c r="BX656"/>
  <c r="BW656"/>
  <c r="BV656"/>
  <c r="BU656"/>
  <c r="BT656"/>
  <c r="BS656"/>
  <c r="BR656"/>
  <c r="BQ656"/>
  <c r="BP656"/>
  <c r="BO656"/>
  <c r="BN656"/>
  <c r="BM656"/>
  <c r="BL656"/>
  <c r="BK656"/>
  <c r="BJ656"/>
  <c r="BI656"/>
  <c r="BH656"/>
  <c r="BG656"/>
  <c r="BF656"/>
  <c r="BE656"/>
  <c r="BD656"/>
  <c r="BC656"/>
  <c r="BB656"/>
  <c r="BA656"/>
  <c r="AZ656"/>
  <c r="AY656"/>
  <c r="AX656"/>
  <c r="AW656"/>
  <c r="AV656"/>
  <c r="AU656"/>
  <c r="AT656"/>
  <c r="AS656"/>
  <c r="AR656"/>
  <c r="AQ656"/>
  <c r="AP656"/>
  <c r="AO656"/>
  <c r="AN656"/>
  <c r="AM656"/>
  <c r="AL656"/>
  <c r="AK656"/>
  <c r="AJ656"/>
  <c r="AI656"/>
  <c r="AH656"/>
  <c r="AG656"/>
  <c r="AF656"/>
  <c r="AE656"/>
  <c r="AD656"/>
  <c r="AC656"/>
  <c r="AB656"/>
  <c r="AA656"/>
  <c r="Z656"/>
  <c r="Y656"/>
  <c r="X656"/>
  <c r="W656"/>
  <c r="V656"/>
  <c r="P656"/>
  <c r="K656"/>
  <c r="L656" s="1"/>
  <c r="A656"/>
  <c r="HM655"/>
  <c r="HL655"/>
  <c r="HK655"/>
  <c r="HJ655"/>
  <c r="HI655"/>
  <c r="HH655"/>
  <c r="HG655"/>
  <c r="HF655"/>
  <c r="HE655"/>
  <c r="HD655"/>
  <c r="HC655"/>
  <c r="HB655"/>
  <c r="HA655"/>
  <c r="GZ655"/>
  <c r="GY655"/>
  <c r="GX655"/>
  <c r="GW655"/>
  <c r="GV655"/>
  <c r="GU655"/>
  <c r="GT655"/>
  <c r="GS655"/>
  <c r="GR655"/>
  <c r="GQ655"/>
  <c r="GP655"/>
  <c r="GO655"/>
  <c r="GN655"/>
  <c r="GM655"/>
  <c r="GL655"/>
  <c r="GK655"/>
  <c r="GJ655"/>
  <c r="GI655"/>
  <c r="GH655"/>
  <c r="GG655"/>
  <c r="GF655"/>
  <c r="GE655"/>
  <c r="GD655"/>
  <c r="GC655"/>
  <c r="GB655"/>
  <c r="GA655"/>
  <c r="FZ655"/>
  <c r="FY655"/>
  <c r="FX655"/>
  <c r="FW655"/>
  <c r="FV655"/>
  <c r="FU655"/>
  <c r="FT655"/>
  <c r="FS655"/>
  <c r="FR655"/>
  <c r="FQ655"/>
  <c r="FP655"/>
  <c r="FO655"/>
  <c r="FN655"/>
  <c r="FM655"/>
  <c r="FL655"/>
  <c r="FK655"/>
  <c r="FJ655"/>
  <c r="FI655"/>
  <c r="FH655"/>
  <c r="FG655"/>
  <c r="FF655"/>
  <c r="FE655"/>
  <c r="FD655"/>
  <c r="FC655"/>
  <c r="FB655"/>
  <c r="FA655"/>
  <c r="EZ655"/>
  <c r="EY655"/>
  <c r="EX655"/>
  <c r="EW655"/>
  <c r="EV655"/>
  <c r="EU655"/>
  <c r="ET655"/>
  <c r="ES655"/>
  <c r="ER655"/>
  <c r="EQ655"/>
  <c r="EP655"/>
  <c r="EO655"/>
  <c r="EN655"/>
  <c r="EM655"/>
  <c r="EL655"/>
  <c r="EK655"/>
  <c r="EJ655"/>
  <c r="EI655"/>
  <c r="EH655"/>
  <c r="EG655"/>
  <c r="EF655"/>
  <c r="EE655"/>
  <c r="ED655"/>
  <c r="EC655"/>
  <c r="EB655"/>
  <c r="EA655"/>
  <c r="DZ655"/>
  <c r="DY655"/>
  <c r="DX655"/>
  <c r="DW655"/>
  <c r="DV655"/>
  <c r="DU655"/>
  <c r="DT655"/>
  <c r="DS655"/>
  <c r="DR655"/>
  <c r="DQ655"/>
  <c r="DP655"/>
  <c r="DO655"/>
  <c r="DN655"/>
  <c r="DM655"/>
  <c r="DL655"/>
  <c r="DK655"/>
  <c r="DJ655"/>
  <c r="DI655"/>
  <c r="DH655"/>
  <c r="DG655"/>
  <c r="DF655"/>
  <c r="DE655"/>
  <c r="DD655"/>
  <c r="DC655"/>
  <c r="DB655"/>
  <c r="DA655"/>
  <c r="CZ655"/>
  <c r="CY655"/>
  <c r="CX655"/>
  <c r="CW655"/>
  <c r="CV655"/>
  <c r="CU655"/>
  <c r="CT655"/>
  <c r="CS655"/>
  <c r="CR655"/>
  <c r="CQ655"/>
  <c r="CP655"/>
  <c r="CO655"/>
  <c r="CN655"/>
  <c r="CM655"/>
  <c r="CL655"/>
  <c r="CK655"/>
  <c r="CJ655"/>
  <c r="CI655"/>
  <c r="CH655"/>
  <c r="CG655"/>
  <c r="CF655"/>
  <c r="CE655"/>
  <c r="CD655"/>
  <c r="CC655"/>
  <c r="CB655"/>
  <c r="CA655"/>
  <c r="BZ655"/>
  <c r="BY655"/>
  <c r="BX655"/>
  <c r="BW655"/>
  <c r="BV655"/>
  <c r="BU655"/>
  <c r="BT655"/>
  <c r="BS655"/>
  <c r="BR655"/>
  <c r="BQ655"/>
  <c r="BP655"/>
  <c r="BO655"/>
  <c r="BN655"/>
  <c r="BM655"/>
  <c r="BL655"/>
  <c r="BK655"/>
  <c r="BJ655"/>
  <c r="BI655"/>
  <c r="BH655"/>
  <c r="BG655"/>
  <c r="BF655"/>
  <c r="BE655"/>
  <c r="BD655"/>
  <c r="BC655"/>
  <c r="BB655"/>
  <c r="BA655"/>
  <c r="AZ655"/>
  <c r="AY655"/>
  <c r="AX655"/>
  <c r="AW655"/>
  <c r="AV655"/>
  <c r="AU655"/>
  <c r="AT655"/>
  <c r="AS655"/>
  <c r="AR655"/>
  <c r="AQ655"/>
  <c r="AP655"/>
  <c r="AO655"/>
  <c r="AN655"/>
  <c r="AM655"/>
  <c r="AL655"/>
  <c r="AK655"/>
  <c r="AJ655"/>
  <c r="AI655"/>
  <c r="AH655"/>
  <c r="AG655"/>
  <c r="AF655"/>
  <c r="AE655"/>
  <c r="AD655"/>
  <c r="AC655"/>
  <c r="AB655"/>
  <c r="AA655"/>
  <c r="Z655"/>
  <c r="Y655"/>
  <c r="X655"/>
  <c r="W655"/>
  <c r="V655"/>
  <c r="P655"/>
  <c r="K655"/>
  <c r="L655" s="1"/>
  <c r="A655"/>
  <c r="HM654"/>
  <c r="HL654"/>
  <c r="HK654"/>
  <c r="HJ654"/>
  <c r="HI654"/>
  <c r="HH654"/>
  <c r="HG654"/>
  <c r="HF654"/>
  <c r="HE654"/>
  <c r="HD654"/>
  <c r="HC654"/>
  <c r="HB654"/>
  <c r="HA654"/>
  <c r="GZ654"/>
  <c r="GY654"/>
  <c r="GX654"/>
  <c r="GW654"/>
  <c r="GV654"/>
  <c r="GU654"/>
  <c r="GT654"/>
  <c r="GS654"/>
  <c r="GR654"/>
  <c r="GQ654"/>
  <c r="GP654"/>
  <c r="GO654"/>
  <c r="GN654"/>
  <c r="GM654"/>
  <c r="GL654"/>
  <c r="GK654"/>
  <c r="GJ654"/>
  <c r="GI654"/>
  <c r="GH654"/>
  <c r="GG654"/>
  <c r="GF654"/>
  <c r="GE654"/>
  <c r="GD654"/>
  <c r="GC654"/>
  <c r="GB654"/>
  <c r="GA654"/>
  <c r="FZ654"/>
  <c r="FY654"/>
  <c r="FX654"/>
  <c r="FW654"/>
  <c r="FV654"/>
  <c r="FU654"/>
  <c r="FT654"/>
  <c r="FS654"/>
  <c r="FR654"/>
  <c r="FQ654"/>
  <c r="FP654"/>
  <c r="FO654"/>
  <c r="FN654"/>
  <c r="FM654"/>
  <c r="FL654"/>
  <c r="FK654"/>
  <c r="FJ654"/>
  <c r="FI654"/>
  <c r="FH654"/>
  <c r="FG654"/>
  <c r="FF654"/>
  <c r="FE654"/>
  <c r="FD654"/>
  <c r="FC654"/>
  <c r="FB654"/>
  <c r="FA654"/>
  <c r="EZ654"/>
  <c r="EY654"/>
  <c r="EX654"/>
  <c r="EW654"/>
  <c r="EV654"/>
  <c r="EU654"/>
  <c r="ET654"/>
  <c r="ES654"/>
  <c r="ER654"/>
  <c r="EQ654"/>
  <c r="EP654"/>
  <c r="EO654"/>
  <c r="EN654"/>
  <c r="EM654"/>
  <c r="EL654"/>
  <c r="EK654"/>
  <c r="EJ654"/>
  <c r="EI654"/>
  <c r="EH654"/>
  <c r="EG654"/>
  <c r="EF654"/>
  <c r="EE654"/>
  <c r="ED654"/>
  <c r="EC654"/>
  <c r="EB654"/>
  <c r="EA654"/>
  <c r="DZ654"/>
  <c r="DY654"/>
  <c r="DX654"/>
  <c r="DW654"/>
  <c r="DV654"/>
  <c r="DU654"/>
  <c r="DT654"/>
  <c r="DS654"/>
  <c r="DR654"/>
  <c r="DQ654"/>
  <c r="DP654"/>
  <c r="DO654"/>
  <c r="DN654"/>
  <c r="DM654"/>
  <c r="DL654"/>
  <c r="DK654"/>
  <c r="DJ654"/>
  <c r="DI654"/>
  <c r="DH654"/>
  <c r="DG654"/>
  <c r="DF654"/>
  <c r="DE654"/>
  <c r="DD654"/>
  <c r="DC654"/>
  <c r="DB654"/>
  <c r="DA654"/>
  <c r="CZ654"/>
  <c r="CY654"/>
  <c r="CX654"/>
  <c r="CW654"/>
  <c r="CV654"/>
  <c r="CU654"/>
  <c r="CT654"/>
  <c r="CS654"/>
  <c r="CR654"/>
  <c r="CQ654"/>
  <c r="CP654"/>
  <c r="CO654"/>
  <c r="CN654"/>
  <c r="CM654"/>
  <c r="CL654"/>
  <c r="CK654"/>
  <c r="CJ654"/>
  <c r="CI654"/>
  <c r="CH654"/>
  <c r="CG654"/>
  <c r="CF654"/>
  <c r="CE654"/>
  <c r="CD654"/>
  <c r="CC654"/>
  <c r="CB654"/>
  <c r="CA654"/>
  <c r="BZ654"/>
  <c r="BY654"/>
  <c r="BX654"/>
  <c r="BW654"/>
  <c r="BV654"/>
  <c r="BU654"/>
  <c r="BT654"/>
  <c r="BS654"/>
  <c r="BR654"/>
  <c r="BQ654"/>
  <c r="BP654"/>
  <c r="BO654"/>
  <c r="BN654"/>
  <c r="BM654"/>
  <c r="BL654"/>
  <c r="BK654"/>
  <c r="BJ654"/>
  <c r="BI654"/>
  <c r="BH654"/>
  <c r="BG654"/>
  <c r="BF654"/>
  <c r="BE654"/>
  <c r="BD654"/>
  <c r="BC654"/>
  <c r="BB654"/>
  <c r="BA654"/>
  <c r="AZ654"/>
  <c r="AY654"/>
  <c r="AX654"/>
  <c r="AW654"/>
  <c r="AV654"/>
  <c r="AU654"/>
  <c r="AT654"/>
  <c r="AS654"/>
  <c r="AR654"/>
  <c r="AQ654"/>
  <c r="AP654"/>
  <c r="AO654"/>
  <c r="AN654"/>
  <c r="AM654"/>
  <c r="AL654"/>
  <c r="AK654"/>
  <c r="AJ654"/>
  <c r="AI654"/>
  <c r="AH654"/>
  <c r="AG654"/>
  <c r="AF654"/>
  <c r="AE654"/>
  <c r="AD654"/>
  <c r="AC654"/>
  <c r="AB654"/>
  <c r="AA654"/>
  <c r="Z654"/>
  <c r="Y654"/>
  <c r="X654"/>
  <c r="W654"/>
  <c r="V654"/>
  <c r="P654"/>
  <c r="K654"/>
  <c r="L654" s="1"/>
  <c r="A654"/>
  <c r="HM653"/>
  <c r="HL653"/>
  <c r="HK653"/>
  <c r="HJ653"/>
  <c r="HI653"/>
  <c r="HH653"/>
  <c r="HG653"/>
  <c r="HF653"/>
  <c r="HE653"/>
  <c r="HD653"/>
  <c r="HC653"/>
  <c r="HB653"/>
  <c r="HA653"/>
  <c r="GZ653"/>
  <c r="GY653"/>
  <c r="GX653"/>
  <c r="GW653"/>
  <c r="GV653"/>
  <c r="GU653"/>
  <c r="GT653"/>
  <c r="GS653"/>
  <c r="GR653"/>
  <c r="GQ653"/>
  <c r="GP653"/>
  <c r="GO653"/>
  <c r="GN653"/>
  <c r="GM653"/>
  <c r="GL653"/>
  <c r="GK653"/>
  <c r="GJ653"/>
  <c r="GI653"/>
  <c r="GH653"/>
  <c r="GG653"/>
  <c r="GF653"/>
  <c r="GE653"/>
  <c r="GD653"/>
  <c r="GC653"/>
  <c r="GB653"/>
  <c r="GA653"/>
  <c r="FZ653"/>
  <c r="FY653"/>
  <c r="FX653"/>
  <c r="FW653"/>
  <c r="FV653"/>
  <c r="FU653"/>
  <c r="FT653"/>
  <c r="FS653"/>
  <c r="FR653"/>
  <c r="FQ653"/>
  <c r="FP653"/>
  <c r="FO653"/>
  <c r="FN653"/>
  <c r="FM653"/>
  <c r="FL653"/>
  <c r="FK653"/>
  <c r="FJ653"/>
  <c r="FI653"/>
  <c r="FH653"/>
  <c r="FG653"/>
  <c r="FF653"/>
  <c r="FE653"/>
  <c r="FD653"/>
  <c r="FC653"/>
  <c r="FB653"/>
  <c r="FA653"/>
  <c r="EZ653"/>
  <c r="EY653"/>
  <c r="EX653"/>
  <c r="EW653"/>
  <c r="EV653"/>
  <c r="EU653"/>
  <c r="ET653"/>
  <c r="ES653"/>
  <c r="ER653"/>
  <c r="EQ653"/>
  <c r="EP653"/>
  <c r="EO653"/>
  <c r="EN653"/>
  <c r="EM653"/>
  <c r="EL653"/>
  <c r="EK653"/>
  <c r="EJ653"/>
  <c r="EI653"/>
  <c r="EH653"/>
  <c r="EG653"/>
  <c r="EF653"/>
  <c r="EE653"/>
  <c r="ED653"/>
  <c r="EC653"/>
  <c r="EB653"/>
  <c r="EA653"/>
  <c r="DZ653"/>
  <c r="DY653"/>
  <c r="DX653"/>
  <c r="DW653"/>
  <c r="DV653"/>
  <c r="DU653"/>
  <c r="DT653"/>
  <c r="DS653"/>
  <c r="DR653"/>
  <c r="DQ653"/>
  <c r="DP653"/>
  <c r="DO653"/>
  <c r="DN653"/>
  <c r="DM653"/>
  <c r="DL653"/>
  <c r="DK653"/>
  <c r="DJ653"/>
  <c r="DI653"/>
  <c r="DH653"/>
  <c r="DG653"/>
  <c r="DF653"/>
  <c r="DE653"/>
  <c r="DD653"/>
  <c r="DC653"/>
  <c r="DB653"/>
  <c r="DA653"/>
  <c r="CZ653"/>
  <c r="CY653"/>
  <c r="CX653"/>
  <c r="CW653"/>
  <c r="CV653"/>
  <c r="CU653"/>
  <c r="CT653"/>
  <c r="CS653"/>
  <c r="CR653"/>
  <c r="CQ653"/>
  <c r="CP653"/>
  <c r="CO653"/>
  <c r="CN653"/>
  <c r="CM653"/>
  <c r="CL653"/>
  <c r="CK653"/>
  <c r="CJ653"/>
  <c r="CI653"/>
  <c r="CH653"/>
  <c r="CG653"/>
  <c r="CF653"/>
  <c r="CE653"/>
  <c r="CD653"/>
  <c r="CC653"/>
  <c r="CB653"/>
  <c r="CA653"/>
  <c r="BZ653"/>
  <c r="BY653"/>
  <c r="BX653"/>
  <c r="BW653"/>
  <c r="BV653"/>
  <c r="BU653"/>
  <c r="BT653"/>
  <c r="BS653"/>
  <c r="BR653"/>
  <c r="BQ653"/>
  <c r="BP653"/>
  <c r="BO653"/>
  <c r="BN653"/>
  <c r="BM653"/>
  <c r="BL653"/>
  <c r="BK653"/>
  <c r="BJ653"/>
  <c r="BI653"/>
  <c r="BH653"/>
  <c r="BG653"/>
  <c r="BF653"/>
  <c r="BE653"/>
  <c r="BD653"/>
  <c r="BC653"/>
  <c r="BB653"/>
  <c r="BA653"/>
  <c r="AZ653"/>
  <c r="AY653"/>
  <c r="AX653"/>
  <c r="AW653"/>
  <c r="AV653"/>
  <c r="AU653"/>
  <c r="AT653"/>
  <c r="AS653"/>
  <c r="AR653"/>
  <c r="AQ653"/>
  <c r="AP653"/>
  <c r="AO653"/>
  <c r="AN653"/>
  <c r="AM653"/>
  <c r="AL653"/>
  <c r="AK653"/>
  <c r="AJ653"/>
  <c r="AI653"/>
  <c r="AH653"/>
  <c r="AG653"/>
  <c r="AF653"/>
  <c r="AE653"/>
  <c r="AD653"/>
  <c r="AC653"/>
  <c r="AB653"/>
  <c r="AA653"/>
  <c r="Z653"/>
  <c r="Y653"/>
  <c r="X653"/>
  <c r="W653"/>
  <c r="V653"/>
  <c r="P653"/>
  <c r="K653"/>
  <c r="L653" s="1"/>
  <c r="A653"/>
  <c r="HM652"/>
  <c r="HL652"/>
  <c r="HK652"/>
  <c r="HJ652"/>
  <c r="HI652"/>
  <c r="HH652"/>
  <c r="HG652"/>
  <c r="HF652"/>
  <c r="HE652"/>
  <c r="HD652"/>
  <c r="HC652"/>
  <c r="HB652"/>
  <c r="HA652"/>
  <c r="GZ652"/>
  <c r="GY652"/>
  <c r="GX652"/>
  <c r="GW652"/>
  <c r="GV652"/>
  <c r="GU652"/>
  <c r="GT652"/>
  <c r="GS652"/>
  <c r="GR652"/>
  <c r="GQ652"/>
  <c r="GP652"/>
  <c r="GO652"/>
  <c r="GN652"/>
  <c r="GM652"/>
  <c r="GL652"/>
  <c r="GK652"/>
  <c r="GJ652"/>
  <c r="GI652"/>
  <c r="GH652"/>
  <c r="GG652"/>
  <c r="GF652"/>
  <c r="GE652"/>
  <c r="GD652"/>
  <c r="GC652"/>
  <c r="GB652"/>
  <c r="GA652"/>
  <c r="FZ652"/>
  <c r="FY652"/>
  <c r="FX652"/>
  <c r="FW652"/>
  <c r="FV652"/>
  <c r="FU652"/>
  <c r="FT652"/>
  <c r="FS652"/>
  <c r="FR652"/>
  <c r="FQ652"/>
  <c r="FP652"/>
  <c r="FO652"/>
  <c r="FN652"/>
  <c r="FM652"/>
  <c r="FL652"/>
  <c r="FK652"/>
  <c r="FJ652"/>
  <c r="FI652"/>
  <c r="FH652"/>
  <c r="FG652"/>
  <c r="FF652"/>
  <c r="FE652"/>
  <c r="FD652"/>
  <c r="FC652"/>
  <c r="FB652"/>
  <c r="FA652"/>
  <c r="EZ652"/>
  <c r="EY652"/>
  <c r="EX652"/>
  <c r="EW652"/>
  <c r="EV652"/>
  <c r="EU652"/>
  <c r="ET652"/>
  <c r="ES652"/>
  <c r="ER652"/>
  <c r="EQ652"/>
  <c r="EP652"/>
  <c r="EO652"/>
  <c r="EN652"/>
  <c r="EM652"/>
  <c r="EL652"/>
  <c r="EK652"/>
  <c r="EJ652"/>
  <c r="EI652"/>
  <c r="EH652"/>
  <c r="EG652"/>
  <c r="EF652"/>
  <c r="EE652"/>
  <c r="ED652"/>
  <c r="EC652"/>
  <c r="EB652"/>
  <c r="EA652"/>
  <c r="DZ652"/>
  <c r="DY652"/>
  <c r="DX652"/>
  <c r="DW652"/>
  <c r="DV652"/>
  <c r="DU652"/>
  <c r="DT652"/>
  <c r="DS652"/>
  <c r="DR652"/>
  <c r="DQ652"/>
  <c r="DP652"/>
  <c r="DO652"/>
  <c r="DN652"/>
  <c r="DM652"/>
  <c r="DL652"/>
  <c r="DK652"/>
  <c r="DJ652"/>
  <c r="DI652"/>
  <c r="DH652"/>
  <c r="DG652"/>
  <c r="DF652"/>
  <c r="DE652"/>
  <c r="DD652"/>
  <c r="DC652"/>
  <c r="DB652"/>
  <c r="DA652"/>
  <c r="CZ652"/>
  <c r="CY652"/>
  <c r="CX652"/>
  <c r="CW652"/>
  <c r="CV652"/>
  <c r="CU652"/>
  <c r="CT652"/>
  <c r="CS652"/>
  <c r="CR652"/>
  <c r="CQ652"/>
  <c r="CP652"/>
  <c r="CO652"/>
  <c r="CN652"/>
  <c r="CM652"/>
  <c r="CL652"/>
  <c r="CK652"/>
  <c r="CJ652"/>
  <c r="CI652"/>
  <c r="CH652"/>
  <c r="CG652"/>
  <c r="CF652"/>
  <c r="CE652"/>
  <c r="CD652"/>
  <c r="CC652"/>
  <c r="CB652"/>
  <c r="CA652"/>
  <c r="BZ652"/>
  <c r="BY652"/>
  <c r="BX652"/>
  <c r="BW652"/>
  <c r="BV652"/>
  <c r="BU652"/>
  <c r="BT652"/>
  <c r="BS652"/>
  <c r="BR652"/>
  <c r="BQ652"/>
  <c r="BP652"/>
  <c r="BO652"/>
  <c r="BN652"/>
  <c r="BM652"/>
  <c r="BL652"/>
  <c r="BK652"/>
  <c r="BJ652"/>
  <c r="BI652"/>
  <c r="BH652"/>
  <c r="BG652"/>
  <c r="BF652"/>
  <c r="BE652"/>
  <c r="BD652"/>
  <c r="BC652"/>
  <c r="BB652"/>
  <c r="BA652"/>
  <c r="AZ652"/>
  <c r="AY652"/>
  <c r="AX652"/>
  <c r="AW652"/>
  <c r="AV652"/>
  <c r="AU652"/>
  <c r="AT652"/>
  <c r="AS652"/>
  <c r="AR652"/>
  <c r="AQ652"/>
  <c r="AP652"/>
  <c r="AO652"/>
  <c r="AN652"/>
  <c r="AM652"/>
  <c r="AL652"/>
  <c r="AK652"/>
  <c r="AJ652"/>
  <c r="AI652"/>
  <c r="AH652"/>
  <c r="AG652"/>
  <c r="AF652"/>
  <c r="AE652"/>
  <c r="AD652"/>
  <c r="AC652"/>
  <c r="AB652"/>
  <c r="AA652"/>
  <c r="Z652"/>
  <c r="Y652"/>
  <c r="X652"/>
  <c r="W652"/>
  <c r="V652"/>
  <c r="P652"/>
  <c r="K652"/>
  <c r="L652" s="1"/>
  <c r="A652"/>
  <c r="HM651"/>
  <c r="HL651"/>
  <c r="HK651"/>
  <c r="HJ651"/>
  <c r="HI651"/>
  <c r="HH651"/>
  <c r="HG651"/>
  <c r="HF651"/>
  <c r="HE651"/>
  <c r="HD651"/>
  <c r="HC651"/>
  <c r="HB651"/>
  <c r="HA651"/>
  <c r="GZ651"/>
  <c r="GY651"/>
  <c r="GX651"/>
  <c r="GW651"/>
  <c r="GV651"/>
  <c r="GU651"/>
  <c r="GT651"/>
  <c r="GS651"/>
  <c r="GR651"/>
  <c r="GQ651"/>
  <c r="GP651"/>
  <c r="GO651"/>
  <c r="GN651"/>
  <c r="GM651"/>
  <c r="GL651"/>
  <c r="GK651"/>
  <c r="GJ651"/>
  <c r="GI651"/>
  <c r="GH651"/>
  <c r="GG651"/>
  <c r="GF651"/>
  <c r="GE651"/>
  <c r="GD651"/>
  <c r="GC651"/>
  <c r="GB651"/>
  <c r="GA651"/>
  <c r="FZ651"/>
  <c r="FY651"/>
  <c r="FX651"/>
  <c r="FW651"/>
  <c r="FV651"/>
  <c r="FU651"/>
  <c r="FT651"/>
  <c r="FS651"/>
  <c r="FR651"/>
  <c r="FQ651"/>
  <c r="FP651"/>
  <c r="FO651"/>
  <c r="FN651"/>
  <c r="FM651"/>
  <c r="FL651"/>
  <c r="FK651"/>
  <c r="FJ651"/>
  <c r="FI651"/>
  <c r="FH651"/>
  <c r="FG651"/>
  <c r="FF651"/>
  <c r="FE651"/>
  <c r="FD651"/>
  <c r="FC651"/>
  <c r="FB651"/>
  <c r="FA651"/>
  <c r="EZ651"/>
  <c r="EY651"/>
  <c r="EX651"/>
  <c r="EW651"/>
  <c r="EV651"/>
  <c r="EU651"/>
  <c r="ET651"/>
  <c r="ES651"/>
  <c r="ER651"/>
  <c r="EQ651"/>
  <c r="EP651"/>
  <c r="EO651"/>
  <c r="EN651"/>
  <c r="EM651"/>
  <c r="EL651"/>
  <c r="EK651"/>
  <c r="EJ651"/>
  <c r="EI651"/>
  <c r="EH651"/>
  <c r="EG651"/>
  <c r="EF651"/>
  <c r="EE651"/>
  <c r="ED651"/>
  <c r="EC651"/>
  <c r="EB651"/>
  <c r="EA651"/>
  <c r="DZ651"/>
  <c r="DY651"/>
  <c r="DX651"/>
  <c r="DW651"/>
  <c r="DV651"/>
  <c r="DU651"/>
  <c r="DT651"/>
  <c r="DS651"/>
  <c r="DR651"/>
  <c r="DQ651"/>
  <c r="DP651"/>
  <c r="DO651"/>
  <c r="DN651"/>
  <c r="DM651"/>
  <c r="DL651"/>
  <c r="DK651"/>
  <c r="DJ651"/>
  <c r="DI651"/>
  <c r="DH651"/>
  <c r="DG651"/>
  <c r="DF651"/>
  <c r="DE651"/>
  <c r="DD651"/>
  <c r="DC651"/>
  <c r="DB651"/>
  <c r="DA651"/>
  <c r="CZ651"/>
  <c r="CY651"/>
  <c r="CX651"/>
  <c r="CW651"/>
  <c r="CV651"/>
  <c r="CU651"/>
  <c r="CT651"/>
  <c r="CS651"/>
  <c r="CR651"/>
  <c r="CQ651"/>
  <c r="CP651"/>
  <c r="CO651"/>
  <c r="CN651"/>
  <c r="CM651"/>
  <c r="CL651"/>
  <c r="CK651"/>
  <c r="CJ651"/>
  <c r="CI651"/>
  <c r="CH651"/>
  <c r="CG651"/>
  <c r="CF651"/>
  <c r="CE651"/>
  <c r="CD651"/>
  <c r="CC651"/>
  <c r="CB651"/>
  <c r="CA651"/>
  <c r="BZ651"/>
  <c r="BY651"/>
  <c r="BX651"/>
  <c r="BW651"/>
  <c r="BV651"/>
  <c r="BU651"/>
  <c r="BT651"/>
  <c r="BS651"/>
  <c r="BR651"/>
  <c r="BQ651"/>
  <c r="BP651"/>
  <c r="BO651"/>
  <c r="BN651"/>
  <c r="BM651"/>
  <c r="BL651"/>
  <c r="BK651"/>
  <c r="BJ651"/>
  <c r="BI651"/>
  <c r="BH651"/>
  <c r="BG651"/>
  <c r="BF651"/>
  <c r="BE651"/>
  <c r="BD651"/>
  <c r="BC651"/>
  <c r="BB651"/>
  <c r="BA651"/>
  <c r="AZ651"/>
  <c r="AY651"/>
  <c r="AX651"/>
  <c r="AW651"/>
  <c r="AV651"/>
  <c r="AU651"/>
  <c r="AT651"/>
  <c r="AS651"/>
  <c r="AR651"/>
  <c r="AQ651"/>
  <c r="AP651"/>
  <c r="AO651"/>
  <c r="AN651"/>
  <c r="AM651"/>
  <c r="AL651"/>
  <c r="AK651"/>
  <c r="AJ651"/>
  <c r="AI651"/>
  <c r="AH651"/>
  <c r="AG651"/>
  <c r="AF651"/>
  <c r="AE651"/>
  <c r="AD651"/>
  <c r="AC651"/>
  <c r="AB651"/>
  <c r="AA651"/>
  <c r="Z651"/>
  <c r="Y651"/>
  <c r="X651"/>
  <c r="W651"/>
  <c r="V651"/>
  <c r="P651"/>
  <c r="K651"/>
  <c r="L651" s="1"/>
  <c r="A651"/>
  <c r="HM650"/>
  <c r="HL650"/>
  <c r="HK650"/>
  <c r="HJ650"/>
  <c r="HI650"/>
  <c r="HH650"/>
  <c r="HG650"/>
  <c r="HF650"/>
  <c r="HE650"/>
  <c r="HD650"/>
  <c r="HC650"/>
  <c r="HB650"/>
  <c r="HA650"/>
  <c r="GZ650"/>
  <c r="GY650"/>
  <c r="GX650"/>
  <c r="GW650"/>
  <c r="GV650"/>
  <c r="GU650"/>
  <c r="GT650"/>
  <c r="GS650"/>
  <c r="GR650"/>
  <c r="GQ650"/>
  <c r="GP650"/>
  <c r="GO650"/>
  <c r="GN650"/>
  <c r="GM650"/>
  <c r="GL650"/>
  <c r="GK650"/>
  <c r="GJ650"/>
  <c r="GI650"/>
  <c r="GH650"/>
  <c r="GG650"/>
  <c r="GF650"/>
  <c r="GE650"/>
  <c r="GD650"/>
  <c r="GC650"/>
  <c r="GB650"/>
  <c r="GA650"/>
  <c r="FZ650"/>
  <c r="FY650"/>
  <c r="FX650"/>
  <c r="FW650"/>
  <c r="FV650"/>
  <c r="FU650"/>
  <c r="FT650"/>
  <c r="FS650"/>
  <c r="FR650"/>
  <c r="FQ650"/>
  <c r="FP650"/>
  <c r="FO650"/>
  <c r="FN650"/>
  <c r="FM650"/>
  <c r="FL650"/>
  <c r="FK650"/>
  <c r="FJ650"/>
  <c r="FI650"/>
  <c r="FH650"/>
  <c r="FG650"/>
  <c r="FF650"/>
  <c r="FE650"/>
  <c r="FD650"/>
  <c r="FC650"/>
  <c r="FB650"/>
  <c r="FA650"/>
  <c r="EZ650"/>
  <c r="EY650"/>
  <c r="EX650"/>
  <c r="EW650"/>
  <c r="EV650"/>
  <c r="EU650"/>
  <c r="ET650"/>
  <c r="ES650"/>
  <c r="ER650"/>
  <c r="EQ650"/>
  <c r="EP650"/>
  <c r="EO650"/>
  <c r="EN650"/>
  <c r="EM650"/>
  <c r="EL650"/>
  <c r="EK650"/>
  <c r="EJ650"/>
  <c r="EI650"/>
  <c r="EH650"/>
  <c r="EG650"/>
  <c r="EF650"/>
  <c r="EE650"/>
  <c r="ED650"/>
  <c r="EC650"/>
  <c r="EB650"/>
  <c r="EA650"/>
  <c r="DZ650"/>
  <c r="DY650"/>
  <c r="DX650"/>
  <c r="DW650"/>
  <c r="DV650"/>
  <c r="DU650"/>
  <c r="DT650"/>
  <c r="DS650"/>
  <c r="DR650"/>
  <c r="DQ650"/>
  <c r="DP650"/>
  <c r="DO650"/>
  <c r="DN650"/>
  <c r="DM650"/>
  <c r="DL650"/>
  <c r="DK650"/>
  <c r="DJ650"/>
  <c r="DI650"/>
  <c r="DH650"/>
  <c r="DG650"/>
  <c r="DF650"/>
  <c r="DE650"/>
  <c r="DD650"/>
  <c r="DC650"/>
  <c r="DB650"/>
  <c r="DA650"/>
  <c r="CZ650"/>
  <c r="CY650"/>
  <c r="CX650"/>
  <c r="CW650"/>
  <c r="CV650"/>
  <c r="CU650"/>
  <c r="CT650"/>
  <c r="CS650"/>
  <c r="CR650"/>
  <c r="CQ650"/>
  <c r="CP650"/>
  <c r="CO650"/>
  <c r="CN650"/>
  <c r="CM650"/>
  <c r="CL650"/>
  <c r="CK650"/>
  <c r="CJ650"/>
  <c r="CI650"/>
  <c r="CH650"/>
  <c r="CG650"/>
  <c r="CF650"/>
  <c r="CE650"/>
  <c r="CD650"/>
  <c r="CC650"/>
  <c r="CB650"/>
  <c r="CA650"/>
  <c r="BZ650"/>
  <c r="BY650"/>
  <c r="BX650"/>
  <c r="BW650"/>
  <c r="BV650"/>
  <c r="BU650"/>
  <c r="BT650"/>
  <c r="BS650"/>
  <c r="BR650"/>
  <c r="BQ650"/>
  <c r="BP650"/>
  <c r="BO650"/>
  <c r="BN650"/>
  <c r="BM650"/>
  <c r="BL650"/>
  <c r="BK650"/>
  <c r="BJ650"/>
  <c r="BI650"/>
  <c r="BH650"/>
  <c r="BG650"/>
  <c r="BF650"/>
  <c r="BE650"/>
  <c r="BD650"/>
  <c r="BC650"/>
  <c r="BB650"/>
  <c r="BA650"/>
  <c r="AZ650"/>
  <c r="AY650"/>
  <c r="AX650"/>
  <c r="AW650"/>
  <c r="AV650"/>
  <c r="AU650"/>
  <c r="AT650"/>
  <c r="AS650"/>
  <c r="AR650"/>
  <c r="AQ650"/>
  <c r="AP650"/>
  <c r="AO650"/>
  <c r="AN650"/>
  <c r="AM650"/>
  <c r="AL650"/>
  <c r="AK650"/>
  <c r="AJ650"/>
  <c r="AI650"/>
  <c r="AH650"/>
  <c r="AG650"/>
  <c r="AF650"/>
  <c r="AE650"/>
  <c r="AD650"/>
  <c r="AC650"/>
  <c r="AB650"/>
  <c r="AA650"/>
  <c r="Z650"/>
  <c r="Y650"/>
  <c r="X650"/>
  <c r="W650"/>
  <c r="V650"/>
  <c r="P650"/>
  <c r="K650"/>
  <c r="L650" s="1"/>
  <c r="A650"/>
  <c r="HM649"/>
  <c r="HL649"/>
  <c r="HK649"/>
  <c r="HJ649"/>
  <c r="HI649"/>
  <c r="HH649"/>
  <c r="HG649"/>
  <c r="HF649"/>
  <c r="HE649"/>
  <c r="HD649"/>
  <c r="HC649"/>
  <c r="HB649"/>
  <c r="HA649"/>
  <c r="GZ649"/>
  <c r="GY649"/>
  <c r="GX649"/>
  <c r="GW649"/>
  <c r="GV649"/>
  <c r="GU649"/>
  <c r="GT649"/>
  <c r="GS649"/>
  <c r="GR649"/>
  <c r="GQ649"/>
  <c r="GP649"/>
  <c r="GO649"/>
  <c r="GN649"/>
  <c r="GM649"/>
  <c r="GL649"/>
  <c r="GK649"/>
  <c r="GJ649"/>
  <c r="GI649"/>
  <c r="GH649"/>
  <c r="GG649"/>
  <c r="GF649"/>
  <c r="GE649"/>
  <c r="GD649"/>
  <c r="GC649"/>
  <c r="GB649"/>
  <c r="GA649"/>
  <c r="FZ649"/>
  <c r="FY649"/>
  <c r="FX649"/>
  <c r="FW649"/>
  <c r="FV649"/>
  <c r="FU649"/>
  <c r="FT649"/>
  <c r="FS649"/>
  <c r="FR649"/>
  <c r="FQ649"/>
  <c r="FP649"/>
  <c r="FO649"/>
  <c r="FN649"/>
  <c r="FM649"/>
  <c r="FL649"/>
  <c r="FK649"/>
  <c r="FJ649"/>
  <c r="FI649"/>
  <c r="FH649"/>
  <c r="FG649"/>
  <c r="FF649"/>
  <c r="FE649"/>
  <c r="FD649"/>
  <c r="FC649"/>
  <c r="FB649"/>
  <c r="FA649"/>
  <c r="EZ649"/>
  <c r="EY649"/>
  <c r="EX649"/>
  <c r="EW649"/>
  <c r="EV649"/>
  <c r="EU649"/>
  <c r="ET649"/>
  <c r="ES649"/>
  <c r="ER649"/>
  <c r="EQ649"/>
  <c r="EP649"/>
  <c r="EO649"/>
  <c r="EN649"/>
  <c r="EM649"/>
  <c r="EL649"/>
  <c r="EK649"/>
  <c r="EJ649"/>
  <c r="EI649"/>
  <c r="EH649"/>
  <c r="EG649"/>
  <c r="EF649"/>
  <c r="EE649"/>
  <c r="ED649"/>
  <c r="EC649"/>
  <c r="EB649"/>
  <c r="EA649"/>
  <c r="DZ649"/>
  <c r="DY649"/>
  <c r="DX649"/>
  <c r="DW649"/>
  <c r="DV649"/>
  <c r="DU649"/>
  <c r="DT649"/>
  <c r="DS649"/>
  <c r="DR649"/>
  <c r="DQ649"/>
  <c r="DP649"/>
  <c r="DO649"/>
  <c r="DN649"/>
  <c r="DM649"/>
  <c r="DL649"/>
  <c r="DK649"/>
  <c r="DJ649"/>
  <c r="DI649"/>
  <c r="DH649"/>
  <c r="DG649"/>
  <c r="DF649"/>
  <c r="DE649"/>
  <c r="DD649"/>
  <c r="DC649"/>
  <c r="DB649"/>
  <c r="DA649"/>
  <c r="CZ649"/>
  <c r="CY649"/>
  <c r="CX649"/>
  <c r="CW649"/>
  <c r="CV649"/>
  <c r="CU649"/>
  <c r="CT649"/>
  <c r="CS649"/>
  <c r="CR649"/>
  <c r="CQ649"/>
  <c r="CP649"/>
  <c r="CO649"/>
  <c r="CN649"/>
  <c r="CM649"/>
  <c r="CL649"/>
  <c r="CK649"/>
  <c r="CJ649"/>
  <c r="CI649"/>
  <c r="CH649"/>
  <c r="CG649"/>
  <c r="CF649"/>
  <c r="CE649"/>
  <c r="CD649"/>
  <c r="CC649"/>
  <c r="CB649"/>
  <c r="CA649"/>
  <c r="BZ649"/>
  <c r="BY649"/>
  <c r="BX649"/>
  <c r="BW649"/>
  <c r="BV649"/>
  <c r="BU649"/>
  <c r="BT649"/>
  <c r="BS649"/>
  <c r="BR649"/>
  <c r="BQ649"/>
  <c r="BP649"/>
  <c r="BO649"/>
  <c r="BN649"/>
  <c r="BM649"/>
  <c r="BL649"/>
  <c r="BK649"/>
  <c r="BJ649"/>
  <c r="BI649"/>
  <c r="BH649"/>
  <c r="BG649"/>
  <c r="BF649"/>
  <c r="BE649"/>
  <c r="BD649"/>
  <c r="BC649"/>
  <c r="BB649"/>
  <c r="BA649"/>
  <c r="AZ649"/>
  <c r="AY649"/>
  <c r="AX649"/>
  <c r="AW649"/>
  <c r="AV649"/>
  <c r="AU649"/>
  <c r="AT649"/>
  <c r="AS649"/>
  <c r="AR649"/>
  <c r="AQ649"/>
  <c r="AP649"/>
  <c r="AO649"/>
  <c r="AN649"/>
  <c r="AM649"/>
  <c r="AL649"/>
  <c r="AK649"/>
  <c r="AJ649"/>
  <c r="AI649"/>
  <c r="AH649"/>
  <c r="AG649"/>
  <c r="AF649"/>
  <c r="AE649"/>
  <c r="AD649"/>
  <c r="AC649"/>
  <c r="AB649"/>
  <c r="AA649"/>
  <c r="Z649"/>
  <c r="Y649"/>
  <c r="X649"/>
  <c r="W649"/>
  <c r="V649"/>
  <c r="P649"/>
  <c r="K649"/>
  <c r="L649" s="1"/>
  <c r="A649"/>
  <c r="HM648"/>
  <c r="HL648"/>
  <c r="HK648"/>
  <c r="HJ648"/>
  <c r="HI648"/>
  <c r="HH648"/>
  <c r="HG648"/>
  <c r="HF648"/>
  <c r="HE648"/>
  <c r="HD648"/>
  <c r="HC648"/>
  <c r="HB648"/>
  <c r="HA648"/>
  <c r="GZ648"/>
  <c r="GY648"/>
  <c r="GX648"/>
  <c r="GW648"/>
  <c r="GV648"/>
  <c r="GU648"/>
  <c r="GT648"/>
  <c r="GS648"/>
  <c r="GR648"/>
  <c r="GQ648"/>
  <c r="GP648"/>
  <c r="GO648"/>
  <c r="GN648"/>
  <c r="GM648"/>
  <c r="GL648"/>
  <c r="GK648"/>
  <c r="GJ648"/>
  <c r="GI648"/>
  <c r="GH648"/>
  <c r="GG648"/>
  <c r="GF648"/>
  <c r="GE648"/>
  <c r="GD648"/>
  <c r="GC648"/>
  <c r="GB648"/>
  <c r="GA648"/>
  <c r="FZ648"/>
  <c r="FY648"/>
  <c r="FX648"/>
  <c r="FW648"/>
  <c r="FV648"/>
  <c r="FU648"/>
  <c r="FT648"/>
  <c r="FS648"/>
  <c r="FR648"/>
  <c r="FQ648"/>
  <c r="FP648"/>
  <c r="FO648"/>
  <c r="FN648"/>
  <c r="FM648"/>
  <c r="FL648"/>
  <c r="FK648"/>
  <c r="FJ648"/>
  <c r="FI648"/>
  <c r="FH648"/>
  <c r="FG648"/>
  <c r="FF648"/>
  <c r="FE648"/>
  <c r="FD648"/>
  <c r="FC648"/>
  <c r="FB648"/>
  <c r="FA648"/>
  <c r="EZ648"/>
  <c r="EY648"/>
  <c r="EX648"/>
  <c r="EW648"/>
  <c r="EV648"/>
  <c r="EU648"/>
  <c r="ET648"/>
  <c r="ES648"/>
  <c r="ER648"/>
  <c r="EQ648"/>
  <c r="EP648"/>
  <c r="EO648"/>
  <c r="EN648"/>
  <c r="EM648"/>
  <c r="EL648"/>
  <c r="EK648"/>
  <c r="EJ648"/>
  <c r="EI648"/>
  <c r="EH648"/>
  <c r="EG648"/>
  <c r="EF648"/>
  <c r="EE648"/>
  <c r="ED648"/>
  <c r="EC648"/>
  <c r="EB648"/>
  <c r="EA648"/>
  <c r="DZ648"/>
  <c r="DY648"/>
  <c r="DX648"/>
  <c r="DW648"/>
  <c r="DV648"/>
  <c r="DU648"/>
  <c r="DT648"/>
  <c r="DS648"/>
  <c r="DR648"/>
  <c r="DQ648"/>
  <c r="DP648"/>
  <c r="DO648"/>
  <c r="DN648"/>
  <c r="DM648"/>
  <c r="DL648"/>
  <c r="DK648"/>
  <c r="DJ648"/>
  <c r="DI648"/>
  <c r="DH648"/>
  <c r="DG648"/>
  <c r="DF648"/>
  <c r="DE648"/>
  <c r="DD648"/>
  <c r="DC648"/>
  <c r="DB648"/>
  <c r="DA648"/>
  <c r="CZ648"/>
  <c r="CY648"/>
  <c r="CX648"/>
  <c r="CW648"/>
  <c r="CV648"/>
  <c r="CU648"/>
  <c r="CT648"/>
  <c r="CS648"/>
  <c r="CR648"/>
  <c r="CQ648"/>
  <c r="CP648"/>
  <c r="CO648"/>
  <c r="CN648"/>
  <c r="CM648"/>
  <c r="CL648"/>
  <c r="CK648"/>
  <c r="CJ648"/>
  <c r="CI648"/>
  <c r="CH648"/>
  <c r="CG648"/>
  <c r="CF648"/>
  <c r="CE648"/>
  <c r="CD648"/>
  <c r="CC648"/>
  <c r="CB648"/>
  <c r="CA648"/>
  <c r="BZ648"/>
  <c r="BY648"/>
  <c r="BX648"/>
  <c r="BW648"/>
  <c r="BV648"/>
  <c r="BU648"/>
  <c r="BT648"/>
  <c r="BS648"/>
  <c r="BR648"/>
  <c r="BQ648"/>
  <c r="BP648"/>
  <c r="BO648"/>
  <c r="BN648"/>
  <c r="BM648"/>
  <c r="BL648"/>
  <c r="BK648"/>
  <c r="BJ648"/>
  <c r="BI648"/>
  <c r="BH648"/>
  <c r="BG648"/>
  <c r="BF648"/>
  <c r="BE648"/>
  <c r="BD648"/>
  <c r="BC648"/>
  <c r="BB648"/>
  <c r="BA648"/>
  <c r="AZ648"/>
  <c r="AY648"/>
  <c r="AX648"/>
  <c r="AW648"/>
  <c r="AV648"/>
  <c r="AU648"/>
  <c r="AT648"/>
  <c r="AS648"/>
  <c r="AR648"/>
  <c r="AQ648"/>
  <c r="AP648"/>
  <c r="AO648"/>
  <c r="AN648"/>
  <c r="AM648"/>
  <c r="AL648"/>
  <c r="AK648"/>
  <c r="AJ648"/>
  <c r="AI648"/>
  <c r="AH648"/>
  <c r="AG648"/>
  <c r="AF648"/>
  <c r="AE648"/>
  <c r="AD648"/>
  <c r="AC648"/>
  <c r="AB648"/>
  <c r="AA648"/>
  <c r="Z648"/>
  <c r="Y648"/>
  <c r="X648"/>
  <c r="W648"/>
  <c r="V648"/>
  <c r="P648"/>
  <c r="K648"/>
  <c r="L648" s="1"/>
  <c r="A648"/>
  <c r="HM647"/>
  <c r="HL647"/>
  <c r="HK647"/>
  <c r="HJ647"/>
  <c r="HI647"/>
  <c r="HH647"/>
  <c r="HG647"/>
  <c r="HF647"/>
  <c r="HE647"/>
  <c r="HD647"/>
  <c r="HC647"/>
  <c r="HB647"/>
  <c r="HA647"/>
  <c r="GZ647"/>
  <c r="GY647"/>
  <c r="GX647"/>
  <c r="GW647"/>
  <c r="GV647"/>
  <c r="GU647"/>
  <c r="GT647"/>
  <c r="GS647"/>
  <c r="GR647"/>
  <c r="GQ647"/>
  <c r="GP647"/>
  <c r="GO647"/>
  <c r="GN647"/>
  <c r="GM647"/>
  <c r="GL647"/>
  <c r="GK647"/>
  <c r="GJ647"/>
  <c r="GI647"/>
  <c r="GH647"/>
  <c r="GG647"/>
  <c r="GF647"/>
  <c r="GE647"/>
  <c r="GD647"/>
  <c r="GC647"/>
  <c r="GB647"/>
  <c r="GA647"/>
  <c r="FZ647"/>
  <c r="FY647"/>
  <c r="FX647"/>
  <c r="FW647"/>
  <c r="FV647"/>
  <c r="FU647"/>
  <c r="FT647"/>
  <c r="FS647"/>
  <c r="FR647"/>
  <c r="FQ647"/>
  <c r="FP647"/>
  <c r="FO647"/>
  <c r="FN647"/>
  <c r="FM647"/>
  <c r="FL647"/>
  <c r="FK647"/>
  <c r="FJ647"/>
  <c r="FI647"/>
  <c r="FH647"/>
  <c r="FG647"/>
  <c r="FF647"/>
  <c r="FE647"/>
  <c r="FD647"/>
  <c r="FC647"/>
  <c r="FB647"/>
  <c r="FA647"/>
  <c r="EZ647"/>
  <c r="EY647"/>
  <c r="EX647"/>
  <c r="EW647"/>
  <c r="EV647"/>
  <c r="EU647"/>
  <c r="ET647"/>
  <c r="ES647"/>
  <c r="ER647"/>
  <c r="EQ647"/>
  <c r="EP647"/>
  <c r="EO647"/>
  <c r="EN647"/>
  <c r="EM647"/>
  <c r="EL647"/>
  <c r="EK647"/>
  <c r="EJ647"/>
  <c r="EI647"/>
  <c r="EH647"/>
  <c r="EG647"/>
  <c r="EF647"/>
  <c r="EE647"/>
  <c r="ED647"/>
  <c r="EC647"/>
  <c r="EB647"/>
  <c r="EA647"/>
  <c r="DZ647"/>
  <c r="DY647"/>
  <c r="DX647"/>
  <c r="DW647"/>
  <c r="DV647"/>
  <c r="DU647"/>
  <c r="DT647"/>
  <c r="DS647"/>
  <c r="DR647"/>
  <c r="DQ647"/>
  <c r="DP647"/>
  <c r="DO647"/>
  <c r="DN647"/>
  <c r="DM647"/>
  <c r="DL647"/>
  <c r="DK647"/>
  <c r="DJ647"/>
  <c r="DI647"/>
  <c r="DH647"/>
  <c r="DG647"/>
  <c r="DF647"/>
  <c r="DE647"/>
  <c r="DD647"/>
  <c r="DC647"/>
  <c r="DB647"/>
  <c r="DA647"/>
  <c r="CZ647"/>
  <c r="CY647"/>
  <c r="CX647"/>
  <c r="CW647"/>
  <c r="CV647"/>
  <c r="CU647"/>
  <c r="CT647"/>
  <c r="CS647"/>
  <c r="CR647"/>
  <c r="CQ647"/>
  <c r="CP647"/>
  <c r="CO647"/>
  <c r="CN647"/>
  <c r="CM647"/>
  <c r="CL647"/>
  <c r="CK647"/>
  <c r="CJ647"/>
  <c r="CI647"/>
  <c r="CH647"/>
  <c r="CG647"/>
  <c r="CF647"/>
  <c r="CE647"/>
  <c r="CD647"/>
  <c r="CC647"/>
  <c r="CB647"/>
  <c r="CA647"/>
  <c r="BZ647"/>
  <c r="BY647"/>
  <c r="BX647"/>
  <c r="BW647"/>
  <c r="BV647"/>
  <c r="BU647"/>
  <c r="BT647"/>
  <c r="BS647"/>
  <c r="BR647"/>
  <c r="BQ647"/>
  <c r="BP647"/>
  <c r="BO647"/>
  <c r="BN647"/>
  <c r="BM647"/>
  <c r="BL647"/>
  <c r="BK647"/>
  <c r="BJ647"/>
  <c r="BI647"/>
  <c r="BH647"/>
  <c r="BG647"/>
  <c r="BF647"/>
  <c r="BE647"/>
  <c r="BD647"/>
  <c r="BC647"/>
  <c r="BB647"/>
  <c r="BA647"/>
  <c r="AZ647"/>
  <c r="AY647"/>
  <c r="AX647"/>
  <c r="AW647"/>
  <c r="AV647"/>
  <c r="AU647"/>
  <c r="AT647"/>
  <c r="AS647"/>
  <c r="AR647"/>
  <c r="AQ647"/>
  <c r="AP647"/>
  <c r="AO647"/>
  <c r="AN647"/>
  <c r="AM647"/>
  <c r="AL647"/>
  <c r="AK647"/>
  <c r="AJ647"/>
  <c r="AI647"/>
  <c r="AH647"/>
  <c r="AG647"/>
  <c r="AF647"/>
  <c r="AE647"/>
  <c r="AD647"/>
  <c r="AC647"/>
  <c r="AB647"/>
  <c r="AA647"/>
  <c r="Z647"/>
  <c r="Y647"/>
  <c r="X647"/>
  <c r="W647"/>
  <c r="V647"/>
  <c r="P647"/>
  <c r="K647"/>
  <c r="L647" s="1"/>
  <c r="A647"/>
  <c r="HM646"/>
  <c r="HL646"/>
  <c r="HK646"/>
  <c r="HJ646"/>
  <c r="HI646"/>
  <c r="HH646"/>
  <c r="HG646"/>
  <c r="HF646"/>
  <c r="HE646"/>
  <c r="HD646"/>
  <c r="HC646"/>
  <c r="HB646"/>
  <c r="HA646"/>
  <c r="GZ646"/>
  <c r="GY646"/>
  <c r="GX646"/>
  <c r="GW646"/>
  <c r="GV646"/>
  <c r="GU646"/>
  <c r="GT646"/>
  <c r="GS646"/>
  <c r="GR646"/>
  <c r="GQ646"/>
  <c r="GP646"/>
  <c r="GO646"/>
  <c r="GN646"/>
  <c r="GM646"/>
  <c r="GL646"/>
  <c r="GK646"/>
  <c r="GJ646"/>
  <c r="GI646"/>
  <c r="GH646"/>
  <c r="GG646"/>
  <c r="GF646"/>
  <c r="GE646"/>
  <c r="GD646"/>
  <c r="GC646"/>
  <c r="GB646"/>
  <c r="GA646"/>
  <c r="FZ646"/>
  <c r="FY646"/>
  <c r="FX646"/>
  <c r="FW646"/>
  <c r="FV646"/>
  <c r="FU646"/>
  <c r="FT646"/>
  <c r="FS646"/>
  <c r="FR646"/>
  <c r="FQ646"/>
  <c r="FP646"/>
  <c r="FO646"/>
  <c r="FN646"/>
  <c r="FM646"/>
  <c r="FL646"/>
  <c r="FK646"/>
  <c r="FJ646"/>
  <c r="FI646"/>
  <c r="FH646"/>
  <c r="FG646"/>
  <c r="FF646"/>
  <c r="FE646"/>
  <c r="FD646"/>
  <c r="FC646"/>
  <c r="FB646"/>
  <c r="FA646"/>
  <c r="EZ646"/>
  <c r="EY646"/>
  <c r="EX646"/>
  <c r="EW646"/>
  <c r="EV646"/>
  <c r="EU646"/>
  <c r="ET646"/>
  <c r="ES646"/>
  <c r="ER646"/>
  <c r="EQ646"/>
  <c r="EP646"/>
  <c r="EO646"/>
  <c r="EN646"/>
  <c r="EM646"/>
  <c r="EL646"/>
  <c r="EK646"/>
  <c r="EJ646"/>
  <c r="EI646"/>
  <c r="EH646"/>
  <c r="EG646"/>
  <c r="EF646"/>
  <c r="EE646"/>
  <c r="ED646"/>
  <c r="EC646"/>
  <c r="EB646"/>
  <c r="EA646"/>
  <c r="DZ646"/>
  <c r="DY646"/>
  <c r="DX646"/>
  <c r="DW646"/>
  <c r="DV646"/>
  <c r="DU646"/>
  <c r="DT646"/>
  <c r="DS646"/>
  <c r="DR646"/>
  <c r="DQ646"/>
  <c r="DP646"/>
  <c r="DO646"/>
  <c r="DN646"/>
  <c r="DM646"/>
  <c r="DL646"/>
  <c r="DK646"/>
  <c r="DJ646"/>
  <c r="DI646"/>
  <c r="DH646"/>
  <c r="DG646"/>
  <c r="DF646"/>
  <c r="DE646"/>
  <c r="DD646"/>
  <c r="DC646"/>
  <c r="DB646"/>
  <c r="DA646"/>
  <c r="CZ646"/>
  <c r="CY646"/>
  <c r="CX646"/>
  <c r="CW646"/>
  <c r="CV646"/>
  <c r="CU646"/>
  <c r="CT646"/>
  <c r="CS646"/>
  <c r="CR646"/>
  <c r="CQ646"/>
  <c r="CP646"/>
  <c r="CO646"/>
  <c r="CN646"/>
  <c r="CM646"/>
  <c r="CL646"/>
  <c r="CK646"/>
  <c r="CJ646"/>
  <c r="CI646"/>
  <c r="CH646"/>
  <c r="CG646"/>
  <c r="CF646"/>
  <c r="CE646"/>
  <c r="CD646"/>
  <c r="CC646"/>
  <c r="CB646"/>
  <c r="CA646"/>
  <c r="BZ646"/>
  <c r="BY646"/>
  <c r="BX646"/>
  <c r="BW646"/>
  <c r="BV646"/>
  <c r="BU646"/>
  <c r="BT646"/>
  <c r="BS646"/>
  <c r="BR646"/>
  <c r="BQ646"/>
  <c r="BP646"/>
  <c r="BO646"/>
  <c r="BN646"/>
  <c r="BM646"/>
  <c r="BL646"/>
  <c r="BK646"/>
  <c r="BJ646"/>
  <c r="BI646"/>
  <c r="BH646"/>
  <c r="BG646"/>
  <c r="BF646"/>
  <c r="BE646"/>
  <c r="BD646"/>
  <c r="BC646"/>
  <c r="BB646"/>
  <c r="BA646"/>
  <c r="AZ646"/>
  <c r="AY646"/>
  <c r="AX646"/>
  <c r="AW646"/>
  <c r="AV646"/>
  <c r="AU646"/>
  <c r="AT646"/>
  <c r="AS646"/>
  <c r="AR646"/>
  <c r="AQ646"/>
  <c r="AP646"/>
  <c r="AO646"/>
  <c r="AN646"/>
  <c r="AM646"/>
  <c r="AL646"/>
  <c r="AK646"/>
  <c r="AJ646"/>
  <c r="AI646"/>
  <c r="AH646"/>
  <c r="AG646"/>
  <c r="AF646"/>
  <c r="AE646"/>
  <c r="AD646"/>
  <c r="AC646"/>
  <c r="AB646"/>
  <c r="AA646"/>
  <c r="Z646"/>
  <c r="Y646"/>
  <c r="X646"/>
  <c r="W646"/>
  <c r="V646"/>
  <c r="P646"/>
  <c r="K646"/>
  <c r="L646" s="1"/>
  <c r="A646"/>
  <c r="HM645"/>
  <c r="HL645"/>
  <c r="HK645"/>
  <c r="HJ645"/>
  <c r="HI645"/>
  <c r="HH645"/>
  <c r="HG645"/>
  <c r="HF645"/>
  <c r="HE645"/>
  <c r="HD645"/>
  <c r="HC645"/>
  <c r="HB645"/>
  <c r="HA645"/>
  <c r="GZ645"/>
  <c r="GY645"/>
  <c r="GX645"/>
  <c r="GW645"/>
  <c r="GV645"/>
  <c r="GU645"/>
  <c r="GT645"/>
  <c r="GS645"/>
  <c r="GR645"/>
  <c r="GQ645"/>
  <c r="GP645"/>
  <c r="GO645"/>
  <c r="GN645"/>
  <c r="GM645"/>
  <c r="GL645"/>
  <c r="GK645"/>
  <c r="GJ645"/>
  <c r="GI645"/>
  <c r="GH645"/>
  <c r="GG645"/>
  <c r="GF645"/>
  <c r="GE645"/>
  <c r="GD645"/>
  <c r="GC645"/>
  <c r="GB645"/>
  <c r="GA645"/>
  <c r="FZ645"/>
  <c r="FY645"/>
  <c r="FX645"/>
  <c r="FW645"/>
  <c r="FV645"/>
  <c r="FU645"/>
  <c r="FT645"/>
  <c r="FS645"/>
  <c r="FR645"/>
  <c r="FQ645"/>
  <c r="FP645"/>
  <c r="FO645"/>
  <c r="FN645"/>
  <c r="FM645"/>
  <c r="FL645"/>
  <c r="FK645"/>
  <c r="FJ645"/>
  <c r="FI645"/>
  <c r="FH645"/>
  <c r="FG645"/>
  <c r="FF645"/>
  <c r="FE645"/>
  <c r="FD645"/>
  <c r="FC645"/>
  <c r="FB645"/>
  <c r="FA645"/>
  <c r="EZ645"/>
  <c r="EY645"/>
  <c r="EX645"/>
  <c r="EW645"/>
  <c r="EV645"/>
  <c r="EU645"/>
  <c r="ET645"/>
  <c r="ES645"/>
  <c r="ER645"/>
  <c r="EQ645"/>
  <c r="EP645"/>
  <c r="EO645"/>
  <c r="EN645"/>
  <c r="EM645"/>
  <c r="EL645"/>
  <c r="EK645"/>
  <c r="EJ645"/>
  <c r="EI645"/>
  <c r="EH645"/>
  <c r="EG645"/>
  <c r="EF645"/>
  <c r="EE645"/>
  <c r="ED645"/>
  <c r="EC645"/>
  <c r="EB645"/>
  <c r="EA645"/>
  <c r="DZ645"/>
  <c r="DY645"/>
  <c r="DX645"/>
  <c r="DW645"/>
  <c r="DV645"/>
  <c r="DU645"/>
  <c r="DT645"/>
  <c r="DS645"/>
  <c r="DR645"/>
  <c r="DQ645"/>
  <c r="DP645"/>
  <c r="DO645"/>
  <c r="DN645"/>
  <c r="DM645"/>
  <c r="DL645"/>
  <c r="DK645"/>
  <c r="DJ645"/>
  <c r="DI645"/>
  <c r="DH645"/>
  <c r="DG645"/>
  <c r="DF645"/>
  <c r="DE645"/>
  <c r="DD645"/>
  <c r="DC645"/>
  <c r="DB645"/>
  <c r="DA645"/>
  <c r="CZ645"/>
  <c r="CY645"/>
  <c r="CX645"/>
  <c r="CW645"/>
  <c r="CV645"/>
  <c r="CU645"/>
  <c r="CT645"/>
  <c r="CS645"/>
  <c r="CR645"/>
  <c r="CQ645"/>
  <c r="CP645"/>
  <c r="CO645"/>
  <c r="CN645"/>
  <c r="CM645"/>
  <c r="CL645"/>
  <c r="CK645"/>
  <c r="CJ645"/>
  <c r="CI645"/>
  <c r="CH645"/>
  <c r="CG645"/>
  <c r="CF645"/>
  <c r="CE645"/>
  <c r="CD645"/>
  <c r="CC645"/>
  <c r="CB645"/>
  <c r="CA645"/>
  <c r="BZ645"/>
  <c r="BY645"/>
  <c r="BX645"/>
  <c r="BW645"/>
  <c r="BV645"/>
  <c r="BU645"/>
  <c r="BT645"/>
  <c r="BS645"/>
  <c r="BR645"/>
  <c r="BQ645"/>
  <c r="BP645"/>
  <c r="BO645"/>
  <c r="BN645"/>
  <c r="BM645"/>
  <c r="BL645"/>
  <c r="BK645"/>
  <c r="BJ645"/>
  <c r="BI645"/>
  <c r="BH645"/>
  <c r="BG645"/>
  <c r="BF645"/>
  <c r="BE645"/>
  <c r="BD645"/>
  <c r="BC645"/>
  <c r="BB645"/>
  <c r="BA645"/>
  <c r="AZ645"/>
  <c r="AY645"/>
  <c r="AX645"/>
  <c r="AW645"/>
  <c r="AV645"/>
  <c r="AU645"/>
  <c r="AT645"/>
  <c r="AS645"/>
  <c r="AR645"/>
  <c r="AQ645"/>
  <c r="AP645"/>
  <c r="AO645"/>
  <c r="AN645"/>
  <c r="AM645"/>
  <c r="AL645"/>
  <c r="AK645"/>
  <c r="AJ645"/>
  <c r="AI645"/>
  <c r="AH645"/>
  <c r="AG645"/>
  <c r="AF645"/>
  <c r="AE645"/>
  <c r="AD645"/>
  <c r="AC645"/>
  <c r="AB645"/>
  <c r="AA645"/>
  <c r="Z645"/>
  <c r="Y645"/>
  <c r="X645"/>
  <c r="W645"/>
  <c r="V645"/>
  <c r="P645"/>
  <c r="K645"/>
  <c r="L645" s="1"/>
  <c r="A645"/>
  <c r="HM644"/>
  <c r="HL644"/>
  <c r="HK644"/>
  <c r="HJ644"/>
  <c r="HI644"/>
  <c r="HH644"/>
  <c r="HG644"/>
  <c r="HF644"/>
  <c r="HE644"/>
  <c r="HD644"/>
  <c r="HC644"/>
  <c r="HB644"/>
  <c r="HA644"/>
  <c r="GZ644"/>
  <c r="GY644"/>
  <c r="GX644"/>
  <c r="GW644"/>
  <c r="GV644"/>
  <c r="GU644"/>
  <c r="GT644"/>
  <c r="GS644"/>
  <c r="GR644"/>
  <c r="GQ644"/>
  <c r="GP644"/>
  <c r="GO644"/>
  <c r="GN644"/>
  <c r="GM644"/>
  <c r="GL644"/>
  <c r="GK644"/>
  <c r="GJ644"/>
  <c r="GI644"/>
  <c r="GH644"/>
  <c r="GG644"/>
  <c r="GF644"/>
  <c r="GE644"/>
  <c r="GD644"/>
  <c r="GC644"/>
  <c r="GB644"/>
  <c r="GA644"/>
  <c r="FZ644"/>
  <c r="FY644"/>
  <c r="FX644"/>
  <c r="FW644"/>
  <c r="FV644"/>
  <c r="FU644"/>
  <c r="FT644"/>
  <c r="FS644"/>
  <c r="FR644"/>
  <c r="FQ644"/>
  <c r="FP644"/>
  <c r="FO644"/>
  <c r="FN644"/>
  <c r="FM644"/>
  <c r="FL644"/>
  <c r="FK644"/>
  <c r="FJ644"/>
  <c r="FI644"/>
  <c r="FH644"/>
  <c r="FG644"/>
  <c r="FF644"/>
  <c r="FE644"/>
  <c r="FD644"/>
  <c r="FC644"/>
  <c r="FB644"/>
  <c r="FA644"/>
  <c r="EZ644"/>
  <c r="EY644"/>
  <c r="EX644"/>
  <c r="EW644"/>
  <c r="EV644"/>
  <c r="EU644"/>
  <c r="ET644"/>
  <c r="ES644"/>
  <c r="ER644"/>
  <c r="EQ644"/>
  <c r="EP644"/>
  <c r="EO644"/>
  <c r="EN644"/>
  <c r="EM644"/>
  <c r="EL644"/>
  <c r="EK644"/>
  <c r="EJ644"/>
  <c r="EI644"/>
  <c r="EH644"/>
  <c r="EG644"/>
  <c r="EF644"/>
  <c r="EE644"/>
  <c r="ED644"/>
  <c r="EC644"/>
  <c r="EB644"/>
  <c r="EA644"/>
  <c r="DZ644"/>
  <c r="DY644"/>
  <c r="DX644"/>
  <c r="DW644"/>
  <c r="DV644"/>
  <c r="DU644"/>
  <c r="DT644"/>
  <c r="DS644"/>
  <c r="DR644"/>
  <c r="DQ644"/>
  <c r="DP644"/>
  <c r="DO644"/>
  <c r="DN644"/>
  <c r="DM644"/>
  <c r="DL644"/>
  <c r="DK644"/>
  <c r="DJ644"/>
  <c r="DI644"/>
  <c r="DH644"/>
  <c r="DG644"/>
  <c r="DF644"/>
  <c r="DE644"/>
  <c r="DD644"/>
  <c r="DC644"/>
  <c r="DB644"/>
  <c r="DA644"/>
  <c r="CZ644"/>
  <c r="CY644"/>
  <c r="CX644"/>
  <c r="CW644"/>
  <c r="CV644"/>
  <c r="CU644"/>
  <c r="CT644"/>
  <c r="CS644"/>
  <c r="CR644"/>
  <c r="CQ644"/>
  <c r="CP644"/>
  <c r="CO644"/>
  <c r="CN644"/>
  <c r="CM644"/>
  <c r="CL644"/>
  <c r="CK644"/>
  <c r="CJ644"/>
  <c r="CI644"/>
  <c r="CH644"/>
  <c r="CG644"/>
  <c r="CF644"/>
  <c r="CE644"/>
  <c r="CD644"/>
  <c r="CC644"/>
  <c r="CB644"/>
  <c r="CA644"/>
  <c r="BZ644"/>
  <c r="BY644"/>
  <c r="BX644"/>
  <c r="BW644"/>
  <c r="BV644"/>
  <c r="BU644"/>
  <c r="BT644"/>
  <c r="BS644"/>
  <c r="BR644"/>
  <c r="BQ644"/>
  <c r="BP644"/>
  <c r="BO644"/>
  <c r="BN644"/>
  <c r="BM644"/>
  <c r="BL644"/>
  <c r="BK644"/>
  <c r="BJ644"/>
  <c r="BI644"/>
  <c r="BH644"/>
  <c r="BG644"/>
  <c r="BF644"/>
  <c r="BE644"/>
  <c r="BD644"/>
  <c r="BC644"/>
  <c r="BB644"/>
  <c r="BA644"/>
  <c r="AZ644"/>
  <c r="AY644"/>
  <c r="AX644"/>
  <c r="AW644"/>
  <c r="AV644"/>
  <c r="AU644"/>
  <c r="AT644"/>
  <c r="AS644"/>
  <c r="AR644"/>
  <c r="AQ644"/>
  <c r="AP644"/>
  <c r="AO644"/>
  <c r="AN644"/>
  <c r="AM644"/>
  <c r="AL644"/>
  <c r="AK644"/>
  <c r="AJ644"/>
  <c r="AI644"/>
  <c r="AH644"/>
  <c r="AG644"/>
  <c r="AF644"/>
  <c r="AE644"/>
  <c r="AD644"/>
  <c r="AC644"/>
  <c r="AB644"/>
  <c r="AA644"/>
  <c r="Z644"/>
  <c r="Y644"/>
  <c r="X644"/>
  <c r="W644"/>
  <c r="V644"/>
  <c r="P644"/>
  <c r="K644"/>
  <c r="L644" s="1"/>
  <c r="A644"/>
  <c r="T637"/>
  <c r="A635"/>
  <c r="T635" s="1"/>
  <c r="B632"/>
  <c r="B629"/>
  <c r="M623"/>
  <c r="L623"/>
  <c r="K623"/>
  <c r="J623"/>
  <c r="I623"/>
  <c r="G623"/>
  <c r="F623"/>
  <c r="M622"/>
  <c r="L622"/>
  <c r="K622"/>
  <c r="J622"/>
  <c r="I622"/>
  <c r="G622"/>
  <c r="F622"/>
  <c r="E622"/>
  <c r="M621"/>
  <c r="L621"/>
  <c r="K621"/>
  <c r="J621"/>
  <c r="I621"/>
  <c r="G621"/>
  <c r="F621"/>
  <c r="M620"/>
  <c r="L620"/>
  <c r="K620"/>
  <c r="J620"/>
  <c r="I620"/>
  <c r="G620"/>
  <c r="F620"/>
  <c r="D620"/>
  <c r="M619"/>
  <c r="L619"/>
  <c r="K619"/>
  <c r="J619"/>
  <c r="I619"/>
  <c r="G619"/>
  <c r="F619"/>
  <c r="D619"/>
  <c r="M618"/>
  <c r="L618"/>
  <c r="K618"/>
  <c r="J618"/>
  <c r="I618"/>
  <c r="G618"/>
  <c r="F618"/>
  <c r="M617"/>
  <c r="L617"/>
  <c r="K617"/>
  <c r="J617"/>
  <c r="I617"/>
  <c r="G617"/>
  <c r="F617"/>
  <c r="D617"/>
  <c r="E608"/>
  <c r="I604"/>
  <c r="J604"/>
  <c r="K604"/>
  <c r="L604"/>
  <c r="M604"/>
  <c r="I605"/>
  <c r="J605"/>
  <c r="K605"/>
  <c r="L605"/>
  <c r="M605"/>
  <c r="I606"/>
  <c r="J606"/>
  <c r="K606"/>
  <c r="L606"/>
  <c r="M606"/>
  <c r="I607"/>
  <c r="J607"/>
  <c r="K607"/>
  <c r="L607"/>
  <c r="M607"/>
  <c r="I608"/>
  <c r="J608"/>
  <c r="K608"/>
  <c r="L608"/>
  <c r="M608"/>
  <c r="I609"/>
  <c r="J609"/>
  <c r="K609"/>
  <c r="L609"/>
  <c r="M609"/>
  <c r="J603"/>
  <c r="K603"/>
  <c r="L603"/>
  <c r="M603"/>
  <c r="I603"/>
  <c r="L613"/>
  <c r="I613"/>
  <c r="I612"/>
  <c r="D606"/>
  <c r="D605"/>
  <c r="F604"/>
  <c r="G604"/>
  <c r="F605"/>
  <c r="G605"/>
  <c r="F606"/>
  <c r="G606"/>
  <c r="F607"/>
  <c r="G607"/>
  <c r="F608"/>
  <c r="G608"/>
  <c r="F609"/>
  <c r="G609"/>
  <c r="G603"/>
  <c r="F603"/>
  <c r="D603"/>
  <c r="L599"/>
  <c r="I599"/>
  <c r="I598"/>
  <c r="A594"/>
  <c r="K591"/>
  <c r="A591"/>
  <c r="J585"/>
  <c r="Q580"/>
  <c r="N580"/>
  <c r="T577"/>
  <c r="P568"/>
  <c r="M568"/>
  <c r="J568"/>
  <c r="H564"/>
  <c r="P564"/>
  <c r="J564"/>
  <c r="C557"/>
  <c r="P557"/>
  <c r="P556"/>
  <c r="P555"/>
  <c r="P554"/>
  <c r="P553"/>
  <c r="J554"/>
  <c r="J555"/>
  <c r="J556"/>
  <c r="J557"/>
  <c r="P552"/>
  <c r="J553"/>
  <c r="J552"/>
  <c r="S541"/>
  <c r="S540"/>
  <c r="P541"/>
  <c r="P540"/>
  <c r="M541"/>
  <c r="M540"/>
  <c r="J541"/>
  <c r="J540"/>
  <c r="G541"/>
  <c r="G540"/>
  <c r="P537"/>
  <c r="P536"/>
  <c r="M537"/>
  <c r="M536"/>
  <c r="J537"/>
  <c r="S537"/>
  <c r="S536"/>
  <c r="S535"/>
  <c r="S534"/>
  <c r="S533"/>
  <c r="S532"/>
  <c r="G533"/>
  <c r="G534"/>
  <c r="G535"/>
  <c r="G536"/>
  <c r="G537"/>
  <c r="S529"/>
  <c r="S528"/>
  <c r="S527"/>
  <c r="P529"/>
  <c r="P528"/>
  <c r="P527"/>
  <c r="M529"/>
  <c r="M528"/>
  <c r="M527"/>
  <c r="J529"/>
  <c r="J528"/>
  <c r="J527"/>
  <c r="G528"/>
  <c r="F528" s="1"/>
  <c r="G529"/>
  <c r="F529" s="1"/>
  <c r="J536"/>
  <c r="G532"/>
  <c r="G527"/>
  <c r="F527" s="1"/>
  <c r="S524"/>
  <c r="S523"/>
  <c r="S522"/>
  <c r="S521"/>
  <c r="G524"/>
  <c r="G523"/>
  <c r="G522"/>
  <c r="G521"/>
  <c r="S518"/>
  <c r="S517"/>
  <c r="S516"/>
  <c r="S515"/>
  <c r="G516"/>
  <c r="G517"/>
  <c r="G518"/>
  <c r="E496"/>
  <c r="E495"/>
  <c r="S514"/>
  <c r="S513"/>
  <c r="S512"/>
  <c r="S511"/>
  <c r="S510"/>
  <c r="G515"/>
  <c r="G514"/>
  <c r="G513"/>
  <c r="G512"/>
  <c r="G511"/>
  <c r="G510"/>
  <c r="S504"/>
  <c r="S503"/>
  <c r="S502"/>
  <c r="S501"/>
  <c r="S500"/>
  <c r="S499"/>
  <c r="G503"/>
  <c r="G504"/>
  <c r="G502"/>
  <c r="G501"/>
  <c r="G500"/>
  <c r="G499"/>
  <c r="S496"/>
  <c r="S495"/>
  <c r="S494"/>
  <c r="S493"/>
  <c r="P496"/>
  <c r="P495"/>
  <c r="P494"/>
  <c r="P493"/>
  <c r="M496"/>
  <c r="M495"/>
  <c r="M494"/>
  <c r="M493"/>
  <c r="J496"/>
  <c r="J495"/>
  <c r="J494"/>
  <c r="J493"/>
  <c r="G494"/>
  <c r="G495"/>
  <c r="G496"/>
  <c r="S490"/>
  <c r="S489"/>
  <c r="S488"/>
  <c r="S487"/>
  <c r="S486"/>
  <c r="S485"/>
  <c r="S484"/>
  <c r="S483"/>
  <c r="S482"/>
  <c r="S481"/>
  <c r="S480"/>
  <c r="P490"/>
  <c r="P489"/>
  <c r="P488"/>
  <c r="P487"/>
  <c r="P486"/>
  <c r="P485"/>
  <c r="P484"/>
  <c r="P483"/>
  <c r="P482"/>
  <c r="P481"/>
  <c r="P480"/>
  <c r="M490"/>
  <c r="M489"/>
  <c r="M488"/>
  <c r="M487"/>
  <c r="M486"/>
  <c r="M485"/>
  <c r="M484"/>
  <c r="M483"/>
  <c r="M482"/>
  <c r="M481"/>
  <c r="M480"/>
  <c r="J490"/>
  <c r="J489"/>
  <c r="J488"/>
  <c r="J487"/>
  <c r="J486"/>
  <c r="J485"/>
  <c r="J484"/>
  <c r="J483"/>
  <c r="J482"/>
  <c r="J481"/>
  <c r="J480"/>
  <c r="G481"/>
  <c r="G482"/>
  <c r="G483"/>
  <c r="G484"/>
  <c r="G485"/>
  <c r="G486"/>
  <c r="G487"/>
  <c r="G488"/>
  <c r="G489"/>
  <c r="G490"/>
  <c r="S477"/>
  <c r="S476"/>
  <c r="S475"/>
  <c r="S474"/>
  <c r="S473"/>
  <c r="S472"/>
  <c r="S471"/>
  <c r="S470"/>
  <c r="S469"/>
  <c r="S468"/>
  <c r="S467"/>
  <c r="P477"/>
  <c r="P476"/>
  <c r="P475"/>
  <c r="P474"/>
  <c r="P473"/>
  <c r="P472"/>
  <c r="P471"/>
  <c r="P470"/>
  <c r="P469"/>
  <c r="P468"/>
  <c r="P467"/>
  <c r="M477"/>
  <c r="M476"/>
  <c r="M475"/>
  <c r="M474"/>
  <c r="M473"/>
  <c r="M472"/>
  <c r="M471"/>
  <c r="M470"/>
  <c r="M469"/>
  <c r="M468"/>
  <c r="M467"/>
  <c r="J477"/>
  <c r="J476"/>
  <c r="J475"/>
  <c r="J474"/>
  <c r="J473"/>
  <c r="J472"/>
  <c r="J471"/>
  <c r="J470"/>
  <c r="J469"/>
  <c r="J468"/>
  <c r="J467"/>
  <c r="G468"/>
  <c r="G469"/>
  <c r="G470"/>
  <c r="G471"/>
  <c r="G472"/>
  <c r="G473"/>
  <c r="G474"/>
  <c r="G475"/>
  <c r="G476"/>
  <c r="G477"/>
  <c r="G493"/>
  <c r="G480"/>
  <c r="G467"/>
  <c r="S461"/>
  <c r="P461"/>
  <c r="M461"/>
  <c r="J461"/>
  <c r="G461"/>
  <c r="F461" s="1"/>
  <c r="S455"/>
  <c r="P455"/>
  <c r="M455"/>
  <c r="J455"/>
  <c r="G455"/>
  <c r="C541"/>
  <c r="C537"/>
  <c r="C524"/>
  <c r="C518"/>
  <c r="C517"/>
  <c r="C504"/>
  <c r="C490"/>
  <c r="C477"/>
  <c r="C476"/>
  <c r="C455"/>
  <c r="C429"/>
  <c r="C430"/>
  <c r="C428"/>
  <c r="S451"/>
  <c r="S450"/>
  <c r="S449"/>
  <c r="P451"/>
  <c r="P450"/>
  <c r="P449"/>
  <c r="M451"/>
  <c r="M450"/>
  <c r="M449"/>
  <c r="J451"/>
  <c r="J450"/>
  <c r="J449"/>
  <c r="G451"/>
  <c r="G450"/>
  <c r="G449"/>
  <c r="S446"/>
  <c r="S445"/>
  <c r="S444"/>
  <c r="P446"/>
  <c r="P445"/>
  <c r="P444"/>
  <c r="M446"/>
  <c r="M445"/>
  <c r="M444"/>
  <c r="J446"/>
  <c r="J445"/>
  <c r="J444"/>
  <c r="G445"/>
  <c r="G446"/>
  <c r="P439"/>
  <c r="P441" s="1"/>
  <c r="M439"/>
  <c r="M441" s="1"/>
  <c r="S443"/>
  <c r="P443"/>
  <c r="M443"/>
  <c r="J443"/>
  <c r="G444"/>
  <c r="G443"/>
  <c r="S440"/>
  <c r="S439"/>
  <c r="J440"/>
  <c r="J439"/>
  <c r="G440"/>
  <c r="G439"/>
  <c r="S436"/>
  <c r="S435"/>
  <c r="S434"/>
  <c r="S433"/>
  <c r="M436"/>
  <c r="M435"/>
  <c r="G436"/>
  <c r="G435"/>
  <c r="G434"/>
  <c r="G433"/>
  <c r="S430"/>
  <c r="S429"/>
  <c r="S428"/>
  <c r="S427"/>
  <c r="S426"/>
  <c r="S425"/>
  <c r="S424"/>
  <c r="S423"/>
  <c r="S422"/>
  <c r="P430"/>
  <c r="P429"/>
  <c r="P428"/>
  <c r="P427"/>
  <c r="P426"/>
  <c r="P425"/>
  <c r="P424"/>
  <c r="P423"/>
  <c r="P422"/>
  <c r="M430"/>
  <c r="M429"/>
  <c r="M428"/>
  <c r="M427"/>
  <c r="M426"/>
  <c r="M425"/>
  <c r="M424"/>
  <c r="M423"/>
  <c r="M422"/>
  <c r="J430"/>
  <c r="J429"/>
  <c r="J428"/>
  <c r="J427"/>
  <c r="J426"/>
  <c r="J425"/>
  <c r="J424"/>
  <c r="J423"/>
  <c r="J422"/>
  <c r="G423"/>
  <c r="G424"/>
  <c r="G425"/>
  <c r="G426"/>
  <c r="G427"/>
  <c r="G428"/>
  <c r="G429"/>
  <c r="G430"/>
  <c r="G422"/>
  <c r="J578"/>
  <c r="O577"/>
  <c r="O539"/>
  <c r="F534"/>
  <c r="F533"/>
  <c r="O531"/>
  <c r="O526"/>
  <c r="O520"/>
  <c r="E513"/>
  <c r="O509"/>
  <c r="O498"/>
  <c r="O492"/>
  <c r="O479"/>
  <c r="O466"/>
  <c r="O460"/>
  <c r="O454"/>
  <c r="O448"/>
  <c r="O442"/>
  <c r="O438"/>
  <c r="O432"/>
  <c r="O421"/>
  <c r="A415"/>
  <c r="K412"/>
  <c r="A412"/>
  <c r="C403"/>
  <c r="C404"/>
  <c r="C402"/>
  <c r="C391"/>
  <c r="Q393"/>
  <c r="O393"/>
  <c r="L393"/>
  <c r="K393"/>
  <c r="J393"/>
  <c r="Q389"/>
  <c r="Q390"/>
  <c r="Q391"/>
  <c r="O389"/>
  <c r="O390"/>
  <c r="O391"/>
  <c r="L389"/>
  <c r="L390"/>
  <c r="L391"/>
  <c r="K389"/>
  <c r="K390"/>
  <c r="K391"/>
  <c r="J389"/>
  <c r="J390"/>
  <c r="J391"/>
  <c r="H389"/>
  <c r="H390"/>
  <c r="H391"/>
  <c r="H392"/>
  <c r="M392" s="1"/>
  <c r="H393"/>
  <c r="H394"/>
  <c r="H395"/>
  <c r="H396"/>
  <c r="H397"/>
  <c r="H398"/>
  <c r="H399"/>
  <c r="H400"/>
  <c r="H401"/>
  <c r="H402"/>
  <c r="H403"/>
  <c r="H404"/>
  <c r="E389"/>
  <c r="E390"/>
  <c r="E391"/>
  <c r="E392"/>
  <c r="E393"/>
  <c r="E394"/>
  <c r="E395"/>
  <c r="E396"/>
  <c r="E397"/>
  <c r="E398"/>
  <c r="E399"/>
  <c r="E400"/>
  <c r="E401"/>
  <c r="E402"/>
  <c r="E403"/>
  <c r="E404"/>
  <c r="Q388"/>
  <c r="O388"/>
  <c r="L388"/>
  <c r="K388"/>
  <c r="J388"/>
  <c r="H388"/>
  <c r="E388"/>
  <c r="D379"/>
  <c r="D380"/>
  <c r="D378"/>
  <c r="P371"/>
  <c r="P372"/>
  <c r="N371"/>
  <c r="N372"/>
  <c r="L371"/>
  <c r="L372"/>
  <c r="L373"/>
  <c r="L374"/>
  <c r="L375"/>
  <c r="L376"/>
  <c r="L377"/>
  <c r="L378"/>
  <c r="L379"/>
  <c r="L380"/>
  <c r="H371"/>
  <c r="H372"/>
  <c r="H373"/>
  <c r="H374"/>
  <c r="H375"/>
  <c r="H376"/>
  <c r="H377"/>
  <c r="H378"/>
  <c r="H379"/>
  <c r="H380"/>
  <c r="P370"/>
  <c r="N370"/>
  <c r="L370"/>
  <c r="H370"/>
  <c r="N364"/>
  <c r="P363"/>
  <c r="P360"/>
  <c r="H360"/>
  <c r="M364"/>
  <c r="M363"/>
  <c r="M362"/>
  <c r="M361"/>
  <c r="H364"/>
  <c r="H363"/>
  <c r="H362"/>
  <c r="H361"/>
  <c r="E364"/>
  <c r="E363"/>
  <c r="E362"/>
  <c r="E361"/>
  <c r="B362"/>
  <c r="B363"/>
  <c r="B364"/>
  <c r="B361"/>
  <c r="N354"/>
  <c r="A354"/>
  <c r="R338"/>
  <c r="R339"/>
  <c r="R340"/>
  <c r="R341"/>
  <c r="R342"/>
  <c r="R343"/>
  <c r="R344"/>
  <c r="R345"/>
  <c r="R346"/>
  <c r="R347"/>
  <c r="R348"/>
  <c r="R349"/>
  <c r="P338"/>
  <c r="P339"/>
  <c r="P340"/>
  <c r="P341"/>
  <c r="P342"/>
  <c r="P343"/>
  <c r="P344"/>
  <c r="P345"/>
  <c r="P346"/>
  <c r="P347"/>
  <c r="P348"/>
  <c r="P349"/>
  <c r="L338"/>
  <c r="L339"/>
  <c r="L340"/>
  <c r="L341"/>
  <c r="L342"/>
  <c r="L343"/>
  <c r="L344"/>
  <c r="L345"/>
  <c r="L346"/>
  <c r="L347"/>
  <c r="L348"/>
  <c r="L349"/>
  <c r="H338"/>
  <c r="H339"/>
  <c r="H340"/>
  <c r="H341"/>
  <c r="H342"/>
  <c r="H343"/>
  <c r="H344"/>
  <c r="H345"/>
  <c r="H346"/>
  <c r="H347"/>
  <c r="H348"/>
  <c r="H349"/>
  <c r="F338"/>
  <c r="F339"/>
  <c r="F340"/>
  <c r="F341"/>
  <c r="F342"/>
  <c r="F343"/>
  <c r="F344"/>
  <c r="F345"/>
  <c r="F346"/>
  <c r="F347"/>
  <c r="F348"/>
  <c r="F349"/>
  <c r="R337"/>
  <c r="P337"/>
  <c r="L337"/>
  <c r="H337"/>
  <c r="F337"/>
  <c r="I321"/>
  <c r="I322"/>
  <c r="I323"/>
  <c r="I324"/>
  <c r="I325"/>
  <c r="I326"/>
  <c r="I327"/>
  <c r="H321"/>
  <c r="H322"/>
  <c r="H323"/>
  <c r="H324"/>
  <c r="H325"/>
  <c r="H326"/>
  <c r="H327"/>
  <c r="I320"/>
  <c r="H320"/>
  <c r="O314"/>
  <c r="L314"/>
  <c r="J314"/>
  <c r="H314"/>
  <c r="Q313"/>
  <c r="J313"/>
  <c r="H313"/>
  <c r="Q312"/>
  <c r="L312"/>
  <c r="H312"/>
  <c r="Q311"/>
  <c r="H311"/>
  <c r="Q310"/>
  <c r="H310"/>
  <c r="O308"/>
  <c r="L308"/>
  <c r="J308"/>
  <c r="H308"/>
  <c r="Q307"/>
  <c r="J307"/>
  <c r="H307"/>
  <c r="Q306"/>
  <c r="L306"/>
  <c r="H306"/>
  <c r="Q305"/>
  <c r="H305"/>
  <c r="Q304"/>
  <c r="H304"/>
  <c r="O301"/>
  <c r="L301"/>
  <c r="J301"/>
  <c r="H301"/>
  <c r="Q300"/>
  <c r="J300"/>
  <c r="H300"/>
  <c r="Q299"/>
  <c r="L299"/>
  <c r="H299"/>
  <c r="Q298"/>
  <c r="H298"/>
  <c r="Q297"/>
  <c r="H297"/>
  <c r="O295"/>
  <c r="L295"/>
  <c r="J295"/>
  <c r="H295"/>
  <c r="Q294"/>
  <c r="J294"/>
  <c r="H294"/>
  <c r="Q293"/>
  <c r="L293"/>
  <c r="H293"/>
  <c r="Q292"/>
  <c r="H292"/>
  <c r="Q291"/>
  <c r="H291"/>
  <c r="O289"/>
  <c r="L289"/>
  <c r="J289"/>
  <c r="H289"/>
  <c r="Q288"/>
  <c r="J288"/>
  <c r="H288"/>
  <c r="Q287"/>
  <c r="L287"/>
  <c r="H287"/>
  <c r="Q286"/>
  <c r="H286"/>
  <c r="Q285"/>
  <c r="H285"/>
  <c r="O283"/>
  <c r="L283"/>
  <c r="J283"/>
  <c r="H283"/>
  <c r="Q282"/>
  <c r="J282"/>
  <c r="H282"/>
  <c r="Q281"/>
  <c r="L281"/>
  <c r="H281"/>
  <c r="Q280"/>
  <c r="H280"/>
  <c r="Q279"/>
  <c r="H279"/>
  <c r="O275"/>
  <c r="L275"/>
  <c r="J275"/>
  <c r="H275"/>
  <c r="Q274"/>
  <c r="J274"/>
  <c r="H274"/>
  <c r="Q273"/>
  <c r="L273"/>
  <c r="H273"/>
  <c r="Q272"/>
  <c r="H272"/>
  <c r="Q271"/>
  <c r="H271"/>
  <c r="O269"/>
  <c r="L269"/>
  <c r="J269"/>
  <c r="H269"/>
  <c r="Q268"/>
  <c r="J268"/>
  <c r="H268"/>
  <c r="Q267"/>
  <c r="L267"/>
  <c r="H267"/>
  <c r="Q266"/>
  <c r="H266"/>
  <c r="Q265"/>
  <c r="H265"/>
  <c r="O263"/>
  <c r="L263"/>
  <c r="J263"/>
  <c r="H263"/>
  <c r="Q262"/>
  <c r="J262"/>
  <c r="H262"/>
  <c r="Q261"/>
  <c r="L261"/>
  <c r="H261"/>
  <c r="Q260"/>
  <c r="H260"/>
  <c r="Q259"/>
  <c r="H259"/>
  <c r="O257"/>
  <c r="L257"/>
  <c r="J257"/>
  <c r="H257"/>
  <c r="Q256"/>
  <c r="J256"/>
  <c r="H256"/>
  <c r="Q255"/>
  <c r="L255"/>
  <c r="H255"/>
  <c r="Q254"/>
  <c r="H254"/>
  <c r="Q253"/>
  <c r="H253"/>
  <c r="O249"/>
  <c r="L249"/>
  <c r="J249"/>
  <c r="H249"/>
  <c r="Q248"/>
  <c r="J248"/>
  <c r="H248"/>
  <c r="Q247"/>
  <c r="L247"/>
  <c r="H247"/>
  <c r="Q246"/>
  <c r="H246"/>
  <c r="Q245"/>
  <c r="H245"/>
  <c r="O241"/>
  <c r="L241"/>
  <c r="J241"/>
  <c r="H241"/>
  <c r="Q240"/>
  <c r="J240"/>
  <c r="H240"/>
  <c r="Q239"/>
  <c r="L239"/>
  <c r="H239"/>
  <c r="Q238"/>
  <c r="H238"/>
  <c r="Q237"/>
  <c r="H237"/>
  <c r="O235"/>
  <c r="L235"/>
  <c r="J235"/>
  <c r="H235"/>
  <c r="Q234"/>
  <c r="J234"/>
  <c r="H234"/>
  <c r="Q233"/>
  <c r="L233"/>
  <c r="H233"/>
  <c r="Q232"/>
  <c r="H232"/>
  <c r="Q231"/>
  <c r="H231"/>
  <c r="O227"/>
  <c r="L227"/>
  <c r="J227"/>
  <c r="H227"/>
  <c r="Q226"/>
  <c r="J226"/>
  <c r="H226"/>
  <c r="Q225"/>
  <c r="L225"/>
  <c r="H225"/>
  <c r="Q224"/>
  <c r="H224"/>
  <c r="Q223"/>
  <c r="H223"/>
  <c r="O221"/>
  <c r="L221"/>
  <c r="J221"/>
  <c r="H221"/>
  <c r="Q220"/>
  <c r="J220"/>
  <c r="H220"/>
  <c r="Q219"/>
  <c r="L219"/>
  <c r="H219"/>
  <c r="Q218"/>
  <c r="H218"/>
  <c r="Q217"/>
  <c r="H217"/>
  <c r="L213"/>
  <c r="Q200"/>
  <c r="O215"/>
  <c r="J215"/>
  <c r="H215"/>
  <c r="L215"/>
  <c r="O204"/>
  <c r="L204"/>
  <c r="J204"/>
  <c r="H204"/>
  <c r="M203"/>
  <c r="J214"/>
  <c r="J203"/>
  <c r="H214"/>
  <c r="H203"/>
  <c r="Q214"/>
  <c r="Q213"/>
  <c r="Q203"/>
  <c r="Q202"/>
  <c r="Q212"/>
  <c r="Q211"/>
  <c r="Q201"/>
  <c r="L202"/>
  <c r="H213"/>
  <c r="H202"/>
  <c r="H212"/>
  <c r="H211"/>
  <c r="H201"/>
  <c r="H200"/>
  <c r="A196"/>
  <c r="K193"/>
  <c r="A193"/>
  <c r="H189"/>
  <c r="H190"/>
  <c r="H188"/>
  <c r="O184"/>
  <c r="O185"/>
  <c r="O183"/>
  <c r="N182"/>
  <c r="L171"/>
  <c r="L169"/>
  <c r="J166"/>
  <c r="M165"/>
  <c r="M164"/>
  <c r="M167"/>
  <c r="M166"/>
  <c r="I167"/>
  <c r="E167"/>
  <c r="E166"/>
  <c r="E165"/>
  <c r="E164"/>
  <c r="K163"/>
  <c r="K162"/>
  <c r="K161"/>
  <c r="O150"/>
  <c r="O149"/>
  <c r="H151"/>
  <c r="H150"/>
  <c r="H149"/>
  <c r="H148"/>
  <c r="H147"/>
  <c r="M142"/>
  <c r="J142"/>
  <c r="F142"/>
  <c r="C142"/>
  <c r="M141"/>
  <c r="J141"/>
  <c r="F141"/>
  <c r="C141"/>
  <c r="M140"/>
  <c r="J140"/>
  <c r="F140"/>
  <c r="C140"/>
  <c r="M139"/>
  <c r="J139"/>
  <c r="F139"/>
  <c r="C139"/>
  <c r="M138"/>
  <c r="J138"/>
  <c r="F138"/>
  <c r="C138"/>
  <c r="M133"/>
  <c r="J133"/>
  <c r="M132"/>
  <c r="J132"/>
  <c r="M131"/>
  <c r="J131"/>
  <c r="M130"/>
  <c r="J130"/>
  <c r="M129"/>
  <c r="J129"/>
  <c r="F130"/>
  <c r="F131"/>
  <c r="F132"/>
  <c r="F133"/>
  <c r="C130"/>
  <c r="C131"/>
  <c r="C132"/>
  <c r="C133"/>
  <c r="F129"/>
  <c r="C129"/>
  <c r="E117"/>
  <c r="M116"/>
  <c r="I116"/>
  <c r="I115"/>
  <c r="O114"/>
  <c r="O113"/>
  <c r="E114"/>
  <c r="E113"/>
  <c r="H109"/>
  <c r="P101"/>
  <c r="P69" i="7"/>
  <c r="N90" i="46"/>
  <c r="H90"/>
  <c r="H86"/>
  <c r="P176"/>
  <c r="P175"/>
  <c r="P171"/>
  <c r="P169"/>
  <c r="H125"/>
  <c r="H123"/>
  <c r="H95"/>
  <c r="H93"/>
  <c r="H92"/>
  <c r="P82"/>
  <c r="H83"/>
  <c r="H82"/>
  <c r="P180"/>
  <c r="P181"/>
  <c r="P182"/>
  <c r="I180"/>
  <c r="I181"/>
  <c r="I182"/>
  <c r="I183"/>
  <c r="I184"/>
  <c r="I185"/>
  <c r="P179"/>
  <c r="I179"/>
  <c r="I171"/>
  <c r="I169"/>
  <c r="I175"/>
  <c r="I173"/>
  <c r="O156"/>
  <c r="H156"/>
  <c r="H153"/>
  <c r="H146"/>
  <c r="H144"/>
  <c r="H107"/>
  <c r="H105"/>
  <c r="F71"/>
  <c r="M69"/>
  <c r="I62"/>
  <c r="F61"/>
  <c r="J60"/>
  <c r="F59"/>
  <c r="H56"/>
  <c r="J56"/>
  <c r="H57"/>
  <c r="J57"/>
  <c r="F57"/>
  <c r="F56"/>
  <c r="I53"/>
  <c r="F53"/>
  <c r="O51"/>
  <c r="P52"/>
  <c r="N52"/>
  <c r="O50"/>
  <c r="O49"/>
  <c r="O48"/>
  <c r="O47"/>
  <c r="L42"/>
  <c r="J42"/>
  <c r="F42"/>
  <c r="E116"/>
  <c r="E115"/>
  <c r="F60"/>
  <c r="O117"/>
  <c r="L117"/>
  <c r="I117"/>
  <c r="K115"/>
  <c r="F62"/>
  <c r="J51"/>
  <c r="J41"/>
  <c r="F52"/>
  <c r="F51"/>
  <c r="F40"/>
  <c r="F41"/>
  <c r="N62"/>
  <c r="O40"/>
  <c r="O41"/>
  <c r="O39"/>
  <c r="N61"/>
  <c r="N60"/>
  <c r="N59"/>
  <c r="N38"/>
  <c r="F50"/>
  <c r="F49"/>
  <c r="F48"/>
  <c r="F47"/>
  <c r="F39"/>
  <c r="F38"/>
  <c r="O34"/>
  <c r="O33"/>
  <c r="F33"/>
  <c r="O28"/>
  <c r="J31"/>
  <c r="J30"/>
  <c r="A25"/>
  <c r="A5"/>
  <c r="A2"/>
  <c r="A3" i="6"/>
  <c r="A912" i="46" s="1"/>
  <c r="J28" i="7"/>
  <c r="E825" i="46" l="1"/>
  <c r="H3" i="6"/>
  <c r="H912" i="46" s="1"/>
  <c r="C839"/>
  <c r="P93"/>
  <c r="A3"/>
  <c r="A490"/>
  <c r="A524"/>
  <c r="D823"/>
  <c r="M437"/>
  <c r="G447"/>
  <c r="E819"/>
  <c r="E820" s="1"/>
  <c r="F817"/>
  <c r="G817" s="1"/>
  <c r="S530"/>
  <c r="P542"/>
  <c r="G452"/>
  <c r="S452"/>
  <c r="P538"/>
  <c r="M431"/>
  <c r="J530"/>
  <c r="S542"/>
  <c r="M452"/>
  <c r="P452"/>
  <c r="A517"/>
  <c r="P478"/>
  <c r="M491"/>
  <c r="S525"/>
  <c r="M530"/>
  <c r="G542"/>
  <c r="M542"/>
  <c r="I624"/>
  <c r="R350"/>
  <c r="A430"/>
  <c r="J441"/>
  <c r="S491"/>
  <c r="P530"/>
  <c r="L610"/>
  <c r="M624"/>
  <c r="A357"/>
  <c r="I596"/>
  <c r="J478"/>
  <c r="G505"/>
  <c r="G538"/>
  <c r="G431"/>
  <c r="S431"/>
  <c r="J452"/>
  <c r="A429"/>
  <c r="M478"/>
  <c r="J497"/>
  <c r="S538"/>
  <c r="P431"/>
  <c r="G441"/>
  <c r="S441"/>
  <c r="J447"/>
  <c r="M447"/>
  <c r="A477"/>
  <c r="A518"/>
  <c r="J491"/>
  <c r="P497"/>
  <c r="S497"/>
  <c r="S505"/>
  <c r="G519"/>
  <c r="G525"/>
  <c r="M538"/>
  <c r="A541"/>
  <c r="M610"/>
  <c r="D819"/>
  <c r="E823"/>
  <c r="L381"/>
  <c r="J431"/>
  <c r="S478"/>
  <c r="P491"/>
  <c r="M497"/>
  <c r="G530"/>
  <c r="C530" s="1"/>
  <c r="J542"/>
  <c r="J624"/>
  <c r="K624"/>
  <c r="L624"/>
  <c r="D818"/>
  <c r="D825"/>
  <c r="B820"/>
  <c r="B826" s="1"/>
  <c r="C826"/>
  <c r="L682"/>
  <c r="L683" s="1"/>
  <c r="BT682"/>
  <c r="H695" s="1"/>
  <c r="BX682"/>
  <c r="L695" s="1"/>
  <c r="CV682"/>
  <c r="CZ682"/>
  <c r="J733" s="1"/>
  <c r="EV682"/>
  <c r="EZ682"/>
  <c r="FD682"/>
  <c r="K723" s="1"/>
  <c r="FH682"/>
  <c r="J726" s="1"/>
  <c r="FL682"/>
  <c r="I725" s="1"/>
  <c r="FP682"/>
  <c r="H724" s="1"/>
  <c r="FT682"/>
  <c r="L724" s="1"/>
  <c r="FX682"/>
  <c r="K719" s="1"/>
  <c r="GB682"/>
  <c r="J720" s="1"/>
  <c r="GF682"/>
  <c r="I721" s="1"/>
  <c r="GJ682"/>
  <c r="H722" s="1"/>
  <c r="GN682"/>
  <c r="L722" s="1"/>
  <c r="BU682"/>
  <c r="I695" s="1"/>
  <c r="CS682"/>
  <c r="CW682"/>
  <c r="DA682"/>
  <c r="K733" s="1"/>
  <c r="EW682"/>
  <c r="FA682"/>
  <c r="H723" s="1"/>
  <c r="FE682"/>
  <c r="L723" s="1"/>
  <c r="FI682"/>
  <c r="K726" s="1"/>
  <c r="FM682"/>
  <c r="J725" s="1"/>
  <c r="FQ682"/>
  <c r="I724" s="1"/>
  <c r="FU682"/>
  <c r="H719" s="1"/>
  <c r="FY682"/>
  <c r="L719" s="1"/>
  <c r="GC682"/>
  <c r="K720" s="1"/>
  <c r="GG682"/>
  <c r="J721" s="1"/>
  <c r="GK682"/>
  <c r="I722" s="1"/>
  <c r="BW682"/>
  <c r="K695" s="1"/>
  <c r="CU682"/>
  <c r="CY682"/>
  <c r="I733" s="1"/>
  <c r="EY682"/>
  <c r="FC682"/>
  <c r="J723" s="1"/>
  <c r="FG682"/>
  <c r="I726" s="1"/>
  <c r="FK682"/>
  <c r="H725" s="1"/>
  <c r="FO682"/>
  <c r="L725" s="1"/>
  <c r="FS682"/>
  <c r="K724" s="1"/>
  <c r="FW682"/>
  <c r="J719" s="1"/>
  <c r="GA682"/>
  <c r="I720" s="1"/>
  <c r="GE682"/>
  <c r="H721" s="1"/>
  <c r="GI682"/>
  <c r="L721" s="1"/>
  <c r="GM682"/>
  <c r="K722" s="1"/>
  <c r="Y682"/>
  <c r="K690" s="1"/>
  <c r="AC682"/>
  <c r="J691" s="1"/>
  <c r="AK682"/>
  <c r="H693" s="1"/>
  <c r="AS682"/>
  <c r="BA682"/>
  <c r="I698" s="1"/>
  <c r="BI682"/>
  <c r="BQ682"/>
  <c r="J702" s="1"/>
  <c r="CC682"/>
  <c r="L728" s="1"/>
  <c r="CK682"/>
  <c r="DE682"/>
  <c r="J706" s="1"/>
  <c r="DM682"/>
  <c r="DU682"/>
  <c r="K709" s="1"/>
  <c r="EC682"/>
  <c r="EK682"/>
  <c r="L712" s="1"/>
  <c r="ES682"/>
  <c r="GS682"/>
  <c r="GW682"/>
  <c r="HE682"/>
  <c r="HM682"/>
  <c r="X682"/>
  <c r="J690" s="1"/>
  <c r="AB682"/>
  <c r="I691" s="1"/>
  <c r="AF682"/>
  <c r="AJ682"/>
  <c r="AN682"/>
  <c r="K693" s="1"/>
  <c r="AR682"/>
  <c r="AV682"/>
  <c r="I699" s="1"/>
  <c r="AZ682"/>
  <c r="H698" s="1"/>
  <c r="BD682"/>
  <c r="L698" s="1"/>
  <c r="BH682"/>
  <c r="BL682"/>
  <c r="J703" s="1"/>
  <c r="BP682"/>
  <c r="I702" s="1"/>
  <c r="CB682"/>
  <c r="K728" s="1"/>
  <c r="CF682"/>
  <c r="J729" s="1"/>
  <c r="CJ682"/>
  <c r="CN682"/>
  <c r="H731" s="1"/>
  <c r="CR682"/>
  <c r="L731" s="1"/>
  <c r="DD682"/>
  <c r="I706" s="1"/>
  <c r="DH682"/>
  <c r="H707" s="1"/>
  <c r="DL682"/>
  <c r="L707" s="1"/>
  <c r="DP682"/>
  <c r="DT682"/>
  <c r="J709" s="1"/>
  <c r="DX682"/>
  <c r="I710" s="1"/>
  <c r="EB682"/>
  <c r="EF682"/>
  <c r="EJ682"/>
  <c r="K712" s="1"/>
  <c r="EN682"/>
  <c r="J713" s="1"/>
  <c r="ER682"/>
  <c r="GR682"/>
  <c r="GV682"/>
  <c r="GZ682"/>
  <c r="HD682"/>
  <c r="HH682"/>
  <c r="HL682"/>
  <c r="AG682"/>
  <c r="AO682"/>
  <c r="L693" s="1"/>
  <c r="AW682"/>
  <c r="J699" s="1"/>
  <c r="BE682"/>
  <c r="BM682"/>
  <c r="K703" s="1"/>
  <c r="BY682"/>
  <c r="H728" s="1"/>
  <c r="CG682"/>
  <c r="K729" s="1"/>
  <c r="CO682"/>
  <c r="I731" s="1"/>
  <c r="DI682"/>
  <c r="I707" s="1"/>
  <c r="DQ682"/>
  <c r="DY682"/>
  <c r="J710" s="1"/>
  <c r="EG682"/>
  <c r="H712" s="1"/>
  <c r="EO682"/>
  <c r="K713" s="1"/>
  <c r="GO682"/>
  <c r="HA682"/>
  <c r="HI682"/>
  <c r="W682"/>
  <c r="I690" s="1"/>
  <c r="AA682"/>
  <c r="H691" s="1"/>
  <c r="AE682"/>
  <c r="L691" s="1"/>
  <c r="AI682"/>
  <c r="AM682"/>
  <c r="J693" s="1"/>
  <c r="AQ682"/>
  <c r="AU682"/>
  <c r="H699" s="1"/>
  <c r="AY682"/>
  <c r="L699" s="1"/>
  <c r="BC682"/>
  <c r="K698" s="1"/>
  <c r="BG682"/>
  <c r="BK682"/>
  <c r="I703" s="1"/>
  <c r="BO682"/>
  <c r="H702" s="1"/>
  <c r="BS682"/>
  <c r="L702" s="1"/>
  <c r="CA682"/>
  <c r="J728" s="1"/>
  <c r="CE682"/>
  <c r="I729" s="1"/>
  <c r="CI682"/>
  <c r="CM682"/>
  <c r="CQ682"/>
  <c r="K731" s="1"/>
  <c r="DC682"/>
  <c r="H706" s="1"/>
  <c r="DG682"/>
  <c r="L706" s="1"/>
  <c r="DK682"/>
  <c r="K707" s="1"/>
  <c r="DO682"/>
  <c r="DS682"/>
  <c r="I709" s="1"/>
  <c r="DW682"/>
  <c r="H710" s="1"/>
  <c r="EA682"/>
  <c r="L710" s="1"/>
  <c r="EE682"/>
  <c r="EI682"/>
  <c r="J712" s="1"/>
  <c r="EM682"/>
  <c r="I713" s="1"/>
  <c r="EQ682"/>
  <c r="EU682"/>
  <c r="GQ682"/>
  <c r="GU682"/>
  <c r="GY682"/>
  <c r="HC682"/>
  <c r="HG682"/>
  <c r="HK682"/>
  <c r="BV682"/>
  <c r="J695" s="1"/>
  <c r="CT682"/>
  <c r="CX682"/>
  <c r="H733" s="1"/>
  <c r="DB682"/>
  <c r="L733" s="1"/>
  <c r="EX682"/>
  <c r="FB682"/>
  <c r="I723" s="1"/>
  <c r="FF682"/>
  <c r="H726" s="1"/>
  <c r="FJ682"/>
  <c r="L726" s="1"/>
  <c r="FN682"/>
  <c r="K725" s="1"/>
  <c r="FR682"/>
  <c r="J724" s="1"/>
  <c r="FV682"/>
  <c r="I719" s="1"/>
  <c r="FZ682"/>
  <c r="H720" s="1"/>
  <c r="GD682"/>
  <c r="L720" s="1"/>
  <c r="GH682"/>
  <c r="K721" s="1"/>
  <c r="GL682"/>
  <c r="J722" s="1"/>
  <c r="A682"/>
  <c r="A641" s="1"/>
  <c r="V682"/>
  <c r="H690" s="1"/>
  <c r="Z682"/>
  <c r="L690" s="1"/>
  <c r="AD682"/>
  <c r="K691" s="1"/>
  <c r="AH682"/>
  <c r="AL682"/>
  <c r="I693" s="1"/>
  <c r="AP682"/>
  <c r="AT682"/>
  <c r="AX682"/>
  <c r="K699" s="1"/>
  <c r="BB682"/>
  <c r="J698" s="1"/>
  <c r="BF682"/>
  <c r="BJ682"/>
  <c r="H703" s="1"/>
  <c r="BN682"/>
  <c r="L703" s="1"/>
  <c r="BR682"/>
  <c r="K702" s="1"/>
  <c r="K704" s="1"/>
  <c r="BZ682"/>
  <c r="I728" s="1"/>
  <c r="CD682"/>
  <c r="H729" s="1"/>
  <c r="CH682"/>
  <c r="L729" s="1"/>
  <c r="CL682"/>
  <c r="CP682"/>
  <c r="J731" s="1"/>
  <c r="DF682"/>
  <c r="K706" s="1"/>
  <c r="DJ682"/>
  <c r="J707" s="1"/>
  <c r="DN682"/>
  <c r="DR682"/>
  <c r="H709" s="1"/>
  <c r="DV682"/>
  <c r="L709" s="1"/>
  <c r="DZ682"/>
  <c r="K710" s="1"/>
  <c r="ED682"/>
  <c r="EH682"/>
  <c r="I712" s="1"/>
  <c r="EL682"/>
  <c r="H713" s="1"/>
  <c r="EP682"/>
  <c r="L713" s="1"/>
  <c r="ET682"/>
  <c r="GP682"/>
  <c r="GT682"/>
  <c r="GX682"/>
  <c r="HB682"/>
  <c r="HF682"/>
  <c r="HJ682"/>
  <c r="I610"/>
  <c r="J610"/>
  <c r="K610"/>
  <c r="J580"/>
  <c r="P558"/>
  <c r="P562" s="1"/>
  <c r="J558"/>
  <c r="J562" s="1"/>
  <c r="J538"/>
  <c r="A537"/>
  <c r="S519"/>
  <c r="A504"/>
  <c r="G497"/>
  <c r="G491"/>
  <c r="A476"/>
  <c r="G478"/>
  <c r="A428"/>
  <c r="S447"/>
  <c r="P447"/>
  <c r="S437"/>
  <c r="G437"/>
  <c r="H405"/>
  <c r="P177"/>
  <c r="H84"/>
  <c r="L51"/>
  <c r="K53"/>
  <c r="J52"/>
  <c r="K314" i="11"/>
  <c r="K313"/>
  <c r="K312"/>
  <c r="K311"/>
  <c r="K310"/>
  <c r="K301"/>
  <c r="K300"/>
  <c r="K299"/>
  <c r="K298"/>
  <c r="K297"/>
  <c r="K288"/>
  <c r="K287"/>
  <c r="K286"/>
  <c r="K285"/>
  <c r="K284"/>
  <c r="G314"/>
  <c r="G313"/>
  <c r="G312"/>
  <c r="G311"/>
  <c r="G310"/>
  <c r="G301"/>
  <c r="G300"/>
  <c r="G299"/>
  <c r="G298"/>
  <c r="G297"/>
  <c r="G288"/>
  <c r="G286"/>
  <c r="G287"/>
  <c r="M287" s="1"/>
  <c r="G285"/>
  <c r="G284"/>
  <c r="D820" i="46" l="1"/>
  <c r="D839" s="1"/>
  <c r="E839"/>
  <c r="B839"/>
  <c r="E826"/>
  <c r="F818"/>
  <c r="F825"/>
  <c r="J718"/>
  <c r="I718"/>
  <c r="F823"/>
  <c r="B458"/>
  <c r="F819"/>
  <c r="S544"/>
  <c r="L711"/>
  <c r="J692"/>
  <c r="J694" s="1"/>
  <c r="J696" s="1"/>
  <c r="M544"/>
  <c r="M561" s="1"/>
  <c r="M563" s="1"/>
  <c r="M565" s="1"/>
  <c r="J544"/>
  <c r="J561" s="1"/>
  <c r="J563" s="1"/>
  <c r="J565" s="1"/>
  <c r="P544"/>
  <c r="P561" s="1"/>
  <c r="P563" s="1"/>
  <c r="P565" s="1"/>
  <c r="M724"/>
  <c r="Q724" s="1"/>
  <c r="H730"/>
  <c r="H732" s="1"/>
  <c r="H700"/>
  <c r="G818"/>
  <c r="G825"/>
  <c r="G819"/>
  <c r="H817"/>
  <c r="G823"/>
  <c r="J714"/>
  <c r="M720"/>
  <c r="M695"/>
  <c r="Q695" s="1"/>
  <c r="M726"/>
  <c r="Q726" s="1"/>
  <c r="H708"/>
  <c r="K730"/>
  <c r="K732" s="1"/>
  <c r="K734" s="1"/>
  <c r="J700"/>
  <c r="L718"/>
  <c r="M725"/>
  <c r="Q725" s="1"/>
  <c r="J704"/>
  <c r="K711"/>
  <c r="L730"/>
  <c r="L732" s="1"/>
  <c r="L734" s="1"/>
  <c r="H718"/>
  <c r="L708"/>
  <c r="H704"/>
  <c r="L700"/>
  <c r="J730"/>
  <c r="J732" s="1"/>
  <c r="J734" s="1"/>
  <c r="I692"/>
  <c r="I694" s="1"/>
  <c r="I696" s="1"/>
  <c r="I700"/>
  <c r="K692"/>
  <c r="K694" s="1"/>
  <c r="K696" s="1"/>
  <c r="I711"/>
  <c r="M712"/>
  <c r="Q712" s="1"/>
  <c r="M731"/>
  <c r="Q731" s="1"/>
  <c r="M728"/>
  <c r="Q728" s="1"/>
  <c r="L692"/>
  <c r="L694" s="1"/>
  <c r="L696" s="1"/>
  <c r="K718"/>
  <c r="M723"/>
  <c r="Q723" s="1"/>
  <c r="I704"/>
  <c r="M698"/>
  <c r="Q698" s="1"/>
  <c r="H714"/>
  <c r="M706"/>
  <c r="Q706" s="1"/>
  <c r="M691"/>
  <c r="Q691" s="1"/>
  <c r="I730"/>
  <c r="I732" s="1"/>
  <c r="I734" s="1"/>
  <c r="L714"/>
  <c r="J708"/>
  <c r="L704"/>
  <c r="K700"/>
  <c r="K714"/>
  <c r="J711"/>
  <c r="I708"/>
  <c r="M702"/>
  <c r="Q702" s="1"/>
  <c r="M693"/>
  <c r="Q693" s="1"/>
  <c r="H692"/>
  <c r="H694" s="1"/>
  <c r="K708"/>
  <c r="M721"/>
  <c r="M713"/>
  <c r="Q713" s="1"/>
  <c r="M690"/>
  <c r="Q690" s="1"/>
  <c r="M719"/>
  <c r="M709"/>
  <c r="Q709" s="1"/>
  <c r="M733"/>
  <c r="Q733" s="1"/>
  <c r="M722"/>
  <c r="M703"/>
  <c r="Q703" s="1"/>
  <c r="H711"/>
  <c r="I714"/>
  <c r="M707"/>
  <c r="Q707" s="1"/>
  <c r="M710"/>
  <c r="Q710" s="1"/>
  <c r="M729"/>
  <c r="Q729" s="1"/>
  <c r="M699"/>
  <c r="Q699" s="1"/>
  <c r="G544"/>
  <c r="M285" i="11"/>
  <c r="M297"/>
  <c r="M301"/>
  <c r="M300"/>
  <c r="M299"/>
  <c r="M310"/>
  <c r="M314"/>
  <c r="M313"/>
  <c r="M312"/>
  <c r="M311"/>
  <c r="M298"/>
  <c r="M284"/>
  <c r="M288"/>
  <c r="M286"/>
  <c r="B28" i="8"/>
  <c r="B832" i="46" s="1"/>
  <c r="D826" l="1"/>
  <c r="F820"/>
  <c r="F839" s="1"/>
  <c r="O297" i="11"/>
  <c r="O310"/>
  <c r="O284"/>
  <c r="F826" i="46"/>
  <c r="G820"/>
  <c r="G826" s="1"/>
  <c r="I817"/>
  <c r="H819"/>
  <c r="H818"/>
  <c r="H825"/>
  <c r="H823"/>
  <c r="M700"/>
  <c r="Q700" s="1"/>
  <c r="M718"/>
  <c r="Q718" s="1"/>
  <c r="M711"/>
  <c r="Q711" s="1"/>
  <c r="M714"/>
  <c r="Q714" s="1"/>
  <c r="M708"/>
  <c r="Q708" s="1"/>
  <c r="M730"/>
  <c r="Q730" s="1"/>
  <c r="M704"/>
  <c r="Q704" s="1"/>
  <c r="M692"/>
  <c r="Q692" s="1"/>
  <c r="H696"/>
  <c r="M696" s="1"/>
  <c r="M694"/>
  <c r="Q694" s="1"/>
  <c r="M732"/>
  <c r="Q732" s="1"/>
  <c r="H734"/>
  <c r="M734" s="1"/>
  <c r="Q734" s="1"/>
  <c r="H101" i="11"/>
  <c r="F253"/>
  <c r="K328"/>
  <c r="K1646" i="46" s="1"/>
  <c r="G839" l="1"/>
  <c r="P297" i="11"/>
  <c r="H820" i="46"/>
  <c r="H839" s="1"/>
  <c r="I825"/>
  <c r="I823"/>
  <c r="I819"/>
  <c r="J817"/>
  <c r="I818"/>
  <c r="P794"/>
  <c r="J793"/>
  <c r="J792"/>
  <c r="Q696"/>
  <c r="Q687" s="1"/>
  <c r="J791"/>
  <c r="P254" i="11"/>
  <c r="O254"/>
  <c r="L242"/>
  <c r="I222"/>
  <c r="L183"/>
  <c r="E168"/>
  <c r="G168" s="1"/>
  <c r="J126"/>
  <c r="J70"/>
  <c r="O98"/>
  <c r="U1416" i="46" s="1"/>
  <c r="J48" i="11"/>
  <c r="O47" s="1"/>
  <c r="U1365" i="46" s="1"/>
  <c r="H826" l="1"/>
  <c r="P69" i="11"/>
  <c r="O69"/>
  <c r="U1387" i="46" s="1"/>
  <c r="I820"/>
  <c r="I826" s="1"/>
  <c r="J825"/>
  <c r="J823"/>
  <c r="J819"/>
  <c r="K817"/>
  <c r="J818"/>
  <c r="E88" i="11"/>
  <c r="O87" s="1"/>
  <c r="U1405" i="46" s="1"/>
  <c r="I839" l="1"/>
  <c r="K818"/>
  <c r="K823"/>
  <c r="B846"/>
  <c r="K825"/>
  <c r="K819"/>
  <c r="J820"/>
  <c r="J826" s="1"/>
  <c r="J839" l="1"/>
  <c r="K820"/>
  <c r="K826" s="1"/>
  <c r="B847"/>
  <c r="B852"/>
  <c r="B854"/>
  <c r="B848"/>
  <c r="C846"/>
  <c r="K331" i="11"/>
  <c r="K1649" i="46" s="1"/>
  <c r="I29" i="7"/>
  <c r="K29" s="1"/>
  <c r="K332" i="11" s="1"/>
  <c r="K1650" i="46" s="1"/>
  <c r="K329" i="11"/>
  <c r="K1647" i="46" s="1"/>
  <c r="G159" i="11"/>
  <c r="M210"/>
  <c r="P209" s="1"/>
  <c r="K210"/>
  <c r="O209" s="1"/>
  <c r="P38"/>
  <c r="O38"/>
  <c r="U1356" i="46" s="1"/>
  <c r="K839" l="1"/>
  <c r="D846"/>
  <c r="C852"/>
  <c r="C848"/>
  <c r="C847"/>
  <c r="C854"/>
  <c r="B849"/>
  <c r="B855" s="1"/>
  <c r="B868" l="1"/>
  <c r="D854"/>
  <c r="D852"/>
  <c r="D848"/>
  <c r="E846"/>
  <c r="D847"/>
  <c r="C849"/>
  <c r="C855" s="1"/>
  <c r="M37" i="3"/>
  <c r="M393" i="46" s="1"/>
  <c r="M35" i="3"/>
  <c r="M391" i="46" s="1"/>
  <c r="M34" i="3"/>
  <c r="M390" i="46" s="1"/>
  <c r="M33" i="3"/>
  <c r="M389" i="46" s="1"/>
  <c r="M32" i="3"/>
  <c r="M388" i="46" s="1"/>
  <c r="A89" i="11"/>
  <c r="U62" i="15"/>
  <c r="A62"/>
  <c r="W40"/>
  <c r="O40"/>
  <c r="E37"/>
  <c r="E451" i="46" s="1"/>
  <c r="E36" i="15"/>
  <c r="E450" i="46" s="1"/>
  <c r="S38" i="15"/>
  <c r="P38"/>
  <c r="M38"/>
  <c r="J38"/>
  <c r="G38"/>
  <c r="S33"/>
  <c r="P33"/>
  <c r="M33"/>
  <c r="J33"/>
  <c r="G33"/>
  <c r="C868" i="46" l="1"/>
  <c r="D849"/>
  <c r="D855" s="1"/>
  <c r="E847"/>
  <c r="E854"/>
  <c r="E852"/>
  <c r="E848"/>
  <c r="F846"/>
  <c r="B23" i="8"/>
  <c r="B827" i="46" s="1"/>
  <c r="B25" i="8"/>
  <c r="B829" i="46" s="1"/>
  <c r="B24" i="8"/>
  <c r="B828" i="46" s="1"/>
  <c r="B833"/>
  <c r="B26" i="8"/>
  <c r="B830" i="46" s="1"/>
  <c r="D868" l="1"/>
  <c r="B836"/>
  <c r="B837"/>
  <c r="B835"/>
  <c r="B834"/>
  <c r="B838"/>
  <c r="F847"/>
  <c r="G846"/>
  <c r="F854"/>
  <c r="F852"/>
  <c r="F848"/>
  <c r="E849"/>
  <c r="E855" s="1"/>
  <c r="L235" i="11"/>
  <c r="P230"/>
  <c r="O230"/>
  <c r="U1548" i="46" s="1"/>
  <c r="A2" i="41"/>
  <c r="K60" i="6"/>
  <c r="K969" i="46" s="1"/>
  <c r="E868" l="1"/>
  <c r="F849"/>
  <c r="F855" s="1"/>
  <c r="H846"/>
  <c r="G854"/>
  <c r="G847"/>
  <c r="G852"/>
  <c r="G848"/>
  <c r="L52" i="6"/>
  <c r="L51"/>
  <c r="L50"/>
  <c r="L49"/>
  <c r="L48"/>
  <c r="G52"/>
  <c r="G51"/>
  <c r="G50"/>
  <c r="G49"/>
  <c r="G48"/>
  <c r="BK11" i="36"/>
  <c r="BK12"/>
  <c r="BK13"/>
  <c r="BK14"/>
  <c r="BK15"/>
  <c r="BK16"/>
  <c r="BK17"/>
  <c r="BK18"/>
  <c r="BK19"/>
  <c r="BK20"/>
  <c r="BK21"/>
  <c r="BK22"/>
  <c r="BK23"/>
  <c r="BK24"/>
  <c r="BK25"/>
  <c r="BK26"/>
  <c r="BK27"/>
  <c r="BK28"/>
  <c r="BK29"/>
  <c r="BK30"/>
  <c r="BK31"/>
  <c r="BK32"/>
  <c r="BK33"/>
  <c r="BK34"/>
  <c r="BK35"/>
  <c r="BK36"/>
  <c r="BK37"/>
  <c r="BK38"/>
  <c r="BK39"/>
  <c r="BK40"/>
  <c r="BK41"/>
  <c r="BK42"/>
  <c r="BK43"/>
  <c r="BK44"/>
  <c r="BK45"/>
  <c r="BK46"/>
  <c r="BK47"/>
  <c r="BK10"/>
  <c r="F868" i="46" l="1"/>
  <c r="G849"/>
  <c r="G855" s="1"/>
  <c r="H854"/>
  <c r="H852"/>
  <c r="H848"/>
  <c r="I846"/>
  <c r="H847"/>
  <c r="I203" i="11"/>
  <c r="O163" i="15"/>
  <c r="B97" i="8"/>
  <c r="B901" i="46" s="1"/>
  <c r="B96" i="8"/>
  <c r="B900" i="46" s="1"/>
  <c r="B95" i="8"/>
  <c r="B899" i="46" s="1"/>
  <c r="B68" i="8"/>
  <c r="B872" i="46" s="1"/>
  <c r="B67" i="8"/>
  <c r="B871" i="46" s="1"/>
  <c r="B66" i="8"/>
  <c r="B870" i="46" s="1"/>
  <c r="K97" i="8"/>
  <c r="K901" i="46" s="1"/>
  <c r="J97" i="8"/>
  <c r="J901" i="46" s="1"/>
  <c r="I97" i="8"/>
  <c r="I901" i="46" s="1"/>
  <c r="H97" i="8"/>
  <c r="H901" i="46" s="1"/>
  <c r="G97" i="8"/>
  <c r="G901" i="46" s="1"/>
  <c r="F97" i="8"/>
  <c r="F901" i="46" s="1"/>
  <c r="E97" i="8"/>
  <c r="E901" i="46" s="1"/>
  <c r="D97" i="8"/>
  <c r="D901" i="46" s="1"/>
  <c r="C97" i="8"/>
  <c r="C901" i="46" s="1"/>
  <c r="K96" i="8"/>
  <c r="K900" i="46" s="1"/>
  <c r="J96" i="8"/>
  <c r="J900" i="46" s="1"/>
  <c r="I96" i="8"/>
  <c r="I900" i="46" s="1"/>
  <c r="H96" i="8"/>
  <c r="H900" i="46" s="1"/>
  <c r="G96" i="8"/>
  <c r="G900" i="46" s="1"/>
  <c r="F96" i="8"/>
  <c r="F900" i="46" s="1"/>
  <c r="E96" i="8"/>
  <c r="E900" i="46" s="1"/>
  <c r="D96" i="8"/>
  <c r="D900" i="46" s="1"/>
  <c r="C96" i="8"/>
  <c r="C900" i="46" s="1"/>
  <c r="K95" i="8"/>
  <c r="K899" i="46" s="1"/>
  <c r="J95" i="8"/>
  <c r="J899" i="46" s="1"/>
  <c r="I95" i="8"/>
  <c r="I899" i="46" s="1"/>
  <c r="H95" i="8"/>
  <c r="H899" i="46" s="1"/>
  <c r="G95" i="8"/>
  <c r="G899" i="46" s="1"/>
  <c r="F95" i="8"/>
  <c r="F899" i="46" s="1"/>
  <c r="E95" i="8"/>
  <c r="E899" i="46" s="1"/>
  <c r="D95" i="8"/>
  <c r="D899" i="46" s="1"/>
  <c r="C95" i="8"/>
  <c r="C899" i="46" s="1"/>
  <c r="C66" i="8"/>
  <c r="C870" i="46" s="1"/>
  <c r="D66" i="8"/>
  <c r="D870" i="46" s="1"/>
  <c r="E66" i="8"/>
  <c r="E870" i="46" s="1"/>
  <c r="F66" i="8"/>
  <c r="F870" i="46" s="1"/>
  <c r="G66" i="8"/>
  <c r="G870" i="46" s="1"/>
  <c r="H66" i="8"/>
  <c r="H870" i="46" s="1"/>
  <c r="I66" i="8"/>
  <c r="I870" i="46" s="1"/>
  <c r="J66" i="8"/>
  <c r="J870" i="46" s="1"/>
  <c r="C67" i="8"/>
  <c r="C871" i="46" s="1"/>
  <c r="D67" i="8"/>
  <c r="D871" i="46" s="1"/>
  <c r="E67" i="8"/>
  <c r="E871" i="46" s="1"/>
  <c r="F67" i="8"/>
  <c r="F871" i="46" s="1"/>
  <c r="G67" i="8"/>
  <c r="G871" i="46" s="1"/>
  <c r="H67" i="8"/>
  <c r="H871" i="46" s="1"/>
  <c r="I67" i="8"/>
  <c r="I871" i="46" s="1"/>
  <c r="J67" i="8"/>
  <c r="J871" i="46" s="1"/>
  <c r="C68" i="8"/>
  <c r="C872" i="46" s="1"/>
  <c r="D68" i="8"/>
  <c r="D872" i="46" s="1"/>
  <c r="E68" i="8"/>
  <c r="E872" i="46" s="1"/>
  <c r="F68" i="8"/>
  <c r="F872" i="46" s="1"/>
  <c r="G68" i="8"/>
  <c r="G872" i="46" s="1"/>
  <c r="H68" i="8"/>
  <c r="H872" i="46" s="1"/>
  <c r="I68" i="8"/>
  <c r="I872" i="46" s="1"/>
  <c r="J68" i="8"/>
  <c r="J872" i="46" s="1"/>
  <c r="K68" i="8"/>
  <c r="K872" i="46" s="1"/>
  <c r="K67" i="8"/>
  <c r="K871" i="46" s="1"/>
  <c r="K66" i="8"/>
  <c r="K870" i="46" s="1"/>
  <c r="D37" i="8"/>
  <c r="D841" i="46" s="1"/>
  <c r="E37" i="8"/>
  <c r="E841" i="46" s="1"/>
  <c r="F37" i="8"/>
  <c r="F841" i="46" s="1"/>
  <c r="G37" i="8"/>
  <c r="G841" i="46" s="1"/>
  <c r="H37" i="8"/>
  <c r="H841" i="46" s="1"/>
  <c r="I37" i="8"/>
  <c r="I841" i="46" s="1"/>
  <c r="J37" i="8"/>
  <c r="J841" i="46" s="1"/>
  <c r="K37" i="8"/>
  <c r="K841" i="46" s="1"/>
  <c r="D38" i="8"/>
  <c r="D842" i="46" s="1"/>
  <c r="E38" i="8"/>
  <c r="E842" i="46" s="1"/>
  <c r="F38" i="8"/>
  <c r="F842" i="46" s="1"/>
  <c r="G38" i="8"/>
  <c r="G842" i="46" s="1"/>
  <c r="H38" i="8"/>
  <c r="H842" i="46" s="1"/>
  <c r="I38" i="8"/>
  <c r="I842" i="46" s="1"/>
  <c r="J38" i="8"/>
  <c r="J842" i="46" s="1"/>
  <c r="K38" i="8"/>
  <c r="K842" i="46" s="1"/>
  <c r="D39" i="8"/>
  <c r="D843" i="46" s="1"/>
  <c r="E39" i="8"/>
  <c r="E843" i="46" s="1"/>
  <c r="F39" i="8"/>
  <c r="F843" i="46" s="1"/>
  <c r="G39" i="8"/>
  <c r="G843" i="46" s="1"/>
  <c r="H39" i="8"/>
  <c r="H843" i="46" s="1"/>
  <c r="I39" i="8"/>
  <c r="I843" i="46" s="1"/>
  <c r="J39" i="8"/>
  <c r="J843" i="46" s="1"/>
  <c r="K39" i="8"/>
  <c r="K843" i="46" s="1"/>
  <c r="C39" i="8"/>
  <c r="C843" i="46" s="1"/>
  <c r="C38" i="8"/>
  <c r="C842" i="46" s="1"/>
  <c r="C37" i="8"/>
  <c r="C841" i="46" s="1"/>
  <c r="B40" i="8"/>
  <c r="B844" i="46" s="1"/>
  <c r="B39" i="8"/>
  <c r="B843" i="46" s="1"/>
  <c r="B38" i="8"/>
  <c r="B842" i="46" s="1"/>
  <c r="B37" i="8"/>
  <c r="B841" i="46" s="1"/>
  <c r="B36" i="8"/>
  <c r="B840" i="46" s="1"/>
  <c r="W136" i="15"/>
  <c r="N173" i="11"/>
  <c r="N167"/>
  <c r="N140"/>
  <c r="N61"/>
  <c r="G868" i="46" l="1"/>
  <c r="I854"/>
  <c r="I852"/>
  <c r="I848"/>
  <c r="J846"/>
  <c r="I847"/>
  <c r="H849"/>
  <c r="H855" s="1"/>
  <c r="M6" i="11"/>
  <c r="P241"/>
  <c r="O241"/>
  <c r="H868" i="46" l="1"/>
  <c r="A716"/>
  <c r="U1559"/>
  <c r="I849"/>
  <c r="I868" s="1"/>
  <c r="J847"/>
  <c r="J854"/>
  <c r="J852"/>
  <c r="J848"/>
  <c r="K846"/>
  <c r="K52" i="6"/>
  <c r="K961" i="46" s="1"/>
  <c r="K49" i="6"/>
  <c r="K958" i="46" s="1"/>
  <c r="K51" i="6"/>
  <c r="K960" i="46" s="1"/>
  <c r="K48" i="6"/>
  <c r="K957" i="46" s="1"/>
  <c r="K50" i="6"/>
  <c r="K959" i="46" s="1"/>
  <c r="I855" l="1"/>
  <c r="M959"/>
  <c r="N959"/>
  <c r="M958"/>
  <c r="N958"/>
  <c r="M960"/>
  <c r="N960"/>
  <c r="M961"/>
  <c r="N961"/>
  <c r="N957"/>
  <c r="K962"/>
  <c r="M957"/>
  <c r="B875"/>
  <c r="K852"/>
  <c r="K848"/>
  <c r="K847"/>
  <c r="K854"/>
  <c r="J849"/>
  <c r="J855" s="1"/>
  <c r="M50" i="6"/>
  <c r="N50"/>
  <c r="M49"/>
  <c r="N49"/>
  <c r="M51"/>
  <c r="N51"/>
  <c r="N52"/>
  <c r="M52"/>
  <c r="N48"/>
  <c r="K53"/>
  <c r="M48"/>
  <c r="O132" i="11"/>
  <c r="O125" s="1"/>
  <c r="U1443" i="46" s="1"/>
  <c r="M75" i="11"/>
  <c r="M73"/>
  <c r="Q51"/>
  <c r="M11" i="8"/>
  <c r="M3"/>
  <c r="T93" i="36"/>
  <c r="T83"/>
  <c r="T71"/>
  <c r="T67"/>
  <c r="T63"/>
  <c r="T128"/>
  <c r="T118"/>
  <c r="T108"/>
  <c r="T138"/>
  <c r="T133"/>
  <c r="T113"/>
  <c r="T123"/>
  <c r="T106"/>
  <c r="T104"/>
  <c r="T53"/>
  <c r="T3"/>
  <c r="W146" i="15"/>
  <c r="W125"/>
  <c r="W117"/>
  <c r="W95"/>
  <c r="W112"/>
  <c r="W106"/>
  <c r="W84"/>
  <c r="W78"/>
  <c r="W65"/>
  <c r="W52"/>
  <c r="W46"/>
  <c r="W34"/>
  <c r="W28"/>
  <c r="W24"/>
  <c r="W18"/>
  <c r="W7"/>
  <c r="W159"/>
  <c r="W135"/>
  <c r="W93"/>
  <c r="W50"/>
  <c r="W5"/>
  <c r="S29" i="3"/>
  <c r="S11"/>
  <c r="S3"/>
  <c r="A33" i="8"/>
  <c r="A32"/>
  <c r="A31"/>
  <c r="K84"/>
  <c r="K888" i="46" s="1"/>
  <c r="J84" i="8"/>
  <c r="J888" i="46" s="1"/>
  <c r="I84" i="8"/>
  <c r="I888" i="46" s="1"/>
  <c r="H84" i="8"/>
  <c r="H888" i="46" s="1"/>
  <c r="G84" i="8"/>
  <c r="G888" i="46" s="1"/>
  <c r="F84" i="8"/>
  <c r="F888" i="46" s="1"/>
  <c r="E84" i="8"/>
  <c r="E888" i="46" s="1"/>
  <c r="D84" i="8"/>
  <c r="D888" i="46" s="1"/>
  <c r="C84" i="8"/>
  <c r="C888" i="46" s="1"/>
  <c r="B84" i="8"/>
  <c r="B888" i="46" s="1"/>
  <c r="K83" i="8"/>
  <c r="K887" i="46" s="1"/>
  <c r="J83" i="8"/>
  <c r="J887" i="46" s="1"/>
  <c r="I83" i="8"/>
  <c r="I887" i="46" s="1"/>
  <c r="H83" i="8"/>
  <c r="H887" i="46" s="1"/>
  <c r="G83" i="8"/>
  <c r="G887" i="46" s="1"/>
  <c r="F83" i="8"/>
  <c r="F887" i="46" s="1"/>
  <c r="E83" i="8"/>
  <c r="E887" i="46" s="1"/>
  <c r="D83" i="8"/>
  <c r="D887" i="46" s="1"/>
  <c r="C83" i="8"/>
  <c r="C887" i="46" s="1"/>
  <c r="B83" i="8"/>
  <c r="B887" i="46" s="1"/>
  <c r="K82" i="8"/>
  <c r="K886" i="46" s="1"/>
  <c r="J82" i="8"/>
  <c r="J886" i="46" s="1"/>
  <c r="I82" i="8"/>
  <c r="I886" i="46" s="1"/>
  <c r="H82" i="8"/>
  <c r="H886" i="46" s="1"/>
  <c r="G82" i="8"/>
  <c r="G886" i="46" s="1"/>
  <c r="F82" i="8"/>
  <c r="F886" i="46" s="1"/>
  <c r="E82" i="8"/>
  <c r="E886" i="46" s="1"/>
  <c r="D82" i="8"/>
  <c r="D886" i="46" s="1"/>
  <c r="C82" i="8"/>
  <c r="C886" i="46" s="1"/>
  <c r="B82" i="8"/>
  <c r="B886" i="46" s="1"/>
  <c r="K55" i="8"/>
  <c r="K859" i="46" s="1"/>
  <c r="J55" i="8"/>
  <c r="J859" i="46" s="1"/>
  <c r="I55" i="8"/>
  <c r="I859" i="46" s="1"/>
  <c r="H55" i="8"/>
  <c r="H859" i="46" s="1"/>
  <c r="G55" i="8"/>
  <c r="G859" i="46" s="1"/>
  <c r="F55" i="8"/>
  <c r="F859" i="46" s="1"/>
  <c r="E55" i="8"/>
  <c r="E859" i="46" s="1"/>
  <c r="D55" i="8"/>
  <c r="D859" i="46" s="1"/>
  <c r="C55" i="8"/>
  <c r="C859" i="46" s="1"/>
  <c r="B55" i="8"/>
  <c r="B859" i="46" s="1"/>
  <c r="K54" i="8"/>
  <c r="K858" i="46" s="1"/>
  <c r="J54" i="8"/>
  <c r="J858" i="46" s="1"/>
  <c r="I54" i="8"/>
  <c r="I858" i="46" s="1"/>
  <c r="H54" i="8"/>
  <c r="H858" i="46" s="1"/>
  <c r="G54" i="8"/>
  <c r="G858" i="46" s="1"/>
  <c r="F54" i="8"/>
  <c r="F858" i="46" s="1"/>
  <c r="E54" i="8"/>
  <c r="E858" i="46" s="1"/>
  <c r="D54" i="8"/>
  <c r="D858" i="46" s="1"/>
  <c r="C54" i="8"/>
  <c r="C858" i="46" s="1"/>
  <c r="B54" i="8"/>
  <c r="B858" i="46" s="1"/>
  <c r="K53" i="8"/>
  <c r="K857" i="46" s="1"/>
  <c r="J53" i="8"/>
  <c r="J857" i="46" s="1"/>
  <c r="I53" i="8"/>
  <c r="I857" i="46" s="1"/>
  <c r="H53" i="8"/>
  <c r="H857" i="46" s="1"/>
  <c r="G53" i="8"/>
  <c r="G857" i="46" s="1"/>
  <c r="F53" i="8"/>
  <c r="F857" i="46" s="1"/>
  <c r="E53" i="8"/>
  <c r="E857" i="46" s="1"/>
  <c r="D53" i="8"/>
  <c r="D857" i="46" s="1"/>
  <c r="C53" i="8"/>
  <c r="C857" i="46" s="1"/>
  <c r="B53" i="8"/>
  <c r="B857" i="46" s="1"/>
  <c r="K26" i="8"/>
  <c r="K830" i="46" s="1"/>
  <c r="J26" i="8"/>
  <c r="J830" i="46" s="1"/>
  <c r="I26" i="8"/>
  <c r="I830" i="46" s="1"/>
  <c r="H26" i="8"/>
  <c r="H830" i="46" s="1"/>
  <c r="G26" i="8"/>
  <c r="G830" i="46" s="1"/>
  <c r="F26" i="8"/>
  <c r="F830" i="46" s="1"/>
  <c r="E26" i="8"/>
  <c r="E830" i="46" s="1"/>
  <c r="D26" i="8"/>
  <c r="D830" i="46" s="1"/>
  <c r="C26" i="8"/>
  <c r="C830" i="46" s="1"/>
  <c r="K25" i="8"/>
  <c r="K829" i="46" s="1"/>
  <c r="J25" i="8"/>
  <c r="J829" i="46" s="1"/>
  <c r="I25" i="8"/>
  <c r="I829" i="46" s="1"/>
  <c r="H25" i="8"/>
  <c r="H829" i="46" s="1"/>
  <c r="G25" i="8"/>
  <c r="G829" i="46" s="1"/>
  <c r="F25" i="8"/>
  <c r="F829" i="46" s="1"/>
  <c r="E25" i="8"/>
  <c r="E829" i="46" s="1"/>
  <c r="D25" i="8"/>
  <c r="D829" i="46" s="1"/>
  <c r="C25" i="8"/>
  <c r="C829" i="46" s="1"/>
  <c r="K24" i="8"/>
  <c r="K828" i="46" s="1"/>
  <c r="J24" i="8"/>
  <c r="J828" i="46" s="1"/>
  <c r="I24" i="8"/>
  <c r="I828" i="46" s="1"/>
  <c r="H24" i="8"/>
  <c r="H828" i="46" s="1"/>
  <c r="G24" i="8"/>
  <c r="G828" i="46" s="1"/>
  <c r="F24" i="8"/>
  <c r="F828" i="46" s="1"/>
  <c r="E24" i="8"/>
  <c r="E828" i="46" s="1"/>
  <c r="D24" i="8"/>
  <c r="D828" i="46" s="1"/>
  <c r="C24" i="8"/>
  <c r="C828" i="46" s="1"/>
  <c r="J868" l="1"/>
  <c r="N962"/>
  <c r="B883"/>
  <c r="B881"/>
  <c r="B877"/>
  <c r="C875"/>
  <c r="B876"/>
  <c r="K849"/>
  <c r="K855" s="1"/>
  <c r="N53" i="6"/>
  <c r="Q19" i="36"/>
  <c r="Q653" i="46" s="1"/>
  <c r="Q20" i="36"/>
  <c r="Q654" i="46" s="1"/>
  <c r="Q21" i="36"/>
  <c r="Q655" i="46" s="1"/>
  <c r="Q22" i="36"/>
  <c r="Q656" i="46" s="1"/>
  <c r="Q23" i="36"/>
  <c r="Q657" i="46" s="1"/>
  <c r="Q24" i="36"/>
  <c r="Q658" i="46" s="1"/>
  <c r="Q25" i="36"/>
  <c r="Q659" i="46" s="1"/>
  <c r="Q26" i="36"/>
  <c r="Q660" i="46" s="1"/>
  <c r="Q27" i="36"/>
  <c r="Q661" i="46" s="1"/>
  <c r="Q28" i="36"/>
  <c r="Q662" i="46" s="1"/>
  <c r="Q29" i="36"/>
  <c r="Q663" i="46" s="1"/>
  <c r="Q30" i="36"/>
  <c r="Q664" i="46" s="1"/>
  <c r="Q31" i="36"/>
  <c r="Q665" i="46" s="1"/>
  <c r="Q32" i="36"/>
  <c r="Q666" i="46" s="1"/>
  <c r="Q33" i="36"/>
  <c r="Q667" i="46" s="1"/>
  <c r="Q34" i="36"/>
  <c r="Q668" i="46" s="1"/>
  <c r="Q35" i="36"/>
  <c r="Q669" i="46" s="1"/>
  <c r="Q36" i="36"/>
  <c r="Q670" i="46" s="1"/>
  <c r="Q37" i="36"/>
  <c r="Q671" i="46" s="1"/>
  <c r="Q38" i="36"/>
  <c r="Q672" i="46" s="1"/>
  <c r="Q39" i="36"/>
  <c r="Q673" i="46" s="1"/>
  <c r="Q40" i="36"/>
  <c r="Q674" i="46" s="1"/>
  <c r="Q41" i="36"/>
  <c r="Q675" i="46" s="1"/>
  <c r="Q42" i="36"/>
  <c r="Q676" i="46" s="1"/>
  <c r="Q43" i="36"/>
  <c r="Q677" i="46" s="1"/>
  <c r="Q44" i="36"/>
  <c r="Q678" i="46" s="1"/>
  <c r="Q45" i="36"/>
  <c r="Q679" i="46" s="1"/>
  <c r="Q46" i="36"/>
  <c r="Q680" i="46" s="1"/>
  <c r="Q47" i="36"/>
  <c r="Q681" i="46" s="1"/>
  <c r="H49" i="3"/>
  <c r="J576" i="46" s="1"/>
  <c r="O46" i="15"/>
  <c r="M17"/>
  <c r="O8" i="11"/>
  <c r="U1326" i="46" s="1"/>
  <c r="O150" i="11"/>
  <c r="U1468" i="46" s="1"/>
  <c r="O344" i="11"/>
  <c r="U1662" i="46" s="1"/>
  <c r="G116" i="15"/>
  <c r="D393" i="46" s="1"/>
  <c r="I17" i="29"/>
  <c r="J124" i="15"/>
  <c r="J17"/>
  <c r="J27"/>
  <c r="J64"/>
  <c r="J77"/>
  <c r="J83"/>
  <c r="J116"/>
  <c r="J128"/>
  <c r="J144"/>
  <c r="J148" s="1"/>
  <c r="V10" i="36"/>
  <c r="V47"/>
  <c r="V18"/>
  <c r="AA10"/>
  <c r="AA47"/>
  <c r="AA18"/>
  <c r="W10"/>
  <c r="W47"/>
  <c r="W18"/>
  <c r="AB10"/>
  <c r="AB47"/>
  <c r="AB18"/>
  <c r="X10"/>
  <c r="X47"/>
  <c r="X18"/>
  <c r="AC10"/>
  <c r="AC47"/>
  <c r="AC18"/>
  <c r="Y10"/>
  <c r="Y47"/>
  <c r="Y18"/>
  <c r="AD10"/>
  <c r="AD47"/>
  <c r="AD18"/>
  <c r="Z10"/>
  <c r="Z47"/>
  <c r="Z18"/>
  <c r="AE10"/>
  <c r="AE47"/>
  <c r="AE18"/>
  <c r="AK10"/>
  <c r="AK47"/>
  <c r="AK18"/>
  <c r="AL10"/>
  <c r="AL47"/>
  <c r="AL18"/>
  <c r="AM10"/>
  <c r="AM47"/>
  <c r="AM18"/>
  <c r="AN10"/>
  <c r="AN47"/>
  <c r="AN18"/>
  <c r="AO10"/>
  <c r="AO47"/>
  <c r="AO18"/>
  <c r="BY10"/>
  <c r="BY47"/>
  <c r="BY18"/>
  <c r="CD10"/>
  <c r="CD47"/>
  <c r="CD18"/>
  <c r="BZ10"/>
  <c r="BZ47"/>
  <c r="BZ18"/>
  <c r="CE10"/>
  <c r="CE47"/>
  <c r="CE18"/>
  <c r="CA10"/>
  <c r="CA47"/>
  <c r="CA18"/>
  <c r="CF10"/>
  <c r="CF47"/>
  <c r="CF18"/>
  <c r="CB10"/>
  <c r="CB47"/>
  <c r="CB18"/>
  <c r="CG10"/>
  <c r="CG47"/>
  <c r="CG18"/>
  <c r="CC10"/>
  <c r="CC47"/>
  <c r="CC18"/>
  <c r="CH10"/>
  <c r="CH47"/>
  <c r="CH18"/>
  <c r="CN10"/>
  <c r="CN47"/>
  <c r="CN18"/>
  <c r="CO10"/>
  <c r="CO47"/>
  <c r="CO18"/>
  <c r="CP10"/>
  <c r="CP47"/>
  <c r="CP18"/>
  <c r="CQ10"/>
  <c r="CQ47"/>
  <c r="CQ18"/>
  <c r="CR10"/>
  <c r="CR47"/>
  <c r="CR18"/>
  <c r="M124" i="15"/>
  <c r="M23"/>
  <c r="M27"/>
  <c r="M64"/>
  <c r="M77"/>
  <c r="M83"/>
  <c r="M116"/>
  <c r="M128"/>
  <c r="P124"/>
  <c r="P17"/>
  <c r="P27"/>
  <c r="P64"/>
  <c r="P77"/>
  <c r="P83"/>
  <c r="P116"/>
  <c r="P128"/>
  <c r="P144"/>
  <c r="P148" s="1"/>
  <c r="V11" i="36"/>
  <c r="V12"/>
  <c r="V13"/>
  <c r="V14"/>
  <c r="V15"/>
  <c r="V16"/>
  <c r="V17"/>
  <c r="V19"/>
  <c r="V20"/>
  <c r="V21"/>
  <c r="V22"/>
  <c r="V23"/>
  <c r="V24"/>
  <c r="V25"/>
  <c r="V26"/>
  <c r="V27"/>
  <c r="V28"/>
  <c r="V29"/>
  <c r="V30"/>
  <c r="V31"/>
  <c r="V32"/>
  <c r="V33"/>
  <c r="V34"/>
  <c r="V35"/>
  <c r="V36"/>
  <c r="V37"/>
  <c r="V38"/>
  <c r="V39"/>
  <c r="V40"/>
  <c r="V41"/>
  <c r="V42"/>
  <c r="V43"/>
  <c r="V44"/>
  <c r="V45"/>
  <c r="V46"/>
  <c r="AA11"/>
  <c r="AA12"/>
  <c r="AA13"/>
  <c r="AA14"/>
  <c r="AA15"/>
  <c r="AA16"/>
  <c r="AA17"/>
  <c r="AA19"/>
  <c r="AA20"/>
  <c r="AA21"/>
  <c r="AA22"/>
  <c r="AA23"/>
  <c r="AA24"/>
  <c r="AA25"/>
  <c r="AA26"/>
  <c r="AA27"/>
  <c r="AA28"/>
  <c r="AA29"/>
  <c r="AA30"/>
  <c r="AA31"/>
  <c r="AA32"/>
  <c r="AA33"/>
  <c r="AA34"/>
  <c r="AA35"/>
  <c r="AA36"/>
  <c r="AA37"/>
  <c r="AA38"/>
  <c r="AA39"/>
  <c r="AA40"/>
  <c r="AA41"/>
  <c r="AA42"/>
  <c r="AA43"/>
  <c r="AA44"/>
  <c r="AA45"/>
  <c r="AA46"/>
  <c r="W11"/>
  <c r="W12"/>
  <c r="W13"/>
  <c r="W14"/>
  <c r="W15"/>
  <c r="W16"/>
  <c r="W17"/>
  <c r="W19"/>
  <c r="W20"/>
  <c r="W21"/>
  <c r="W22"/>
  <c r="W23"/>
  <c r="W24"/>
  <c r="W25"/>
  <c r="W26"/>
  <c r="W27"/>
  <c r="W28"/>
  <c r="W29"/>
  <c r="W30"/>
  <c r="W31"/>
  <c r="W32"/>
  <c r="W33"/>
  <c r="W34"/>
  <c r="W35"/>
  <c r="W36"/>
  <c r="W37"/>
  <c r="W38"/>
  <c r="W39"/>
  <c r="W40"/>
  <c r="W41"/>
  <c r="W42"/>
  <c r="W43"/>
  <c r="W44"/>
  <c r="W45"/>
  <c r="W46"/>
  <c r="AB11"/>
  <c r="AB12"/>
  <c r="AB13"/>
  <c r="AB14"/>
  <c r="AB15"/>
  <c r="AB16"/>
  <c r="AB17"/>
  <c r="AB19"/>
  <c r="AB20"/>
  <c r="AB21"/>
  <c r="AB22"/>
  <c r="AB23"/>
  <c r="AB24"/>
  <c r="AB25"/>
  <c r="AB26"/>
  <c r="AB27"/>
  <c r="AB28"/>
  <c r="AB29"/>
  <c r="AB30"/>
  <c r="AB31"/>
  <c r="AB32"/>
  <c r="AB33"/>
  <c r="AB34"/>
  <c r="AB35"/>
  <c r="AB36"/>
  <c r="AB37"/>
  <c r="AB38"/>
  <c r="AB39"/>
  <c r="AB40"/>
  <c r="AB41"/>
  <c r="AB42"/>
  <c r="AB43"/>
  <c r="AB44"/>
  <c r="AB45"/>
  <c r="AB46"/>
  <c r="X11"/>
  <c r="X12"/>
  <c r="X13"/>
  <c r="X14"/>
  <c r="X15"/>
  <c r="X16"/>
  <c r="X17"/>
  <c r="X19"/>
  <c r="X20"/>
  <c r="X21"/>
  <c r="X22"/>
  <c r="X23"/>
  <c r="X24"/>
  <c r="X25"/>
  <c r="X26"/>
  <c r="X27"/>
  <c r="X28"/>
  <c r="X29"/>
  <c r="X30"/>
  <c r="X31"/>
  <c r="X32"/>
  <c r="X33"/>
  <c r="X34"/>
  <c r="X35"/>
  <c r="X36"/>
  <c r="X37"/>
  <c r="X38"/>
  <c r="X39"/>
  <c r="X40"/>
  <c r="X41"/>
  <c r="X42"/>
  <c r="X43"/>
  <c r="X44"/>
  <c r="X45"/>
  <c r="X46"/>
  <c r="AC11"/>
  <c r="AC12"/>
  <c r="AC13"/>
  <c r="AC14"/>
  <c r="AC15"/>
  <c r="AC16"/>
  <c r="AC17"/>
  <c r="AC19"/>
  <c r="AC20"/>
  <c r="AC21"/>
  <c r="AC22"/>
  <c r="AC23"/>
  <c r="AC24"/>
  <c r="AC25"/>
  <c r="AC26"/>
  <c r="AC27"/>
  <c r="AC28"/>
  <c r="AC29"/>
  <c r="AC30"/>
  <c r="AC31"/>
  <c r="AC32"/>
  <c r="AC33"/>
  <c r="AC34"/>
  <c r="AC35"/>
  <c r="AC36"/>
  <c r="AC37"/>
  <c r="AC38"/>
  <c r="AC39"/>
  <c r="AC40"/>
  <c r="AC41"/>
  <c r="AC42"/>
  <c r="AC43"/>
  <c r="AC44"/>
  <c r="AC45"/>
  <c r="AC46"/>
  <c r="Y11"/>
  <c r="Y12"/>
  <c r="Y13"/>
  <c r="Y14"/>
  <c r="Y15"/>
  <c r="Y16"/>
  <c r="Y17"/>
  <c r="Y19"/>
  <c r="Y20"/>
  <c r="Y21"/>
  <c r="Y22"/>
  <c r="Y23"/>
  <c r="Y24"/>
  <c r="Y25"/>
  <c r="Y26"/>
  <c r="Y27"/>
  <c r="Y28"/>
  <c r="Y29"/>
  <c r="Y30"/>
  <c r="Y31"/>
  <c r="Y32"/>
  <c r="Y33"/>
  <c r="Y34"/>
  <c r="Y35"/>
  <c r="Y36"/>
  <c r="Y37"/>
  <c r="Y38"/>
  <c r="Y39"/>
  <c r="Y40"/>
  <c r="Y41"/>
  <c r="Y42"/>
  <c r="Y43"/>
  <c r="Y44"/>
  <c r="Y45"/>
  <c r="Y46"/>
  <c r="AD11"/>
  <c r="AD12"/>
  <c r="AD13"/>
  <c r="AD14"/>
  <c r="AD15"/>
  <c r="AD16"/>
  <c r="AD17"/>
  <c r="AD19"/>
  <c r="AD20"/>
  <c r="AD21"/>
  <c r="AD22"/>
  <c r="AD23"/>
  <c r="AD24"/>
  <c r="AD25"/>
  <c r="AD26"/>
  <c r="AD27"/>
  <c r="AD28"/>
  <c r="AD29"/>
  <c r="AD30"/>
  <c r="AD31"/>
  <c r="AD32"/>
  <c r="AD33"/>
  <c r="AD34"/>
  <c r="AD35"/>
  <c r="AD36"/>
  <c r="AD37"/>
  <c r="AD38"/>
  <c r="AD39"/>
  <c r="AD40"/>
  <c r="AD41"/>
  <c r="AD42"/>
  <c r="AD43"/>
  <c r="AD44"/>
  <c r="AD45"/>
  <c r="AD46"/>
  <c r="Z11"/>
  <c r="Z12"/>
  <c r="Z13"/>
  <c r="Z14"/>
  <c r="Z15"/>
  <c r="Z16"/>
  <c r="Z17"/>
  <c r="Z19"/>
  <c r="Z20"/>
  <c r="Z21"/>
  <c r="Z22"/>
  <c r="Z23"/>
  <c r="Z24"/>
  <c r="Z25"/>
  <c r="Z26"/>
  <c r="Z27"/>
  <c r="Z28"/>
  <c r="Z29"/>
  <c r="Z30"/>
  <c r="Z31"/>
  <c r="Z32"/>
  <c r="Z33"/>
  <c r="Z34"/>
  <c r="Z35"/>
  <c r="Z36"/>
  <c r="Z37"/>
  <c r="Z38"/>
  <c r="Z39"/>
  <c r="Z40"/>
  <c r="Z41"/>
  <c r="Z42"/>
  <c r="Z43"/>
  <c r="Z44"/>
  <c r="Z45"/>
  <c r="Z46"/>
  <c r="AE11"/>
  <c r="AE12"/>
  <c r="AE13"/>
  <c r="AE14"/>
  <c r="AE15"/>
  <c r="AE16"/>
  <c r="AE17"/>
  <c r="AE19"/>
  <c r="AE20"/>
  <c r="AE21"/>
  <c r="AE22"/>
  <c r="AE23"/>
  <c r="AE24"/>
  <c r="AE25"/>
  <c r="AE26"/>
  <c r="AE27"/>
  <c r="AE28"/>
  <c r="AE29"/>
  <c r="AE30"/>
  <c r="AE31"/>
  <c r="AE32"/>
  <c r="AE33"/>
  <c r="AE34"/>
  <c r="AE35"/>
  <c r="AE36"/>
  <c r="AE37"/>
  <c r="AE38"/>
  <c r="AE39"/>
  <c r="AE40"/>
  <c r="AE41"/>
  <c r="AE42"/>
  <c r="AE43"/>
  <c r="AE44"/>
  <c r="AE45"/>
  <c r="AE46"/>
  <c r="AK11"/>
  <c r="AK12"/>
  <c r="AK13"/>
  <c r="AK14"/>
  <c r="AK15"/>
  <c r="AK16"/>
  <c r="AK17"/>
  <c r="AK19"/>
  <c r="AK20"/>
  <c r="AK21"/>
  <c r="AK22"/>
  <c r="AK23"/>
  <c r="AK24"/>
  <c r="AK25"/>
  <c r="AK26"/>
  <c r="AK27"/>
  <c r="AK28"/>
  <c r="AK29"/>
  <c r="AK30"/>
  <c r="AK31"/>
  <c r="AK32"/>
  <c r="AK33"/>
  <c r="AK34"/>
  <c r="AK35"/>
  <c r="AK36"/>
  <c r="AK37"/>
  <c r="AK38"/>
  <c r="AK39"/>
  <c r="AK40"/>
  <c r="AK41"/>
  <c r="AK42"/>
  <c r="AK43"/>
  <c r="AK44"/>
  <c r="AK45"/>
  <c r="AK46"/>
  <c r="AL11"/>
  <c r="AL12"/>
  <c r="AL13"/>
  <c r="AL14"/>
  <c r="AL15"/>
  <c r="AL16"/>
  <c r="AL17"/>
  <c r="AL19"/>
  <c r="AL20"/>
  <c r="AL21"/>
  <c r="AL22"/>
  <c r="AL23"/>
  <c r="AL24"/>
  <c r="AL25"/>
  <c r="AL26"/>
  <c r="AL27"/>
  <c r="AL28"/>
  <c r="AL29"/>
  <c r="AL30"/>
  <c r="AL31"/>
  <c r="AL32"/>
  <c r="AL33"/>
  <c r="AL34"/>
  <c r="AL35"/>
  <c r="AL36"/>
  <c r="AL37"/>
  <c r="AL38"/>
  <c r="AL39"/>
  <c r="AL40"/>
  <c r="AL41"/>
  <c r="AL42"/>
  <c r="AL43"/>
  <c r="AL44"/>
  <c r="AL45"/>
  <c r="AL46"/>
  <c r="AM11"/>
  <c r="AM12"/>
  <c r="AM13"/>
  <c r="AM14"/>
  <c r="AM15"/>
  <c r="AM16"/>
  <c r="AM17"/>
  <c r="AM19"/>
  <c r="AM20"/>
  <c r="AM21"/>
  <c r="AM22"/>
  <c r="AM23"/>
  <c r="AM24"/>
  <c r="AM25"/>
  <c r="AM26"/>
  <c r="AM27"/>
  <c r="AM28"/>
  <c r="AM29"/>
  <c r="AM30"/>
  <c r="AM31"/>
  <c r="AM32"/>
  <c r="AM33"/>
  <c r="AM34"/>
  <c r="AM35"/>
  <c r="AM36"/>
  <c r="AM37"/>
  <c r="AM38"/>
  <c r="AM39"/>
  <c r="AM40"/>
  <c r="AM41"/>
  <c r="AM42"/>
  <c r="AM43"/>
  <c r="AM44"/>
  <c r="AM45"/>
  <c r="AM46"/>
  <c r="AN11"/>
  <c r="AN12"/>
  <c r="AN13"/>
  <c r="AN14"/>
  <c r="AN15"/>
  <c r="AN16"/>
  <c r="AN17"/>
  <c r="AN19"/>
  <c r="AN20"/>
  <c r="AN21"/>
  <c r="AN22"/>
  <c r="AN23"/>
  <c r="AN24"/>
  <c r="AN25"/>
  <c r="AN26"/>
  <c r="AN27"/>
  <c r="AN28"/>
  <c r="AN29"/>
  <c r="AN30"/>
  <c r="AN31"/>
  <c r="AN32"/>
  <c r="AN33"/>
  <c r="AN34"/>
  <c r="AN35"/>
  <c r="AN36"/>
  <c r="AN37"/>
  <c r="AN38"/>
  <c r="AN39"/>
  <c r="AN40"/>
  <c r="AN41"/>
  <c r="AN42"/>
  <c r="AN43"/>
  <c r="AN44"/>
  <c r="AN45"/>
  <c r="AN46"/>
  <c r="AO11"/>
  <c r="AO12"/>
  <c r="AO13"/>
  <c r="AO14"/>
  <c r="AO15"/>
  <c r="AO16"/>
  <c r="AO17"/>
  <c r="AO19"/>
  <c r="AO20"/>
  <c r="AO21"/>
  <c r="AO22"/>
  <c r="AO23"/>
  <c r="AO24"/>
  <c r="AO25"/>
  <c r="AO26"/>
  <c r="AO27"/>
  <c r="AO28"/>
  <c r="AO29"/>
  <c r="AO30"/>
  <c r="AO31"/>
  <c r="AO32"/>
  <c r="AO33"/>
  <c r="AO34"/>
  <c r="AO35"/>
  <c r="AO36"/>
  <c r="AO37"/>
  <c r="AO38"/>
  <c r="AO39"/>
  <c r="AO40"/>
  <c r="AO41"/>
  <c r="AO42"/>
  <c r="AO43"/>
  <c r="AO44"/>
  <c r="AO45"/>
  <c r="AO46"/>
  <c r="BY11"/>
  <c r="BY12"/>
  <c r="BY13"/>
  <c r="BY14"/>
  <c r="BY15"/>
  <c r="BY16"/>
  <c r="BY17"/>
  <c r="BY19"/>
  <c r="BY20"/>
  <c r="BY21"/>
  <c r="BY22"/>
  <c r="BY23"/>
  <c r="BY24"/>
  <c r="BY25"/>
  <c r="BY26"/>
  <c r="BY27"/>
  <c r="BY28"/>
  <c r="BY29"/>
  <c r="BY30"/>
  <c r="BY31"/>
  <c r="BY32"/>
  <c r="BY33"/>
  <c r="BY34"/>
  <c r="BY35"/>
  <c r="BY36"/>
  <c r="BY37"/>
  <c r="BY38"/>
  <c r="BY39"/>
  <c r="BY40"/>
  <c r="BY41"/>
  <c r="BY42"/>
  <c r="BY43"/>
  <c r="BY44"/>
  <c r="BY45"/>
  <c r="BY46"/>
  <c r="CD11"/>
  <c r="CD12"/>
  <c r="CD13"/>
  <c r="CD14"/>
  <c r="CD15"/>
  <c r="CD16"/>
  <c r="CD17"/>
  <c r="CD19"/>
  <c r="CD20"/>
  <c r="CD21"/>
  <c r="CD22"/>
  <c r="CD23"/>
  <c r="CD24"/>
  <c r="CD25"/>
  <c r="CD26"/>
  <c r="CD27"/>
  <c r="CD28"/>
  <c r="CD29"/>
  <c r="CD30"/>
  <c r="CD31"/>
  <c r="CD32"/>
  <c r="CD33"/>
  <c r="CD34"/>
  <c r="CD35"/>
  <c r="CD36"/>
  <c r="CD37"/>
  <c r="CD38"/>
  <c r="CD39"/>
  <c r="CD40"/>
  <c r="CD41"/>
  <c r="CD42"/>
  <c r="CD43"/>
  <c r="CD44"/>
  <c r="CD45"/>
  <c r="CD46"/>
  <c r="BZ11"/>
  <c r="BZ12"/>
  <c r="BZ13"/>
  <c r="BZ14"/>
  <c r="BZ15"/>
  <c r="BZ16"/>
  <c r="BZ17"/>
  <c r="BZ19"/>
  <c r="BZ20"/>
  <c r="BZ21"/>
  <c r="BZ22"/>
  <c r="BZ23"/>
  <c r="BZ24"/>
  <c r="BZ25"/>
  <c r="BZ26"/>
  <c r="BZ27"/>
  <c r="BZ28"/>
  <c r="BZ29"/>
  <c r="BZ30"/>
  <c r="BZ31"/>
  <c r="BZ32"/>
  <c r="BZ33"/>
  <c r="BZ34"/>
  <c r="BZ35"/>
  <c r="BZ36"/>
  <c r="BZ37"/>
  <c r="BZ38"/>
  <c r="BZ39"/>
  <c r="BZ40"/>
  <c r="BZ41"/>
  <c r="BZ42"/>
  <c r="BZ43"/>
  <c r="BZ44"/>
  <c r="BZ45"/>
  <c r="BZ46"/>
  <c r="CE11"/>
  <c r="CE12"/>
  <c r="CE13"/>
  <c r="CE14"/>
  <c r="CE15"/>
  <c r="CE16"/>
  <c r="CE17"/>
  <c r="CE19"/>
  <c r="CE20"/>
  <c r="CE21"/>
  <c r="CE22"/>
  <c r="CE23"/>
  <c r="CE24"/>
  <c r="CE25"/>
  <c r="CE26"/>
  <c r="CE27"/>
  <c r="CE28"/>
  <c r="CE29"/>
  <c r="CE30"/>
  <c r="CE31"/>
  <c r="CE32"/>
  <c r="CE33"/>
  <c r="CE34"/>
  <c r="CE35"/>
  <c r="CE36"/>
  <c r="CE37"/>
  <c r="CE38"/>
  <c r="CE39"/>
  <c r="CE40"/>
  <c r="CE41"/>
  <c r="CE42"/>
  <c r="CE43"/>
  <c r="CE44"/>
  <c r="CE45"/>
  <c r="CE46"/>
  <c r="CA11"/>
  <c r="CA12"/>
  <c r="CA13"/>
  <c r="CA14"/>
  <c r="CA15"/>
  <c r="CA16"/>
  <c r="CA17"/>
  <c r="CA19"/>
  <c r="CA20"/>
  <c r="CA21"/>
  <c r="CA22"/>
  <c r="CA23"/>
  <c r="CA24"/>
  <c r="CA25"/>
  <c r="CA26"/>
  <c r="CA27"/>
  <c r="CA28"/>
  <c r="CA29"/>
  <c r="CA30"/>
  <c r="CA31"/>
  <c r="CA32"/>
  <c r="CA33"/>
  <c r="CA34"/>
  <c r="CA35"/>
  <c r="CA36"/>
  <c r="CA37"/>
  <c r="CA38"/>
  <c r="CA39"/>
  <c r="CA40"/>
  <c r="CA41"/>
  <c r="CA42"/>
  <c r="CA43"/>
  <c r="CA44"/>
  <c r="CA45"/>
  <c r="CA46"/>
  <c r="CF11"/>
  <c r="CF12"/>
  <c r="CF13"/>
  <c r="CF14"/>
  <c r="CF15"/>
  <c r="CF16"/>
  <c r="CF17"/>
  <c r="CF19"/>
  <c r="CF20"/>
  <c r="CF21"/>
  <c r="CF22"/>
  <c r="CF23"/>
  <c r="CF24"/>
  <c r="CF25"/>
  <c r="CF26"/>
  <c r="CF27"/>
  <c r="CF28"/>
  <c r="CF29"/>
  <c r="CF30"/>
  <c r="CF31"/>
  <c r="CF32"/>
  <c r="CF33"/>
  <c r="CF34"/>
  <c r="CF35"/>
  <c r="CF36"/>
  <c r="CF37"/>
  <c r="CF38"/>
  <c r="CF39"/>
  <c r="CF40"/>
  <c r="CF41"/>
  <c r="CF42"/>
  <c r="CF43"/>
  <c r="CF44"/>
  <c r="CF45"/>
  <c r="CF46"/>
  <c r="CB11"/>
  <c r="CB12"/>
  <c r="CB13"/>
  <c r="CB14"/>
  <c r="CB15"/>
  <c r="CB16"/>
  <c r="CB17"/>
  <c r="CB19"/>
  <c r="CB20"/>
  <c r="CB21"/>
  <c r="CB22"/>
  <c r="CB23"/>
  <c r="CB24"/>
  <c r="CB25"/>
  <c r="CB26"/>
  <c r="CB27"/>
  <c r="CB28"/>
  <c r="CB29"/>
  <c r="CB30"/>
  <c r="CB31"/>
  <c r="CB32"/>
  <c r="CB33"/>
  <c r="CB34"/>
  <c r="CB35"/>
  <c r="CB36"/>
  <c r="CB37"/>
  <c r="CB38"/>
  <c r="CB39"/>
  <c r="CB40"/>
  <c r="CB41"/>
  <c r="CB42"/>
  <c r="CB43"/>
  <c r="CB44"/>
  <c r="CB45"/>
  <c r="CB46"/>
  <c r="CG11"/>
  <c r="CG12"/>
  <c r="CG13"/>
  <c r="CG14"/>
  <c r="CG15"/>
  <c r="CG16"/>
  <c r="CG17"/>
  <c r="CG19"/>
  <c r="CG20"/>
  <c r="CG21"/>
  <c r="CG22"/>
  <c r="CG23"/>
  <c r="CG24"/>
  <c r="CG25"/>
  <c r="CG26"/>
  <c r="CG27"/>
  <c r="CG28"/>
  <c r="CG29"/>
  <c r="CG30"/>
  <c r="CG31"/>
  <c r="CG32"/>
  <c r="CG33"/>
  <c r="CG34"/>
  <c r="CG35"/>
  <c r="CG36"/>
  <c r="CG37"/>
  <c r="CG38"/>
  <c r="CG39"/>
  <c r="CG40"/>
  <c r="CG41"/>
  <c r="CG42"/>
  <c r="CG43"/>
  <c r="CG44"/>
  <c r="CG45"/>
  <c r="CG46"/>
  <c r="CC11"/>
  <c r="CC12"/>
  <c r="CC13"/>
  <c r="CC14"/>
  <c r="CC15"/>
  <c r="CC16"/>
  <c r="CC17"/>
  <c r="CC19"/>
  <c r="CC20"/>
  <c r="CC21"/>
  <c r="CC22"/>
  <c r="CC23"/>
  <c r="CC24"/>
  <c r="CC25"/>
  <c r="CC26"/>
  <c r="CC27"/>
  <c r="CC28"/>
  <c r="CC29"/>
  <c r="CC30"/>
  <c r="CC31"/>
  <c r="CC32"/>
  <c r="CC33"/>
  <c r="CC34"/>
  <c r="CC35"/>
  <c r="CC36"/>
  <c r="CC37"/>
  <c r="CC38"/>
  <c r="CC39"/>
  <c r="CC40"/>
  <c r="CC41"/>
  <c r="CC42"/>
  <c r="CC43"/>
  <c r="CC44"/>
  <c r="CC45"/>
  <c r="CC46"/>
  <c r="CH11"/>
  <c r="CH12"/>
  <c r="CH13"/>
  <c r="CH14"/>
  <c r="CH15"/>
  <c r="CH16"/>
  <c r="CH17"/>
  <c r="CH19"/>
  <c r="CH20"/>
  <c r="CH21"/>
  <c r="CH22"/>
  <c r="CH23"/>
  <c r="CH24"/>
  <c r="CH25"/>
  <c r="CH26"/>
  <c r="CH27"/>
  <c r="CH28"/>
  <c r="CH29"/>
  <c r="CH30"/>
  <c r="CH31"/>
  <c r="CH32"/>
  <c r="CH33"/>
  <c r="CH34"/>
  <c r="CH35"/>
  <c r="CH36"/>
  <c r="CH37"/>
  <c r="CH38"/>
  <c r="CH39"/>
  <c r="CH40"/>
  <c r="CH41"/>
  <c r="CH42"/>
  <c r="CH43"/>
  <c r="CH44"/>
  <c r="CH45"/>
  <c r="CH46"/>
  <c r="CN11"/>
  <c r="CN12"/>
  <c r="CN13"/>
  <c r="CN14"/>
  <c r="CN15"/>
  <c r="CN16"/>
  <c r="CN17"/>
  <c r="CN19"/>
  <c r="CN20"/>
  <c r="CN21"/>
  <c r="CN22"/>
  <c r="CN23"/>
  <c r="CN24"/>
  <c r="CN25"/>
  <c r="CN26"/>
  <c r="CN27"/>
  <c r="CN28"/>
  <c r="CN29"/>
  <c r="CN30"/>
  <c r="CN31"/>
  <c r="CN32"/>
  <c r="CN33"/>
  <c r="CN34"/>
  <c r="CN35"/>
  <c r="CN36"/>
  <c r="CN37"/>
  <c r="CN38"/>
  <c r="CN39"/>
  <c r="CN40"/>
  <c r="CN41"/>
  <c r="CN42"/>
  <c r="CN43"/>
  <c r="CN44"/>
  <c r="CN45"/>
  <c r="CN46"/>
  <c r="CO11"/>
  <c r="CO12"/>
  <c r="CO13"/>
  <c r="CO14"/>
  <c r="CO15"/>
  <c r="CO16"/>
  <c r="CO17"/>
  <c r="CO19"/>
  <c r="CO20"/>
  <c r="CO21"/>
  <c r="CO22"/>
  <c r="CO23"/>
  <c r="CO24"/>
  <c r="CO25"/>
  <c r="CO26"/>
  <c r="CO27"/>
  <c r="CO28"/>
  <c r="CO29"/>
  <c r="CO30"/>
  <c r="CO31"/>
  <c r="CO32"/>
  <c r="CO33"/>
  <c r="CO34"/>
  <c r="CO35"/>
  <c r="CO36"/>
  <c r="CO37"/>
  <c r="CO38"/>
  <c r="CO39"/>
  <c r="CO40"/>
  <c r="CO41"/>
  <c r="CO42"/>
  <c r="CO43"/>
  <c r="CO44"/>
  <c r="CO45"/>
  <c r="CO46"/>
  <c r="CP11"/>
  <c r="CP12"/>
  <c r="CP13"/>
  <c r="CP14"/>
  <c r="CP15"/>
  <c r="CP16"/>
  <c r="CP17"/>
  <c r="CP19"/>
  <c r="CP20"/>
  <c r="CP21"/>
  <c r="CP22"/>
  <c r="CP23"/>
  <c r="CP24"/>
  <c r="CP25"/>
  <c r="CP26"/>
  <c r="CP27"/>
  <c r="CP28"/>
  <c r="CP29"/>
  <c r="CP30"/>
  <c r="CP31"/>
  <c r="CP32"/>
  <c r="CP33"/>
  <c r="CP34"/>
  <c r="CP35"/>
  <c r="CP36"/>
  <c r="CP37"/>
  <c r="CP38"/>
  <c r="CP39"/>
  <c r="CP40"/>
  <c r="CP41"/>
  <c r="CP42"/>
  <c r="CP43"/>
  <c r="CP44"/>
  <c r="CP45"/>
  <c r="CP46"/>
  <c r="CQ11"/>
  <c r="CQ12"/>
  <c r="CQ13"/>
  <c r="CQ14"/>
  <c r="CQ15"/>
  <c r="CQ16"/>
  <c r="CQ17"/>
  <c r="CQ19"/>
  <c r="CQ20"/>
  <c r="CQ21"/>
  <c r="CQ22"/>
  <c r="CQ23"/>
  <c r="CQ24"/>
  <c r="CQ25"/>
  <c r="CQ26"/>
  <c r="CQ27"/>
  <c r="CQ28"/>
  <c r="CQ29"/>
  <c r="CQ30"/>
  <c r="CQ31"/>
  <c r="CQ32"/>
  <c r="CQ33"/>
  <c r="CQ34"/>
  <c r="CQ35"/>
  <c r="CQ36"/>
  <c r="CQ37"/>
  <c r="CQ38"/>
  <c r="CQ39"/>
  <c r="CQ40"/>
  <c r="CQ41"/>
  <c r="CQ42"/>
  <c r="CQ43"/>
  <c r="CQ44"/>
  <c r="CQ45"/>
  <c r="CQ46"/>
  <c r="CR11"/>
  <c r="CR12"/>
  <c r="CR13"/>
  <c r="CR14"/>
  <c r="CR15"/>
  <c r="CR16"/>
  <c r="CR17"/>
  <c r="CR19"/>
  <c r="CR20"/>
  <c r="CR21"/>
  <c r="CR22"/>
  <c r="CR23"/>
  <c r="CR24"/>
  <c r="CR25"/>
  <c r="CR26"/>
  <c r="CR27"/>
  <c r="CR28"/>
  <c r="CR29"/>
  <c r="CR30"/>
  <c r="CR31"/>
  <c r="CR32"/>
  <c r="CR33"/>
  <c r="CR34"/>
  <c r="CR35"/>
  <c r="CR36"/>
  <c r="CR37"/>
  <c r="CR38"/>
  <c r="CR39"/>
  <c r="CR40"/>
  <c r="CR41"/>
  <c r="CR42"/>
  <c r="CR43"/>
  <c r="CR44"/>
  <c r="CR45"/>
  <c r="CR46"/>
  <c r="BP10"/>
  <c r="BP11"/>
  <c r="BP12"/>
  <c r="BP13"/>
  <c r="BP14"/>
  <c r="BP15"/>
  <c r="BP16"/>
  <c r="BP17"/>
  <c r="BP18"/>
  <c r="BP19"/>
  <c r="BP20"/>
  <c r="BP21"/>
  <c r="BP22"/>
  <c r="BP23"/>
  <c r="BP24"/>
  <c r="BP25"/>
  <c r="BP26"/>
  <c r="BP27"/>
  <c r="BP28"/>
  <c r="BP29"/>
  <c r="BP30"/>
  <c r="BP31"/>
  <c r="BP32"/>
  <c r="BP33"/>
  <c r="BP34"/>
  <c r="BP35"/>
  <c r="BP36"/>
  <c r="BP37"/>
  <c r="BP38"/>
  <c r="BP39"/>
  <c r="BP40"/>
  <c r="BP41"/>
  <c r="BP42"/>
  <c r="BP43"/>
  <c r="BP44"/>
  <c r="BP45"/>
  <c r="BP46"/>
  <c r="BP47"/>
  <c r="BQ10"/>
  <c r="BQ11"/>
  <c r="BQ12"/>
  <c r="BQ13"/>
  <c r="BQ14"/>
  <c r="BQ15"/>
  <c r="BQ16"/>
  <c r="BQ17"/>
  <c r="BQ18"/>
  <c r="BQ19"/>
  <c r="BQ20"/>
  <c r="BQ21"/>
  <c r="BQ22"/>
  <c r="BQ23"/>
  <c r="BQ24"/>
  <c r="BQ25"/>
  <c r="BQ26"/>
  <c r="BQ27"/>
  <c r="BQ28"/>
  <c r="BQ29"/>
  <c r="BQ30"/>
  <c r="BQ31"/>
  <c r="BQ32"/>
  <c r="BQ33"/>
  <c r="BQ34"/>
  <c r="BQ35"/>
  <c r="BQ36"/>
  <c r="BQ37"/>
  <c r="BQ38"/>
  <c r="BQ39"/>
  <c r="BQ40"/>
  <c r="BQ41"/>
  <c r="BQ42"/>
  <c r="BQ43"/>
  <c r="BQ44"/>
  <c r="BQ45"/>
  <c r="BQ46"/>
  <c r="BQ47"/>
  <c r="BR10"/>
  <c r="BR11"/>
  <c r="BR12"/>
  <c r="BR13"/>
  <c r="BR14"/>
  <c r="BR15"/>
  <c r="BR16"/>
  <c r="BR17"/>
  <c r="BR18"/>
  <c r="BR19"/>
  <c r="BR20"/>
  <c r="BR21"/>
  <c r="BR22"/>
  <c r="BR23"/>
  <c r="BR24"/>
  <c r="BR25"/>
  <c r="BR26"/>
  <c r="BR27"/>
  <c r="BR28"/>
  <c r="BR29"/>
  <c r="BR30"/>
  <c r="BR31"/>
  <c r="BR32"/>
  <c r="BR33"/>
  <c r="BR34"/>
  <c r="BR35"/>
  <c r="BR36"/>
  <c r="BR37"/>
  <c r="BR38"/>
  <c r="BR39"/>
  <c r="BR40"/>
  <c r="BR41"/>
  <c r="BR42"/>
  <c r="BR43"/>
  <c r="BR44"/>
  <c r="BR45"/>
  <c r="BR46"/>
  <c r="BR47"/>
  <c r="BS10"/>
  <c r="BS11"/>
  <c r="BS12"/>
  <c r="BS13"/>
  <c r="BS14"/>
  <c r="BS15"/>
  <c r="BS16"/>
  <c r="BS17"/>
  <c r="BS18"/>
  <c r="BS19"/>
  <c r="BS20"/>
  <c r="BS21"/>
  <c r="BS22"/>
  <c r="BS23"/>
  <c r="BS24"/>
  <c r="BS25"/>
  <c r="BS26"/>
  <c r="BS27"/>
  <c r="BS28"/>
  <c r="BS29"/>
  <c r="BS30"/>
  <c r="BS31"/>
  <c r="BS32"/>
  <c r="BS33"/>
  <c r="BS34"/>
  <c r="BS35"/>
  <c r="BS36"/>
  <c r="BS37"/>
  <c r="BS38"/>
  <c r="BS39"/>
  <c r="BS40"/>
  <c r="BS41"/>
  <c r="BS42"/>
  <c r="BS43"/>
  <c r="BS44"/>
  <c r="BS45"/>
  <c r="BS46"/>
  <c r="BS47"/>
  <c r="BL10"/>
  <c r="BL11"/>
  <c r="BL12"/>
  <c r="BL13"/>
  <c r="BL14"/>
  <c r="BL15"/>
  <c r="BL16"/>
  <c r="BL17"/>
  <c r="BL18"/>
  <c r="BL19"/>
  <c r="BL20"/>
  <c r="BL21"/>
  <c r="BL22"/>
  <c r="BL23"/>
  <c r="BL24"/>
  <c r="BL25"/>
  <c r="BL26"/>
  <c r="BL27"/>
  <c r="BL28"/>
  <c r="BL29"/>
  <c r="BL30"/>
  <c r="BL31"/>
  <c r="BL32"/>
  <c r="BL33"/>
  <c r="BL34"/>
  <c r="BL35"/>
  <c r="BL36"/>
  <c r="BL37"/>
  <c r="BL38"/>
  <c r="BL39"/>
  <c r="BL40"/>
  <c r="BL41"/>
  <c r="BL42"/>
  <c r="BL43"/>
  <c r="BL44"/>
  <c r="BL45"/>
  <c r="BL46"/>
  <c r="BL47"/>
  <c r="BM10"/>
  <c r="BM11"/>
  <c r="BM12"/>
  <c r="BM13"/>
  <c r="BM14"/>
  <c r="BM15"/>
  <c r="BM16"/>
  <c r="BM17"/>
  <c r="BM18"/>
  <c r="BM19"/>
  <c r="BM20"/>
  <c r="BM21"/>
  <c r="BM22"/>
  <c r="BM23"/>
  <c r="BM24"/>
  <c r="BM25"/>
  <c r="BM26"/>
  <c r="BM27"/>
  <c r="BM28"/>
  <c r="BM29"/>
  <c r="BM30"/>
  <c r="BM31"/>
  <c r="BM32"/>
  <c r="BM33"/>
  <c r="BM34"/>
  <c r="BM35"/>
  <c r="BM36"/>
  <c r="BM37"/>
  <c r="BM38"/>
  <c r="BM39"/>
  <c r="BM40"/>
  <c r="BM41"/>
  <c r="BM42"/>
  <c r="BM43"/>
  <c r="BM44"/>
  <c r="BM45"/>
  <c r="BM46"/>
  <c r="BM47"/>
  <c r="BN10"/>
  <c r="BN11"/>
  <c r="BN12"/>
  <c r="BN13"/>
  <c r="BN14"/>
  <c r="BN15"/>
  <c r="BN16"/>
  <c r="BN17"/>
  <c r="BN18"/>
  <c r="BN19"/>
  <c r="BN20"/>
  <c r="BN21"/>
  <c r="BN22"/>
  <c r="BN23"/>
  <c r="BN24"/>
  <c r="BN25"/>
  <c r="BN26"/>
  <c r="BN27"/>
  <c r="BN28"/>
  <c r="BN29"/>
  <c r="BN30"/>
  <c r="BN31"/>
  <c r="BN32"/>
  <c r="BN33"/>
  <c r="BN34"/>
  <c r="BN35"/>
  <c r="BN36"/>
  <c r="BN37"/>
  <c r="BN38"/>
  <c r="BN39"/>
  <c r="BN40"/>
  <c r="BN41"/>
  <c r="BN42"/>
  <c r="BN43"/>
  <c r="BN44"/>
  <c r="BN45"/>
  <c r="BN46"/>
  <c r="BN47"/>
  <c r="BJ10"/>
  <c r="BJ11"/>
  <c r="BJ12"/>
  <c r="BJ13"/>
  <c r="BJ14"/>
  <c r="BJ15"/>
  <c r="BJ16"/>
  <c r="BJ17"/>
  <c r="BJ18"/>
  <c r="BJ19"/>
  <c r="BJ20"/>
  <c r="BJ21"/>
  <c r="BJ22"/>
  <c r="BJ23"/>
  <c r="BJ24"/>
  <c r="BJ25"/>
  <c r="BJ26"/>
  <c r="BJ27"/>
  <c r="BJ28"/>
  <c r="BJ29"/>
  <c r="BJ30"/>
  <c r="BJ31"/>
  <c r="BJ32"/>
  <c r="BJ33"/>
  <c r="BJ34"/>
  <c r="BJ35"/>
  <c r="BJ36"/>
  <c r="BJ37"/>
  <c r="BJ38"/>
  <c r="BJ39"/>
  <c r="BJ40"/>
  <c r="BJ41"/>
  <c r="BJ42"/>
  <c r="BJ43"/>
  <c r="BJ44"/>
  <c r="BJ45"/>
  <c r="BJ46"/>
  <c r="BJ47"/>
  <c r="BO10"/>
  <c r="BO11"/>
  <c r="BO12"/>
  <c r="BO13"/>
  <c r="BO14"/>
  <c r="BO15"/>
  <c r="BO16"/>
  <c r="BO17"/>
  <c r="BO18"/>
  <c r="BO19"/>
  <c r="BO20"/>
  <c r="BO21"/>
  <c r="BO22"/>
  <c r="BO23"/>
  <c r="BO24"/>
  <c r="BO25"/>
  <c r="BO26"/>
  <c r="BO27"/>
  <c r="BO28"/>
  <c r="BO29"/>
  <c r="BO30"/>
  <c r="BO31"/>
  <c r="BO32"/>
  <c r="BO33"/>
  <c r="BO34"/>
  <c r="BO35"/>
  <c r="BO36"/>
  <c r="BO37"/>
  <c r="BO38"/>
  <c r="BO39"/>
  <c r="BO40"/>
  <c r="BO41"/>
  <c r="BO42"/>
  <c r="BO43"/>
  <c r="BO44"/>
  <c r="BO45"/>
  <c r="BO46"/>
  <c r="BO47"/>
  <c r="G124" i="15"/>
  <c r="G17"/>
  <c r="G23"/>
  <c r="G27"/>
  <c r="G64"/>
  <c r="G77"/>
  <c r="G83"/>
  <c r="G91"/>
  <c r="G105"/>
  <c r="G111"/>
  <c r="G128"/>
  <c r="BT10" i="36"/>
  <c r="BT11"/>
  <c r="BT12"/>
  <c r="BT13"/>
  <c r="BT14"/>
  <c r="BT15"/>
  <c r="BT16"/>
  <c r="BT17"/>
  <c r="BT18"/>
  <c r="BT19"/>
  <c r="BT20"/>
  <c r="BT21"/>
  <c r="BT22"/>
  <c r="BT23"/>
  <c r="BT24"/>
  <c r="BT25"/>
  <c r="BT26"/>
  <c r="BT27"/>
  <c r="BT28"/>
  <c r="BT29"/>
  <c r="BT30"/>
  <c r="BT31"/>
  <c r="BT32"/>
  <c r="BT33"/>
  <c r="BT34"/>
  <c r="BT35"/>
  <c r="BT36"/>
  <c r="BT37"/>
  <c r="BT38"/>
  <c r="BT39"/>
  <c r="BT40"/>
  <c r="BT41"/>
  <c r="BT42"/>
  <c r="BT43"/>
  <c r="BT44"/>
  <c r="BT45"/>
  <c r="BT46"/>
  <c r="BT47"/>
  <c r="BU10"/>
  <c r="BU11"/>
  <c r="BU12"/>
  <c r="BU13"/>
  <c r="BU14"/>
  <c r="BU15"/>
  <c r="BU16"/>
  <c r="BU17"/>
  <c r="BU18"/>
  <c r="BU19"/>
  <c r="BU20"/>
  <c r="BU21"/>
  <c r="BU22"/>
  <c r="BU23"/>
  <c r="BU24"/>
  <c r="BU25"/>
  <c r="BU26"/>
  <c r="BU27"/>
  <c r="BU28"/>
  <c r="BU29"/>
  <c r="BU30"/>
  <c r="BU31"/>
  <c r="BU32"/>
  <c r="BU33"/>
  <c r="BU34"/>
  <c r="BU35"/>
  <c r="BU36"/>
  <c r="BU37"/>
  <c r="BU38"/>
  <c r="BU39"/>
  <c r="BU40"/>
  <c r="BU41"/>
  <c r="BU42"/>
  <c r="BU43"/>
  <c r="BU44"/>
  <c r="BU45"/>
  <c r="BU46"/>
  <c r="BU47"/>
  <c r="BV10"/>
  <c r="BV11"/>
  <c r="BV12"/>
  <c r="BV13"/>
  <c r="BV14"/>
  <c r="BV15"/>
  <c r="BV16"/>
  <c r="BV17"/>
  <c r="BV18"/>
  <c r="BV19"/>
  <c r="BV20"/>
  <c r="BV21"/>
  <c r="BV22"/>
  <c r="BV23"/>
  <c r="BV24"/>
  <c r="BV25"/>
  <c r="BV26"/>
  <c r="BV27"/>
  <c r="BV28"/>
  <c r="BV29"/>
  <c r="BV30"/>
  <c r="BV31"/>
  <c r="BV32"/>
  <c r="BV33"/>
  <c r="BV34"/>
  <c r="BV35"/>
  <c r="BV36"/>
  <c r="BV37"/>
  <c r="BV38"/>
  <c r="BV39"/>
  <c r="BV40"/>
  <c r="BV41"/>
  <c r="BV42"/>
  <c r="BV43"/>
  <c r="BV44"/>
  <c r="BV45"/>
  <c r="BV46"/>
  <c r="BV47"/>
  <c r="BW10"/>
  <c r="BW11"/>
  <c r="BW12"/>
  <c r="BW13"/>
  <c r="BW14"/>
  <c r="BW15"/>
  <c r="BW16"/>
  <c r="BW17"/>
  <c r="BW18"/>
  <c r="BW19"/>
  <c r="BW20"/>
  <c r="BW21"/>
  <c r="BW22"/>
  <c r="BW23"/>
  <c r="BW24"/>
  <c r="BW25"/>
  <c r="BW26"/>
  <c r="BW27"/>
  <c r="BW28"/>
  <c r="BW29"/>
  <c r="BW30"/>
  <c r="BW31"/>
  <c r="BW32"/>
  <c r="BW33"/>
  <c r="BW34"/>
  <c r="BW35"/>
  <c r="BW36"/>
  <c r="BW37"/>
  <c r="BW38"/>
  <c r="BW39"/>
  <c r="BW40"/>
  <c r="BW41"/>
  <c r="BW42"/>
  <c r="BW43"/>
  <c r="BW44"/>
  <c r="BW45"/>
  <c r="BW46"/>
  <c r="BW47"/>
  <c r="BX10"/>
  <c r="BX11"/>
  <c r="BX12"/>
  <c r="BX13"/>
  <c r="BX14"/>
  <c r="BX15"/>
  <c r="BX16"/>
  <c r="BX17"/>
  <c r="BX18"/>
  <c r="BX19"/>
  <c r="BX20"/>
  <c r="BX21"/>
  <c r="BX22"/>
  <c r="BX23"/>
  <c r="BX24"/>
  <c r="BX25"/>
  <c r="BX26"/>
  <c r="BX27"/>
  <c r="BX28"/>
  <c r="BX29"/>
  <c r="BX30"/>
  <c r="BX31"/>
  <c r="BX32"/>
  <c r="BX33"/>
  <c r="BX34"/>
  <c r="BX35"/>
  <c r="BX36"/>
  <c r="BX37"/>
  <c r="BX38"/>
  <c r="BX39"/>
  <c r="BX40"/>
  <c r="BX41"/>
  <c r="BX42"/>
  <c r="BX43"/>
  <c r="BX44"/>
  <c r="BX45"/>
  <c r="BX46"/>
  <c r="BX47"/>
  <c r="BE11"/>
  <c r="BF11"/>
  <c r="BG11"/>
  <c r="BH11"/>
  <c r="BI11"/>
  <c r="BE12"/>
  <c r="BF12"/>
  <c r="BG12"/>
  <c r="BH12"/>
  <c r="BI12"/>
  <c r="BE13"/>
  <c r="BF13"/>
  <c r="BG13"/>
  <c r="BH13"/>
  <c r="BI13"/>
  <c r="BE14"/>
  <c r="BF14"/>
  <c r="BG14"/>
  <c r="BH14"/>
  <c r="BI14"/>
  <c r="BE15"/>
  <c r="BF15"/>
  <c r="BG15"/>
  <c r="BH15"/>
  <c r="BI15"/>
  <c r="BE16"/>
  <c r="BF16"/>
  <c r="BG16"/>
  <c r="BH16"/>
  <c r="BI16"/>
  <c r="BE17"/>
  <c r="BF17"/>
  <c r="BG17"/>
  <c r="BH17"/>
  <c r="BI17"/>
  <c r="BE18"/>
  <c r="BF18"/>
  <c r="BG18"/>
  <c r="BH18"/>
  <c r="BI18"/>
  <c r="BE19"/>
  <c r="BF19"/>
  <c r="BG19"/>
  <c r="BH19"/>
  <c r="BI19"/>
  <c r="BE20"/>
  <c r="BF20"/>
  <c r="BG20"/>
  <c r="BH20"/>
  <c r="BI20"/>
  <c r="BE21"/>
  <c r="BF21"/>
  <c r="BG21"/>
  <c r="BH21"/>
  <c r="BI21"/>
  <c r="BE22"/>
  <c r="BF22"/>
  <c r="BG22"/>
  <c r="BH22"/>
  <c r="BI22"/>
  <c r="BE23"/>
  <c r="BF23"/>
  <c r="BG23"/>
  <c r="BH23"/>
  <c r="BI23"/>
  <c r="BE24"/>
  <c r="BF24"/>
  <c r="BG24"/>
  <c r="BH24"/>
  <c r="BI24"/>
  <c r="BE25"/>
  <c r="BF25"/>
  <c r="BG25"/>
  <c r="BH25"/>
  <c r="BI25"/>
  <c r="BE26"/>
  <c r="BF26"/>
  <c r="BG26"/>
  <c r="BH26"/>
  <c r="BI26"/>
  <c r="BE27"/>
  <c r="BF27"/>
  <c r="BG27"/>
  <c r="BH27"/>
  <c r="BI27"/>
  <c r="BE28"/>
  <c r="BF28"/>
  <c r="BG28"/>
  <c r="BH28"/>
  <c r="BI28"/>
  <c r="BE29"/>
  <c r="BF29"/>
  <c r="BG29"/>
  <c r="BH29"/>
  <c r="BI29"/>
  <c r="BE30"/>
  <c r="BF30"/>
  <c r="BG30"/>
  <c r="BH30"/>
  <c r="BI30"/>
  <c r="BE31"/>
  <c r="BF31"/>
  <c r="BG31"/>
  <c r="BH31"/>
  <c r="BI31"/>
  <c r="BE32"/>
  <c r="BF32"/>
  <c r="BG32"/>
  <c r="BH32"/>
  <c r="BI32"/>
  <c r="BE33"/>
  <c r="BF33"/>
  <c r="BG33"/>
  <c r="BH33"/>
  <c r="BI33"/>
  <c r="BE34"/>
  <c r="BF34"/>
  <c r="BG34"/>
  <c r="BH34"/>
  <c r="BI34"/>
  <c r="BE35"/>
  <c r="BF35"/>
  <c r="BG35"/>
  <c r="BH35"/>
  <c r="BI35"/>
  <c r="BE36"/>
  <c r="BF36"/>
  <c r="BG36"/>
  <c r="BH36"/>
  <c r="BI36"/>
  <c r="BE37"/>
  <c r="BF37"/>
  <c r="BG37"/>
  <c r="BH37"/>
  <c r="BI37"/>
  <c r="BE38"/>
  <c r="BF38"/>
  <c r="BG38"/>
  <c r="BH38"/>
  <c r="BI38"/>
  <c r="BE39"/>
  <c r="BF39"/>
  <c r="BG39"/>
  <c r="BH39"/>
  <c r="BI39"/>
  <c r="BE40"/>
  <c r="BF40"/>
  <c r="BG40"/>
  <c r="BH40"/>
  <c r="BI40"/>
  <c r="BE41"/>
  <c r="BF41"/>
  <c r="BG41"/>
  <c r="BH41"/>
  <c r="BI41"/>
  <c r="BE42"/>
  <c r="BF42"/>
  <c r="BG42"/>
  <c r="BH42"/>
  <c r="BI42"/>
  <c r="BE43"/>
  <c r="BF43"/>
  <c r="BG43"/>
  <c r="BH43"/>
  <c r="BI43"/>
  <c r="BE44"/>
  <c r="BF44"/>
  <c r="BG44"/>
  <c r="BH44"/>
  <c r="BI44"/>
  <c r="BE45"/>
  <c r="BF45"/>
  <c r="BG45"/>
  <c r="BH45"/>
  <c r="BI45"/>
  <c r="BE46"/>
  <c r="BF46"/>
  <c r="BG46"/>
  <c r="BH46"/>
  <c r="BI46"/>
  <c r="BE47"/>
  <c r="BF47"/>
  <c r="BG47"/>
  <c r="BH47"/>
  <c r="BI47"/>
  <c r="BI10"/>
  <c r="BH10"/>
  <c r="BG10"/>
  <c r="BF10"/>
  <c r="BE10"/>
  <c r="AP11"/>
  <c r="AQ11"/>
  <c r="AR11"/>
  <c r="AS11"/>
  <c r="AT11"/>
  <c r="AU11"/>
  <c r="AV11"/>
  <c r="AW11"/>
  <c r="AX11"/>
  <c r="AY11"/>
  <c r="AZ11"/>
  <c r="BA11"/>
  <c r="BB11"/>
  <c r="BC11"/>
  <c r="BD11"/>
  <c r="AP12"/>
  <c r="AQ12"/>
  <c r="AR12"/>
  <c r="AS12"/>
  <c r="AT12"/>
  <c r="AU12"/>
  <c r="AV12"/>
  <c r="AW12"/>
  <c r="AX12"/>
  <c r="AY12"/>
  <c r="AZ12"/>
  <c r="BA12"/>
  <c r="BB12"/>
  <c r="BC12"/>
  <c r="BD12"/>
  <c r="AP13"/>
  <c r="AQ13"/>
  <c r="AR13"/>
  <c r="AS13"/>
  <c r="AT13"/>
  <c r="AU13"/>
  <c r="AV13"/>
  <c r="AW13"/>
  <c r="AX13"/>
  <c r="AY13"/>
  <c r="AZ13"/>
  <c r="BA13"/>
  <c r="BB13"/>
  <c r="BC13"/>
  <c r="BD13"/>
  <c r="AP14"/>
  <c r="AQ14"/>
  <c r="AR14"/>
  <c r="AS14"/>
  <c r="AT14"/>
  <c r="AU14"/>
  <c r="AV14"/>
  <c r="AW14"/>
  <c r="AX14"/>
  <c r="AY14"/>
  <c r="AZ14"/>
  <c r="BA14"/>
  <c r="BB14"/>
  <c r="BC14"/>
  <c r="BD14"/>
  <c r="AP15"/>
  <c r="AQ15"/>
  <c r="AR15"/>
  <c r="AS15"/>
  <c r="AT15"/>
  <c r="AU15"/>
  <c r="AV15"/>
  <c r="AW15"/>
  <c r="AX15"/>
  <c r="AY15"/>
  <c r="AZ15"/>
  <c r="BA15"/>
  <c r="BB15"/>
  <c r="BC15"/>
  <c r="BD15"/>
  <c r="AP16"/>
  <c r="AQ16"/>
  <c r="AR16"/>
  <c r="AS16"/>
  <c r="AT16"/>
  <c r="AU16"/>
  <c r="AV16"/>
  <c r="AW16"/>
  <c r="AX16"/>
  <c r="AY16"/>
  <c r="AZ16"/>
  <c r="BA16"/>
  <c r="BB16"/>
  <c r="BC16"/>
  <c r="BD16"/>
  <c r="AP17"/>
  <c r="AQ17"/>
  <c r="AR17"/>
  <c r="AS17"/>
  <c r="AT17"/>
  <c r="AU17"/>
  <c r="AV17"/>
  <c r="AW17"/>
  <c r="AX17"/>
  <c r="AY17"/>
  <c r="AZ17"/>
  <c r="BA17"/>
  <c r="BB17"/>
  <c r="BC17"/>
  <c r="BD17"/>
  <c r="AP18"/>
  <c r="AQ18"/>
  <c r="AR18"/>
  <c r="AS18"/>
  <c r="AT18"/>
  <c r="AU18"/>
  <c r="AV18"/>
  <c r="AW18"/>
  <c r="AX18"/>
  <c r="AY18"/>
  <c r="AZ18"/>
  <c r="BA18"/>
  <c r="BB18"/>
  <c r="BC18"/>
  <c r="BD18"/>
  <c r="AP19"/>
  <c r="AQ19"/>
  <c r="AR19"/>
  <c r="AS19"/>
  <c r="AT19"/>
  <c r="AU19"/>
  <c r="AV19"/>
  <c r="AW19"/>
  <c r="AX19"/>
  <c r="AY19"/>
  <c r="AZ19"/>
  <c r="BA19"/>
  <c r="BB19"/>
  <c r="BC19"/>
  <c r="BD19"/>
  <c r="AP20"/>
  <c r="AQ20"/>
  <c r="AR20"/>
  <c r="AS20"/>
  <c r="AT20"/>
  <c r="AU20"/>
  <c r="AV20"/>
  <c r="AW20"/>
  <c r="AX20"/>
  <c r="AY20"/>
  <c r="AZ20"/>
  <c r="BA20"/>
  <c r="BB20"/>
  <c r="BC20"/>
  <c r="BD20"/>
  <c r="AP21"/>
  <c r="AQ21"/>
  <c r="AR21"/>
  <c r="AS21"/>
  <c r="AT21"/>
  <c r="AU21"/>
  <c r="AV21"/>
  <c r="AW21"/>
  <c r="AX21"/>
  <c r="AY21"/>
  <c r="AZ21"/>
  <c r="BA21"/>
  <c r="BB21"/>
  <c r="BC21"/>
  <c r="BD21"/>
  <c r="AP22"/>
  <c r="AQ22"/>
  <c r="AR22"/>
  <c r="AS22"/>
  <c r="AT22"/>
  <c r="AU22"/>
  <c r="AV22"/>
  <c r="AW22"/>
  <c r="AX22"/>
  <c r="AY22"/>
  <c r="AZ22"/>
  <c r="BA22"/>
  <c r="BB22"/>
  <c r="BC22"/>
  <c r="BD22"/>
  <c r="AP23"/>
  <c r="AQ23"/>
  <c r="AR23"/>
  <c r="AS23"/>
  <c r="AT23"/>
  <c r="AU23"/>
  <c r="AV23"/>
  <c r="AW23"/>
  <c r="AX23"/>
  <c r="AY23"/>
  <c r="AZ23"/>
  <c r="BA23"/>
  <c r="BB23"/>
  <c r="BC23"/>
  <c r="BD23"/>
  <c r="AP24"/>
  <c r="AQ24"/>
  <c r="AR24"/>
  <c r="AS24"/>
  <c r="AT24"/>
  <c r="AU24"/>
  <c r="AV24"/>
  <c r="AW24"/>
  <c r="AX24"/>
  <c r="AY24"/>
  <c r="AZ24"/>
  <c r="BA24"/>
  <c r="BB24"/>
  <c r="BC24"/>
  <c r="BD24"/>
  <c r="AP25"/>
  <c r="AQ25"/>
  <c r="AR25"/>
  <c r="AS25"/>
  <c r="AT25"/>
  <c r="AU25"/>
  <c r="AV25"/>
  <c r="AW25"/>
  <c r="AX25"/>
  <c r="AY25"/>
  <c r="AZ25"/>
  <c r="BA25"/>
  <c r="BB25"/>
  <c r="BC25"/>
  <c r="BD25"/>
  <c r="AP26"/>
  <c r="AQ26"/>
  <c r="AR26"/>
  <c r="AS26"/>
  <c r="AT26"/>
  <c r="AU26"/>
  <c r="AV26"/>
  <c r="AW26"/>
  <c r="AX26"/>
  <c r="AY26"/>
  <c r="AZ26"/>
  <c r="BA26"/>
  <c r="BB26"/>
  <c r="BC26"/>
  <c r="BD26"/>
  <c r="AP27"/>
  <c r="AQ27"/>
  <c r="AR27"/>
  <c r="AS27"/>
  <c r="AT27"/>
  <c r="AU27"/>
  <c r="AV27"/>
  <c r="AW27"/>
  <c r="AX27"/>
  <c r="AY27"/>
  <c r="AZ27"/>
  <c r="BA27"/>
  <c r="BB27"/>
  <c r="BC27"/>
  <c r="BD27"/>
  <c r="AP28"/>
  <c r="AQ28"/>
  <c r="AR28"/>
  <c r="AS28"/>
  <c r="AT28"/>
  <c r="AU28"/>
  <c r="AV28"/>
  <c r="AW28"/>
  <c r="AX28"/>
  <c r="AY28"/>
  <c r="AZ28"/>
  <c r="BA28"/>
  <c r="BB28"/>
  <c r="BC28"/>
  <c r="BD28"/>
  <c r="AP29"/>
  <c r="AQ29"/>
  <c r="AR29"/>
  <c r="AS29"/>
  <c r="AT29"/>
  <c r="AU29"/>
  <c r="AV29"/>
  <c r="AW29"/>
  <c r="AX29"/>
  <c r="AY29"/>
  <c r="AZ29"/>
  <c r="BA29"/>
  <c r="BB29"/>
  <c r="BC29"/>
  <c r="BD29"/>
  <c r="AP30"/>
  <c r="AQ30"/>
  <c r="AR30"/>
  <c r="AS30"/>
  <c r="AT30"/>
  <c r="AU30"/>
  <c r="AV30"/>
  <c r="AW30"/>
  <c r="AX30"/>
  <c r="AY30"/>
  <c r="AZ30"/>
  <c r="BA30"/>
  <c r="BB30"/>
  <c r="BC30"/>
  <c r="BD30"/>
  <c r="AP31"/>
  <c r="AQ31"/>
  <c r="AR31"/>
  <c r="AS31"/>
  <c r="AT31"/>
  <c r="AU31"/>
  <c r="AV31"/>
  <c r="AW31"/>
  <c r="AX31"/>
  <c r="AY31"/>
  <c r="AZ31"/>
  <c r="BA31"/>
  <c r="BB31"/>
  <c r="BC31"/>
  <c r="BD31"/>
  <c r="AP32"/>
  <c r="AQ32"/>
  <c r="AR32"/>
  <c r="AS32"/>
  <c r="AT32"/>
  <c r="AU32"/>
  <c r="AV32"/>
  <c r="AW32"/>
  <c r="AX32"/>
  <c r="AY32"/>
  <c r="AZ32"/>
  <c r="BA32"/>
  <c r="BB32"/>
  <c r="BC32"/>
  <c r="BD32"/>
  <c r="AP33"/>
  <c r="AQ33"/>
  <c r="AR33"/>
  <c r="AS33"/>
  <c r="AT33"/>
  <c r="AU33"/>
  <c r="AV33"/>
  <c r="AW33"/>
  <c r="AX33"/>
  <c r="AY33"/>
  <c r="AZ33"/>
  <c r="BA33"/>
  <c r="BB33"/>
  <c r="BC33"/>
  <c r="BD33"/>
  <c r="AP34"/>
  <c r="AQ34"/>
  <c r="AR34"/>
  <c r="AS34"/>
  <c r="AT34"/>
  <c r="AU34"/>
  <c r="AV34"/>
  <c r="AW34"/>
  <c r="AX34"/>
  <c r="AY34"/>
  <c r="AZ34"/>
  <c r="BA34"/>
  <c r="BB34"/>
  <c r="BC34"/>
  <c r="BD34"/>
  <c r="AP35"/>
  <c r="AQ35"/>
  <c r="AR35"/>
  <c r="AS35"/>
  <c r="AT35"/>
  <c r="AU35"/>
  <c r="AV35"/>
  <c r="AW35"/>
  <c r="AX35"/>
  <c r="AY35"/>
  <c r="AZ35"/>
  <c r="BA35"/>
  <c r="BB35"/>
  <c r="BC35"/>
  <c r="BD35"/>
  <c r="AP36"/>
  <c r="AQ36"/>
  <c r="AR36"/>
  <c r="AS36"/>
  <c r="AT36"/>
  <c r="AU36"/>
  <c r="AV36"/>
  <c r="AW36"/>
  <c r="AX36"/>
  <c r="AY36"/>
  <c r="AZ36"/>
  <c r="BA36"/>
  <c r="BB36"/>
  <c r="BC36"/>
  <c r="BD36"/>
  <c r="AP37"/>
  <c r="AQ37"/>
  <c r="AR37"/>
  <c r="AS37"/>
  <c r="AT37"/>
  <c r="AU37"/>
  <c r="AV37"/>
  <c r="AW37"/>
  <c r="AX37"/>
  <c r="AY37"/>
  <c r="AZ37"/>
  <c r="BA37"/>
  <c r="BB37"/>
  <c r="BC37"/>
  <c r="BD37"/>
  <c r="AP38"/>
  <c r="AQ38"/>
  <c r="AR38"/>
  <c r="AS38"/>
  <c r="AT38"/>
  <c r="AU38"/>
  <c r="AV38"/>
  <c r="AW38"/>
  <c r="AX38"/>
  <c r="AY38"/>
  <c r="AZ38"/>
  <c r="BA38"/>
  <c r="BB38"/>
  <c r="BC38"/>
  <c r="BD38"/>
  <c r="AP39"/>
  <c r="AQ39"/>
  <c r="AR39"/>
  <c r="AS39"/>
  <c r="AT39"/>
  <c r="AU39"/>
  <c r="AV39"/>
  <c r="AW39"/>
  <c r="AX39"/>
  <c r="AY39"/>
  <c r="AZ39"/>
  <c r="BA39"/>
  <c r="BB39"/>
  <c r="BC39"/>
  <c r="BD39"/>
  <c r="AP40"/>
  <c r="AQ40"/>
  <c r="AR40"/>
  <c r="AS40"/>
  <c r="AT40"/>
  <c r="AU40"/>
  <c r="AV40"/>
  <c r="AW40"/>
  <c r="AX40"/>
  <c r="AY40"/>
  <c r="AZ40"/>
  <c r="BA40"/>
  <c r="BB40"/>
  <c r="BC40"/>
  <c r="BD40"/>
  <c r="AP41"/>
  <c r="AQ41"/>
  <c r="AR41"/>
  <c r="AS41"/>
  <c r="AT41"/>
  <c r="AU41"/>
  <c r="AV41"/>
  <c r="AW41"/>
  <c r="AX41"/>
  <c r="AY41"/>
  <c r="AZ41"/>
  <c r="BA41"/>
  <c r="BB41"/>
  <c r="BC41"/>
  <c r="BD41"/>
  <c r="AP42"/>
  <c r="AQ42"/>
  <c r="AR42"/>
  <c r="AS42"/>
  <c r="AT42"/>
  <c r="AU42"/>
  <c r="AV42"/>
  <c r="AW42"/>
  <c r="AX42"/>
  <c r="AY42"/>
  <c r="AZ42"/>
  <c r="BA42"/>
  <c r="BB42"/>
  <c r="BC42"/>
  <c r="BD42"/>
  <c r="AP43"/>
  <c r="AQ43"/>
  <c r="AR43"/>
  <c r="AS43"/>
  <c r="AT43"/>
  <c r="AU43"/>
  <c r="AV43"/>
  <c r="AW43"/>
  <c r="AX43"/>
  <c r="AY43"/>
  <c r="AZ43"/>
  <c r="BA43"/>
  <c r="BB43"/>
  <c r="BC43"/>
  <c r="BD43"/>
  <c r="AP44"/>
  <c r="AQ44"/>
  <c r="AR44"/>
  <c r="AS44"/>
  <c r="AT44"/>
  <c r="AU44"/>
  <c r="AV44"/>
  <c r="AW44"/>
  <c r="AX44"/>
  <c r="AY44"/>
  <c r="AZ44"/>
  <c r="BA44"/>
  <c r="BB44"/>
  <c r="BC44"/>
  <c r="BD44"/>
  <c r="AP45"/>
  <c r="AQ45"/>
  <c r="AR45"/>
  <c r="AS45"/>
  <c r="AT45"/>
  <c r="AU45"/>
  <c r="AV45"/>
  <c r="AW45"/>
  <c r="AX45"/>
  <c r="AY45"/>
  <c r="AZ45"/>
  <c r="BA45"/>
  <c r="BB45"/>
  <c r="BC45"/>
  <c r="BD45"/>
  <c r="AP46"/>
  <c r="AQ46"/>
  <c r="AR46"/>
  <c r="AS46"/>
  <c r="AT46"/>
  <c r="AU46"/>
  <c r="AV46"/>
  <c r="AW46"/>
  <c r="AX46"/>
  <c r="AY46"/>
  <c r="AZ46"/>
  <c r="BA46"/>
  <c r="BB46"/>
  <c r="BC46"/>
  <c r="BD46"/>
  <c r="AP47"/>
  <c r="AQ47"/>
  <c r="AR47"/>
  <c r="AS47"/>
  <c r="AT47"/>
  <c r="AU47"/>
  <c r="AV47"/>
  <c r="AW47"/>
  <c r="AX47"/>
  <c r="AY47"/>
  <c r="AZ47"/>
  <c r="BA47"/>
  <c r="BB47"/>
  <c r="BC47"/>
  <c r="BD47"/>
  <c r="BD10"/>
  <c r="BC10"/>
  <c r="BB10"/>
  <c r="BA10"/>
  <c r="AZ10"/>
  <c r="AY10"/>
  <c r="AX10"/>
  <c r="AW10"/>
  <c r="AV10"/>
  <c r="AU10"/>
  <c r="AT10"/>
  <c r="AS10"/>
  <c r="AR10"/>
  <c r="AQ10"/>
  <c r="AP10"/>
  <c r="J166" i="15"/>
  <c r="E35"/>
  <c r="S17"/>
  <c r="S23"/>
  <c r="S27"/>
  <c r="S64"/>
  <c r="S77"/>
  <c r="S83"/>
  <c r="S91"/>
  <c r="S105"/>
  <c r="S111"/>
  <c r="S116"/>
  <c r="S124"/>
  <c r="S128"/>
  <c r="CX10" i="36"/>
  <c r="CX11"/>
  <c r="CX12"/>
  <c r="CX13"/>
  <c r="CX14"/>
  <c r="CX15"/>
  <c r="CX16"/>
  <c r="CX17"/>
  <c r="CX18"/>
  <c r="CX19"/>
  <c r="CX20"/>
  <c r="CX21"/>
  <c r="CX22"/>
  <c r="CX23"/>
  <c r="CX24"/>
  <c r="CX25"/>
  <c r="CX26"/>
  <c r="CX27"/>
  <c r="CX28"/>
  <c r="CX29"/>
  <c r="CX30"/>
  <c r="CX31"/>
  <c r="CX32"/>
  <c r="CX33"/>
  <c r="CX34"/>
  <c r="CX35"/>
  <c r="CX36"/>
  <c r="CX37"/>
  <c r="CX38"/>
  <c r="CX39"/>
  <c r="CX40"/>
  <c r="CX41"/>
  <c r="CX42"/>
  <c r="CX43"/>
  <c r="CX44"/>
  <c r="CX45"/>
  <c r="CX46"/>
  <c r="CX47"/>
  <c r="CY10"/>
  <c r="CY11"/>
  <c r="CY12"/>
  <c r="CY13"/>
  <c r="CY14"/>
  <c r="CY15"/>
  <c r="CY16"/>
  <c r="CY17"/>
  <c r="CY18"/>
  <c r="CY19"/>
  <c r="CY20"/>
  <c r="CY21"/>
  <c r="CY22"/>
  <c r="CY23"/>
  <c r="CY24"/>
  <c r="CY25"/>
  <c r="CY26"/>
  <c r="CY27"/>
  <c r="CY28"/>
  <c r="CY29"/>
  <c r="CY30"/>
  <c r="CY31"/>
  <c r="CY32"/>
  <c r="CY33"/>
  <c r="CY34"/>
  <c r="CY35"/>
  <c r="CY36"/>
  <c r="CY37"/>
  <c r="CY38"/>
  <c r="CY39"/>
  <c r="CY40"/>
  <c r="CY41"/>
  <c r="CY42"/>
  <c r="CY43"/>
  <c r="CY44"/>
  <c r="CY45"/>
  <c r="CY46"/>
  <c r="CY47"/>
  <c r="CZ10"/>
  <c r="CZ11"/>
  <c r="CZ12"/>
  <c r="CZ13"/>
  <c r="CZ14"/>
  <c r="CZ15"/>
  <c r="CZ16"/>
  <c r="CZ17"/>
  <c r="CZ18"/>
  <c r="CZ19"/>
  <c r="CZ20"/>
  <c r="CZ21"/>
  <c r="CZ22"/>
  <c r="CZ23"/>
  <c r="CZ24"/>
  <c r="CZ25"/>
  <c r="CZ26"/>
  <c r="CZ27"/>
  <c r="CZ28"/>
  <c r="CZ29"/>
  <c r="CZ30"/>
  <c r="CZ31"/>
  <c r="CZ32"/>
  <c r="CZ33"/>
  <c r="CZ34"/>
  <c r="CZ35"/>
  <c r="CZ36"/>
  <c r="CZ37"/>
  <c r="CZ38"/>
  <c r="CZ39"/>
  <c r="CZ40"/>
  <c r="CZ41"/>
  <c r="CZ42"/>
  <c r="CZ43"/>
  <c r="CZ44"/>
  <c r="CZ45"/>
  <c r="CZ46"/>
  <c r="CZ47"/>
  <c r="DA10"/>
  <c r="DA11"/>
  <c r="DA12"/>
  <c r="DA13"/>
  <c r="DA14"/>
  <c r="DA15"/>
  <c r="DA16"/>
  <c r="DA17"/>
  <c r="DA18"/>
  <c r="DA19"/>
  <c r="DA20"/>
  <c r="DA21"/>
  <c r="DA22"/>
  <c r="DA23"/>
  <c r="DA24"/>
  <c r="DA25"/>
  <c r="DA26"/>
  <c r="DA27"/>
  <c r="DA28"/>
  <c r="DA29"/>
  <c r="DA30"/>
  <c r="DA31"/>
  <c r="DA32"/>
  <c r="DA33"/>
  <c r="DA34"/>
  <c r="DA35"/>
  <c r="DA36"/>
  <c r="DA37"/>
  <c r="DA38"/>
  <c r="DA39"/>
  <c r="DA40"/>
  <c r="DA41"/>
  <c r="DA42"/>
  <c r="DA43"/>
  <c r="DA44"/>
  <c r="DA45"/>
  <c r="DA46"/>
  <c r="DA47"/>
  <c r="DB10"/>
  <c r="DB11"/>
  <c r="DB12"/>
  <c r="DB13"/>
  <c r="DB14"/>
  <c r="DB15"/>
  <c r="DB16"/>
  <c r="DB17"/>
  <c r="DB18"/>
  <c r="DB19"/>
  <c r="DB20"/>
  <c r="DB21"/>
  <c r="DB22"/>
  <c r="DB23"/>
  <c r="DB24"/>
  <c r="DB25"/>
  <c r="DB26"/>
  <c r="DB27"/>
  <c r="DB28"/>
  <c r="DB29"/>
  <c r="DB30"/>
  <c r="DB31"/>
  <c r="DB32"/>
  <c r="DB33"/>
  <c r="DB34"/>
  <c r="DB35"/>
  <c r="DB36"/>
  <c r="DB37"/>
  <c r="DB38"/>
  <c r="DB39"/>
  <c r="DB40"/>
  <c r="DB41"/>
  <c r="DB42"/>
  <c r="DB43"/>
  <c r="DB44"/>
  <c r="DB45"/>
  <c r="DB46"/>
  <c r="DB47"/>
  <c r="L140" i="11"/>
  <c r="R155" i="18"/>
  <c r="L27" i="7"/>
  <c r="P8" i="11"/>
  <c r="P125"/>
  <c r="P150"/>
  <c r="P344"/>
  <c r="A2" i="37"/>
  <c r="R241" i="11"/>
  <c r="L231"/>
  <c r="P15" i="36"/>
  <c r="P16"/>
  <c r="P17"/>
  <c r="P18"/>
  <c r="P19"/>
  <c r="P20"/>
  <c r="P21"/>
  <c r="P22"/>
  <c r="P23"/>
  <c r="P24"/>
  <c r="P25"/>
  <c r="P26"/>
  <c r="P27"/>
  <c r="P28"/>
  <c r="P29"/>
  <c r="P30"/>
  <c r="P31"/>
  <c r="P32"/>
  <c r="P33"/>
  <c r="P34"/>
  <c r="P35"/>
  <c r="P36"/>
  <c r="P37"/>
  <c r="P38"/>
  <c r="P39"/>
  <c r="P40"/>
  <c r="P41"/>
  <c r="P42"/>
  <c r="P43"/>
  <c r="P44"/>
  <c r="P45"/>
  <c r="P46"/>
  <c r="P47"/>
  <c r="P11"/>
  <c r="P12"/>
  <c r="P13"/>
  <c r="P14"/>
  <c r="P10"/>
  <c r="A63" i="8"/>
  <c r="A92" s="1"/>
  <c r="A62"/>
  <c r="A91" s="1"/>
  <c r="A61"/>
  <c r="A90" s="1"/>
  <c r="A60"/>
  <c r="A89" s="1"/>
  <c r="A55"/>
  <c r="A84" s="1"/>
  <c r="A54"/>
  <c r="A83" s="1"/>
  <c r="A53"/>
  <c r="A82" s="1"/>
  <c r="A52"/>
  <c r="A81" s="1"/>
  <c r="R209" i="11"/>
  <c r="L173"/>
  <c r="R152"/>
  <c r="R151"/>
  <c r="L218"/>
  <c r="G126"/>
  <c r="M36" i="3"/>
  <c r="C833" i="46"/>
  <c r="E29" i="8"/>
  <c r="F29"/>
  <c r="G29"/>
  <c r="H29"/>
  <c r="I29"/>
  <c r="J29"/>
  <c r="K29"/>
  <c r="B20"/>
  <c r="P781" i="46" s="1"/>
  <c r="M82" i="36"/>
  <c r="M44" i="7" s="1"/>
  <c r="EG10" i="36"/>
  <c r="EG11"/>
  <c r="EG12"/>
  <c r="EG13"/>
  <c r="EG14"/>
  <c r="EG15"/>
  <c r="EG16"/>
  <c r="EG17"/>
  <c r="EG18"/>
  <c r="EG19"/>
  <c r="EG20"/>
  <c r="EG21"/>
  <c r="EG22"/>
  <c r="EG23"/>
  <c r="EG24"/>
  <c r="EG25"/>
  <c r="EG26"/>
  <c r="EG27"/>
  <c r="EG28"/>
  <c r="EG29"/>
  <c r="EG30"/>
  <c r="EG31"/>
  <c r="EG32"/>
  <c r="EG33"/>
  <c r="EG34"/>
  <c r="EG35"/>
  <c r="EG36"/>
  <c r="EG37"/>
  <c r="EG38"/>
  <c r="EG39"/>
  <c r="EG40"/>
  <c r="EG41"/>
  <c r="EG42"/>
  <c r="EG43"/>
  <c r="EG44"/>
  <c r="EG45"/>
  <c r="EG46"/>
  <c r="EG47"/>
  <c r="EL10"/>
  <c r="EL11"/>
  <c r="EL12"/>
  <c r="EL13"/>
  <c r="EL14"/>
  <c r="EL15"/>
  <c r="EL16"/>
  <c r="EL17"/>
  <c r="EL18"/>
  <c r="EL19"/>
  <c r="EL20"/>
  <c r="EL21"/>
  <c r="EL22"/>
  <c r="EL23"/>
  <c r="EL24"/>
  <c r="EL25"/>
  <c r="EL26"/>
  <c r="EL27"/>
  <c r="EL28"/>
  <c r="EL29"/>
  <c r="EL30"/>
  <c r="EL31"/>
  <c r="EL32"/>
  <c r="EL33"/>
  <c r="EL34"/>
  <c r="EL35"/>
  <c r="EL36"/>
  <c r="EL37"/>
  <c r="EL38"/>
  <c r="EL39"/>
  <c r="EL40"/>
  <c r="EL41"/>
  <c r="EL42"/>
  <c r="EL43"/>
  <c r="EL44"/>
  <c r="EL45"/>
  <c r="EL46"/>
  <c r="EL47"/>
  <c r="EQ10"/>
  <c r="EQ11"/>
  <c r="EQ12"/>
  <c r="EQ13"/>
  <c r="EQ14"/>
  <c r="EQ15"/>
  <c r="EQ16"/>
  <c r="EQ17"/>
  <c r="EQ18"/>
  <c r="EQ19"/>
  <c r="EQ20"/>
  <c r="EQ21"/>
  <c r="EQ22"/>
  <c r="EQ23"/>
  <c r="EQ24"/>
  <c r="EQ25"/>
  <c r="EQ26"/>
  <c r="EQ27"/>
  <c r="EQ28"/>
  <c r="EQ29"/>
  <c r="EQ30"/>
  <c r="EQ31"/>
  <c r="EQ32"/>
  <c r="EQ33"/>
  <c r="EQ34"/>
  <c r="EQ35"/>
  <c r="EQ36"/>
  <c r="EQ37"/>
  <c r="EQ38"/>
  <c r="EQ39"/>
  <c r="EQ40"/>
  <c r="EQ41"/>
  <c r="EQ42"/>
  <c r="EQ43"/>
  <c r="EQ44"/>
  <c r="EQ45"/>
  <c r="EQ46"/>
  <c r="EQ47"/>
  <c r="EH10"/>
  <c r="EH11"/>
  <c r="EH12"/>
  <c r="EH13"/>
  <c r="EH14"/>
  <c r="EH15"/>
  <c r="EH16"/>
  <c r="EH17"/>
  <c r="EH18"/>
  <c r="EH19"/>
  <c r="EH20"/>
  <c r="EH21"/>
  <c r="EH22"/>
  <c r="EH23"/>
  <c r="EH24"/>
  <c r="EH25"/>
  <c r="EH26"/>
  <c r="EH27"/>
  <c r="EH28"/>
  <c r="EH29"/>
  <c r="EH30"/>
  <c r="EH31"/>
  <c r="EH32"/>
  <c r="EH33"/>
  <c r="EH34"/>
  <c r="EH35"/>
  <c r="EH36"/>
  <c r="EH37"/>
  <c r="EH38"/>
  <c r="EH39"/>
  <c r="EH40"/>
  <c r="EH41"/>
  <c r="EH42"/>
  <c r="EH43"/>
  <c r="EH44"/>
  <c r="EH45"/>
  <c r="EH46"/>
  <c r="EH47"/>
  <c r="EM10"/>
  <c r="EM11"/>
  <c r="EM12"/>
  <c r="EM13"/>
  <c r="EM14"/>
  <c r="EM15"/>
  <c r="EM16"/>
  <c r="EM17"/>
  <c r="EM18"/>
  <c r="EM19"/>
  <c r="EM20"/>
  <c r="EM21"/>
  <c r="EM22"/>
  <c r="EM23"/>
  <c r="EM24"/>
  <c r="EM25"/>
  <c r="EM26"/>
  <c r="EM27"/>
  <c r="EM28"/>
  <c r="EM29"/>
  <c r="EM30"/>
  <c r="EM31"/>
  <c r="EM32"/>
  <c r="EM33"/>
  <c r="EM34"/>
  <c r="EM35"/>
  <c r="EM36"/>
  <c r="EM37"/>
  <c r="EM38"/>
  <c r="EM39"/>
  <c r="EM40"/>
  <c r="EM41"/>
  <c r="EM42"/>
  <c r="EM43"/>
  <c r="EM44"/>
  <c r="EM45"/>
  <c r="EM46"/>
  <c r="EM47"/>
  <c r="ER10"/>
  <c r="ER11"/>
  <c r="ER12"/>
  <c r="ER13"/>
  <c r="ER14"/>
  <c r="ER15"/>
  <c r="ER16"/>
  <c r="ER17"/>
  <c r="ER18"/>
  <c r="ER19"/>
  <c r="ER20"/>
  <c r="ER21"/>
  <c r="ER22"/>
  <c r="ER23"/>
  <c r="ER24"/>
  <c r="ER25"/>
  <c r="ER26"/>
  <c r="ER27"/>
  <c r="ER28"/>
  <c r="ER29"/>
  <c r="ER30"/>
  <c r="ER31"/>
  <c r="ER32"/>
  <c r="ER33"/>
  <c r="ER34"/>
  <c r="ER35"/>
  <c r="ER36"/>
  <c r="ER37"/>
  <c r="ER38"/>
  <c r="ER39"/>
  <c r="ER40"/>
  <c r="ER41"/>
  <c r="ER42"/>
  <c r="ER43"/>
  <c r="ER44"/>
  <c r="ER45"/>
  <c r="ER46"/>
  <c r="ER47"/>
  <c r="EI10"/>
  <c r="EI11"/>
  <c r="EI12"/>
  <c r="EI13"/>
  <c r="EI14"/>
  <c r="EI15"/>
  <c r="EI16"/>
  <c r="EI17"/>
  <c r="EI18"/>
  <c r="EI19"/>
  <c r="EI20"/>
  <c r="EI21"/>
  <c r="EI22"/>
  <c r="EI23"/>
  <c r="EI24"/>
  <c r="EI25"/>
  <c r="EI26"/>
  <c r="EI27"/>
  <c r="EI28"/>
  <c r="EI29"/>
  <c r="EI30"/>
  <c r="EI31"/>
  <c r="EI32"/>
  <c r="EI33"/>
  <c r="EI34"/>
  <c r="EI35"/>
  <c r="EI36"/>
  <c r="EI37"/>
  <c r="EI38"/>
  <c r="EI39"/>
  <c r="EI40"/>
  <c r="EI41"/>
  <c r="EI42"/>
  <c r="EI43"/>
  <c r="EI44"/>
  <c r="EI45"/>
  <c r="EI46"/>
  <c r="EI47"/>
  <c r="EN10"/>
  <c r="EN11"/>
  <c r="EN12"/>
  <c r="EN13"/>
  <c r="EN14"/>
  <c r="EN15"/>
  <c r="EN16"/>
  <c r="EN17"/>
  <c r="EN18"/>
  <c r="EN19"/>
  <c r="EN20"/>
  <c r="EN21"/>
  <c r="EN22"/>
  <c r="EN23"/>
  <c r="EN24"/>
  <c r="EN25"/>
  <c r="EN26"/>
  <c r="EN27"/>
  <c r="EN28"/>
  <c r="EN29"/>
  <c r="EN30"/>
  <c r="EN31"/>
  <c r="EN32"/>
  <c r="EN33"/>
  <c r="EN34"/>
  <c r="EN35"/>
  <c r="EN36"/>
  <c r="EN37"/>
  <c r="EN38"/>
  <c r="EN39"/>
  <c r="EN40"/>
  <c r="EN41"/>
  <c r="EN42"/>
  <c r="EN43"/>
  <c r="EN44"/>
  <c r="EN45"/>
  <c r="EN46"/>
  <c r="EN47"/>
  <c r="ES10"/>
  <c r="ES11"/>
  <c r="ES12"/>
  <c r="ES13"/>
  <c r="ES14"/>
  <c r="ES15"/>
  <c r="ES16"/>
  <c r="ES17"/>
  <c r="ES18"/>
  <c r="ES19"/>
  <c r="ES20"/>
  <c r="ES21"/>
  <c r="ES22"/>
  <c r="ES23"/>
  <c r="ES24"/>
  <c r="ES25"/>
  <c r="ES26"/>
  <c r="ES27"/>
  <c r="ES28"/>
  <c r="ES29"/>
  <c r="ES30"/>
  <c r="ES31"/>
  <c r="ES32"/>
  <c r="ES33"/>
  <c r="ES34"/>
  <c r="ES35"/>
  <c r="ES36"/>
  <c r="ES37"/>
  <c r="ES38"/>
  <c r="ES39"/>
  <c r="ES40"/>
  <c r="ES41"/>
  <c r="ES42"/>
  <c r="ES43"/>
  <c r="ES44"/>
  <c r="ES45"/>
  <c r="ES46"/>
  <c r="ES47"/>
  <c r="EJ10"/>
  <c r="EJ11"/>
  <c r="EJ12"/>
  <c r="EJ13"/>
  <c r="EJ14"/>
  <c r="EJ15"/>
  <c r="EJ16"/>
  <c r="EJ17"/>
  <c r="EJ18"/>
  <c r="EJ19"/>
  <c r="EJ20"/>
  <c r="EJ21"/>
  <c r="EJ22"/>
  <c r="EJ23"/>
  <c r="EJ24"/>
  <c r="EJ25"/>
  <c r="EJ26"/>
  <c r="EJ27"/>
  <c r="EJ28"/>
  <c r="EJ29"/>
  <c r="EJ30"/>
  <c r="EJ31"/>
  <c r="EJ32"/>
  <c r="EJ33"/>
  <c r="EJ34"/>
  <c r="EJ35"/>
  <c r="EJ36"/>
  <c r="EJ37"/>
  <c r="EJ38"/>
  <c r="EJ39"/>
  <c r="EJ40"/>
  <c r="EJ41"/>
  <c r="EJ42"/>
  <c r="EJ43"/>
  <c r="EJ44"/>
  <c r="EJ45"/>
  <c r="EJ46"/>
  <c r="EJ47"/>
  <c r="EO10"/>
  <c r="EO11"/>
  <c r="EO12"/>
  <c r="EO13"/>
  <c r="EO14"/>
  <c r="EO15"/>
  <c r="EO16"/>
  <c r="EO17"/>
  <c r="EO18"/>
  <c r="EO19"/>
  <c r="EO20"/>
  <c r="EO21"/>
  <c r="EO22"/>
  <c r="EO23"/>
  <c r="EO24"/>
  <c r="EO25"/>
  <c r="EO26"/>
  <c r="EO27"/>
  <c r="EO28"/>
  <c r="EO29"/>
  <c r="EO30"/>
  <c r="EO31"/>
  <c r="EO32"/>
  <c r="EO33"/>
  <c r="EO34"/>
  <c r="EO35"/>
  <c r="EO36"/>
  <c r="EO37"/>
  <c r="EO38"/>
  <c r="EO39"/>
  <c r="EO40"/>
  <c r="EO41"/>
  <c r="EO42"/>
  <c r="EO43"/>
  <c r="EO44"/>
  <c r="EO45"/>
  <c r="EO46"/>
  <c r="EO47"/>
  <c r="ET10"/>
  <c r="ET11"/>
  <c r="ET12"/>
  <c r="ET13"/>
  <c r="ET14"/>
  <c r="ET15"/>
  <c r="ET16"/>
  <c r="ET17"/>
  <c r="ET18"/>
  <c r="ET19"/>
  <c r="ET20"/>
  <c r="ET21"/>
  <c r="ET22"/>
  <c r="ET23"/>
  <c r="ET24"/>
  <c r="ET25"/>
  <c r="ET26"/>
  <c r="ET27"/>
  <c r="ET28"/>
  <c r="ET29"/>
  <c r="ET30"/>
  <c r="ET31"/>
  <c r="ET32"/>
  <c r="ET33"/>
  <c r="ET34"/>
  <c r="ET35"/>
  <c r="ET36"/>
  <c r="ET37"/>
  <c r="ET38"/>
  <c r="ET39"/>
  <c r="ET40"/>
  <c r="ET41"/>
  <c r="ET42"/>
  <c r="ET43"/>
  <c r="ET44"/>
  <c r="ET45"/>
  <c r="ET46"/>
  <c r="ET47"/>
  <c r="EK10"/>
  <c r="EK11"/>
  <c r="EK12"/>
  <c r="EK13"/>
  <c r="EK14"/>
  <c r="EK15"/>
  <c r="EK16"/>
  <c r="EK17"/>
  <c r="EK18"/>
  <c r="EK19"/>
  <c r="EK20"/>
  <c r="EK21"/>
  <c r="EK22"/>
  <c r="EK23"/>
  <c r="EK24"/>
  <c r="EK25"/>
  <c r="EK26"/>
  <c r="EK27"/>
  <c r="EK28"/>
  <c r="EK29"/>
  <c r="EK30"/>
  <c r="EK31"/>
  <c r="EK32"/>
  <c r="EK33"/>
  <c r="EK34"/>
  <c r="EK35"/>
  <c r="EK36"/>
  <c r="EK37"/>
  <c r="EK38"/>
  <c r="EK39"/>
  <c r="EK40"/>
  <c r="EK41"/>
  <c r="EK42"/>
  <c r="EK43"/>
  <c r="EK44"/>
  <c r="EK45"/>
  <c r="EK46"/>
  <c r="EK47"/>
  <c r="EP10"/>
  <c r="EP11"/>
  <c r="EP12"/>
  <c r="EP13"/>
  <c r="EP14"/>
  <c r="EP15"/>
  <c r="EP16"/>
  <c r="EP17"/>
  <c r="EP18"/>
  <c r="EP19"/>
  <c r="EP20"/>
  <c r="EP21"/>
  <c r="EP22"/>
  <c r="EP23"/>
  <c r="EP24"/>
  <c r="EP25"/>
  <c r="EP26"/>
  <c r="EP27"/>
  <c r="EP28"/>
  <c r="EP29"/>
  <c r="EP30"/>
  <c r="EP31"/>
  <c r="EP32"/>
  <c r="EP33"/>
  <c r="EP34"/>
  <c r="EP35"/>
  <c r="EP36"/>
  <c r="EP37"/>
  <c r="EP38"/>
  <c r="EP39"/>
  <c r="EP40"/>
  <c r="EP41"/>
  <c r="EP42"/>
  <c r="EP43"/>
  <c r="EP44"/>
  <c r="EP45"/>
  <c r="EP46"/>
  <c r="EP47"/>
  <c r="EU10"/>
  <c r="EU11"/>
  <c r="EU12"/>
  <c r="EU13"/>
  <c r="EU14"/>
  <c r="EU15"/>
  <c r="EU16"/>
  <c r="EU17"/>
  <c r="EU18"/>
  <c r="EU19"/>
  <c r="EU20"/>
  <c r="EU21"/>
  <c r="EU22"/>
  <c r="EU23"/>
  <c r="EU24"/>
  <c r="EU25"/>
  <c r="EU26"/>
  <c r="EU27"/>
  <c r="EU28"/>
  <c r="EU29"/>
  <c r="EU30"/>
  <c r="EU31"/>
  <c r="EU32"/>
  <c r="EU33"/>
  <c r="EU34"/>
  <c r="EU35"/>
  <c r="EU36"/>
  <c r="EU37"/>
  <c r="EU38"/>
  <c r="EU39"/>
  <c r="EU40"/>
  <c r="EU41"/>
  <c r="EU42"/>
  <c r="EU43"/>
  <c r="EU44"/>
  <c r="EU45"/>
  <c r="EU46"/>
  <c r="EU47"/>
  <c r="DR10"/>
  <c r="DR11"/>
  <c r="DR12"/>
  <c r="DR13"/>
  <c r="DR14"/>
  <c r="DR15"/>
  <c r="DR16"/>
  <c r="DR17"/>
  <c r="DR18"/>
  <c r="DR19"/>
  <c r="DR20"/>
  <c r="DR21"/>
  <c r="DR22"/>
  <c r="DR23"/>
  <c r="DR24"/>
  <c r="DR25"/>
  <c r="DR26"/>
  <c r="DR27"/>
  <c r="DR28"/>
  <c r="DR29"/>
  <c r="DR30"/>
  <c r="DR31"/>
  <c r="DR32"/>
  <c r="DR33"/>
  <c r="DR34"/>
  <c r="DR35"/>
  <c r="DR36"/>
  <c r="DR37"/>
  <c r="DR38"/>
  <c r="DR39"/>
  <c r="DR40"/>
  <c r="DR41"/>
  <c r="DR42"/>
  <c r="DR43"/>
  <c r="DR44"/>
  <c r="DR45"/>
  <c r="DR46"/>
  <c r="DR47"/>
  <c r="DW10"/>
  <c r="DW11"/>
  <c r="DW12"/>
  <c r="DW13"/>
  <c r="DW14"/>
  <c r="DW15"/>
  <c r="DW16"/>
  <c r="DW17"/>
  <c r="DW18"/>
  <c r="DW19"/>
  <c r="DW20"/>
  <c r="DW21"/>
  <c r="DW22"/>
  <c r="DW23"/>
  <c r="DW24"/>
  <c r="DW25"/>
  <c r="DW26"/>
  <c r="DW27"/>
  <c r="DW28"/>
  <c r="DW29"/>
  <c r="DW30"/>
  <c r="DW31"/>
  <c r="DW32"/>
  <c r="DW33"/>
  <c r="DW34"/>
  <c r="DW35"/>
  <c r="DW36"/>
  <c r="DW37"/>
  <c r="DW38"/>
  <c r="DW39"/>
  <c r="DW40"/>
  <c r="DW41"/>
  <c r="DW42"/>
  <c r="DW43"/>
  <c r="DW44"/>
  <c r="DW45"/>
  <c r="DW46"/>
  <c r="DW47"/>
  <c r="EB10"/>
  <c r="EB11"/>
  <c r="EB12"/>
  <c r="EB13"/>
  <c r="EB14"/>
  <c r="EB15"/>
  <c r="EB16"/>
  <c r="EB17"/>
  <c r="EB18"/>
  <c r="EB19"/>
  <c r="EB20"/>
  <c r="EB21"/>
  <c r="EB22"/>
  <c r="EB23"/>
  <c r="EB24"/>
  <c r="EB25"/>
  <c r="EB26"/>
  <c r="EB27"/>
  <c r="EB28"/>
  <c r="EB29"/>
  <c r="EB30"/>
  <c r="EB31"/>
  <c r="EB32"/>
  <c r="EB33"/>
  <c r="EB34"/>
  <c r="EB35"/>
  <c r="EB36"/>
  <c r="EB37"/>
  <c r="EB38"/>
  <c r="EB39"/>
  <c r="EB40"/>
  <c r="EB41"/>
  <c r="EB42"/>
  <c r="EB43"/>
  <c r="EB44"/>
  <c r="EB45"/>
  <c r="EB46"/>
  <c r="EB47"/>
  <c r="DS10"/>
  <c r="DS11"/>
  <c r="DS12"/>
  <c r="DS13"/>
  <c r="DS14"/>
  <c r="DS15"/>
  <c r="DS16"/>
  <c r="DS17"/>
  <c r="DS18"/>
  <c r="DS19"/>
  <c r="DS20"/>
  <c r="DS21"/>
  <c r="DS22"/>
  <c r="DS23"/>
  <c r="DS24"/>
  <c r="DS25"/>
  <c r="DS26"/>
  <c r="DS27"/>
  <c r="DS28"/>
  <c r="DS29"/>
  <c r="DS30"/>
  <c r="DS31"/>
  <c r="DS32"/>
  <c r="DS33"/>
  <c r="DS34"/>
  <c r="DS35"/>
  <c r="DS36"/>
  <c r="DS37"/>
  <c r="DS38"/>
  <c r="DS39"/>
  <c r="DS40"/>
  <c r="DS41"/>
  <c r="DS42"/>
  <c r="DS43"/>
  <c r="DS44"/>
  <c r="DS45"/>
  <c r="DS46"/>
  <c r="DS47"/>
  <c r="DX10"/>
  <c r="DX11"/>
  <c r="DX12"/>
  <c r="DX13"/>
  <c r="DX14"/>
  <c r="DX15"/>
  <c r="DX16"/>
  <c r="DX17"/>
  <c r="DX18"/>
  <c r="DX19"/>
  <c r="DX20"/>
  <c r="DX21"/>
  <c r="DX22"/>
  <c r="DX23"/>
  <c r="DX24"/>
  <c r="DX25"/>
  <c r="DX26"/>
  <c r="DX27"/>
  <c r="DX28"/>
  <c r="DX29"/>
  <c r="DX30"/>
  <c r="DX31"/>
  <c r="DX32"/>
  <c r="DX33"/>
  <c r="DX34"/>
  <c r="DX35"/>
  <c r="DX36"/>
  <c r="DX37"/>
  <c r="DX38"/>
  <c r="DX39"/>
  <c r="DX40"/>
  <c r="DX41"/>
  <c r="DX42"/>
  <c r="DX43"/>
  <c r="DX44"/>
  <c r="DX45"/>
  <c r="DX46"/>
  <c r="DX47"/>
  <c r="EC10"/>
  <c r="EC11"/>
  <c r="EC12"/>
  <c r="EC13"/>
  <c r="EC14"/>
  <c r="EC15"/>
  <c r="EC16"/>
  <c r="EC17"/>
  <c r="EC18"/>
  <c r="EC19"/>
  <c r="EC20"/>
  <c r="EC21"/>
  <c r="EC22"/>
  <c r="EC23"/>
  <c r="EC24"/>
  <c r="EC25"/>
  <c r="EC26"/>
  <c r="EC27"/>
  <c r="EC28"/>
  <c r="EC29"/>
  <c r="EC30"/>
  <c r="EC31"/>
  <c r="EC32"/>
  <c r="EC33"/>
  <c r="EC34"/>
  <c r="EC35"/>
  <c r="EC36"/>
  <c r="EC37"/>
  <c r="EC38"/>
  <c r="EC39"/>
  <c r="EC40"/>
  <c r="EC41"/>
  <c r="EC42"/>
  <c r="EC43"/>
  <c r="EC44"/>
  <c r="EC45"/>
  <c r="EC46"/>
  <c r="EC47"/>
  <c r="DT10"/>
  <c r="DT11"/>
  <c r="DT12"/>
  <c r="DT13"/>
  <c r="DT14"/>
  <c r="DT15"/>
  <c r="DT16"/>
  <c r="DT17"/>
  <c r="DT18"/>
  <c r="DT19"/>
  <c r="DT20"/>
  <c r="DT21"/>
  <c r="DT22"/>
  <c r="DT23"/>
  <c r="DT24"/>
  <c r="DT25"/>
  <c r="DT26"/>
  <c r="DT27"/>
  <c r="DT28"/>
  <c r="DT29"/>
  <c r="DT30"/>
  <c r="DT31"/>
  <c r="DT32"/>
  <c r="DT33"/>
  <c r="DT34"/>
  <c r="DT35"/>
  <c r="DT36"/>
  <c r="DT37"/>
  <c r="DT38"/>
  <c r="DT39"/>
  <c r="DT40"/>
  <c r="DT41"/>
  <c r="DT42"/>
  <c r="DT43"/>
  <c r="DT44"/>
  <c r="DT45"/>
  <c r="DT46"/>
  <c r="DT47"/>
  <c r="DY10"/>
  <c r="DY11"/>
  <c r="DY12"/>
  <c r="DY13"/>
  <c r="DY14"/>
  <c r="DY15"/>
  <c r="DY16"/>
  <c r="DY17"/>
  <c r="DY18"/>
  <c r="DY19"/>
  <c r="DY20"/>
  <c r="DY21"/>
  <c r="DY22"/>
  <c r="DY23"/>
  <c r="DY24"/>
  <c r="DY25"/>
  <c r="DY26"/>
  <c r="DY27"/>
  <c r="DY28"/>
  <c r="DY29"/>
  <c r="DY30"/>
  <c r="DY31"/>
  <c r="DY32"/>
  <c r="DY33"/>
  <c r="DY34"/>
  <c r="DY35"/>
  <c r="DY36"/>
  <c r="DY37"/>
  <c r="DY38"/>
  <c r="DY39"/>
  <c r="DY40"/>
  <c r="DY41"/>
  <c r="DY42"/>
  <c r="DY43"/>
  <c r="DY44"/>
  <c r="DY45"/>
  <c r="DY46"/>
  <c r="DY47"/>
  <c r="ED10"/>
  <c r="ED11"/>
  <c r="ED12"/>
  <c r="ED13"/>
  <c r="ED14"/>
  <c r="ED15"/>
  <c r="ED16"/>
  <c r="ED17"/>
  <c r="ED18"/>
  <c r="ED19"/>
  <c r="ED20"/>
  <c r="ED21"/>
  <c r="ED22"/>
  <c r="ED23"/>
  <c r="ED24"/>
  <c r="ED25"/>
  <c r="ED26"/>
  <c r="ED27"/>
  <c r="ED28"/>
  <c r="ED29"/>
  <c r="ED30"/>
  <c r="ED31"/>
  <c r="ED32"/>
  <c r="ED33"/>
  <c r="ED34"/>
  <c r="ED35"/>
  <c r="ED36"/>
  <c r="ED37"/>
  <c r="ED38"/>
  <c r="ED39"/>
  <c r="ED40"/>
  <c r="ED41"/>
  <c r="ED42"/>
  <c r="ED43"/>
  <c r="ED44"/>
  <c r="ED45"/>
  <c r="ED46"/>
  <c r="ED47"/>
  <c r="DU10"/>
  <c r="DU11"/>
  <c r="DU12"/>
  <c r="DU13"/>
  <c r="DU14"/>
  <c r="DU15"/>
  <c r="DU16"/>
  <c r="DU17"/>
  <c r="DU18"/>
  <c r="DU19"/>
  <c r="DU20"/>
  <c r="DU21"/>
  <c r="DU22"/>
  <c r="DU23"/>
  <c r="DU24"/>
  <c r="DU25"/>
  <c r="DU26"/>
  <c r="DU27"/>
  <c r="DU28"/>
  <c r="DU29"/>
  <c r="DU30"/>
  <c r="DU31"/>
  <c r="DU32"/>
  <c r="DU33"/>
  <c r="DU34"/>
  <c r="DU35"/>
  <c r="DU36"/>
  <c r="DU37"/>
  <c r="DU38"/>
  <c r="DU39"/>
  <c r="DU40"/>
  <c r="DU41"/>
  <c r="DU42"/>
  <c r="DU43"/>
  <c r="DU44"/>
  <c r="DU45"/>
  <c r="DU46"/>
  <c r="DU47"/>
  <c r="DZ10"/>
  <c r="DZ11"/>
  <c r="DZ12"/>
  <c r="DZ13"/>
  <c r="DZ14"/>
  <c r="DZ15"/>
  <c r="DZ16"/>
  <c r="DZ17"/>
  <c r="DZ18"/>
  <c r="DZ19"/>
  <c r="DZ20"/>
  <c r="DZ21"/>
  <c r="DZ22"/>
  <c r="DZ23"/>
  <c r="DZ24"/>
  <c r="DZ25"/>
  <c r="DZ26"/>
  <c r="DZ27"/>
  <c r="DZ28"/>
  <c r="DZ29"/>
  <c r="DZ30"/>
  <c r="DZ31"/>
  <c r="DZ32"/>
  <c r="DZ33"/>
  <c r="DZ34"/>
  <c r="DZ35"/>
  <c r="DZ36"/>
  <c r="DZ37"/>
  <c r="DZ38"/>
  <c r="DZ39"/>
  <c r="DZ40"/>
  <c r="DZ41"/>
  <c r="DZ42"/>
  <c r="DZ43"/>
  <c r="DZ44"/>
  <c r="DZ45"/>
  <c r="DZ46"/>
  <c r="DZ47"/>
  <c r="EE10"/>
  <c r="EE11"/>
  <c r="EE12"/>
  <c r="EE13"/>
  <c r="EE14"/>
  <c r="EE15"/>
  <c r="EE16"/>
  <c r="EE17"/>
  <c r="EE18"/>
  <c r="EE19"/>
  <c r="EE20"/>
  <c r="EE21"/>
  <c r="EE22"/>
  <c r="EE23"/>
  <c r="EE24"/>
  <c r="EE25"/>
  <c r="EE26"/>
  <c r="EE27"/>
  <c r="EE28"/>
  <c r="EE29"/>
  <c r="EE30"/>
  <c r="EE31"/>
  <c r="EE32"/>
  <c r="EE33"/>
  <c r="EE34"/>
  <c r="EE35"/>
  <c r="EE36"/>
  <c r="EE37"/>
  <c r="EE38"/>
  <c r="EE39"/>
  <c r="EE40"/>
  <c r="EE41"/>
  <c r="EE42"/>
  <c r="EE43"/>
  <c r="EE44"/>
  <c r="EE45"/>
  <c r="EE46"/>
  <c r="EE47"/>
  <c r="DV10"/>
  <c r="DV11"/>
  <c r="DV12"/>
  <c r="DV13"/>
  <c r="DV14"/>
  <c r="DV15"/>
  <c r="DV16"/>
  <c r="DV17"/>
  <c r="DV18"/>
  <c r="DV19"/>
  <c r="DV20"/>
  <c r="DV21"/>
  <c r="DV22"/>
  <c r="DV23"/>
  <c r="DV24"/>
  <c r="DV25"/>
  <c r="DV26"/>
  <c r="DV27"/>
  <c r="DV28"/>
  <c r="DV29"/>
  <c r="DV30"/>
  <c r="DV31"/>
  <c r="DV32"/>
  <c r="DV33"/>
  <c r="DV34"/>
  <c r="DV35"/>
  <c r="DV36"/>
  <c r="DV37"/>
  <c r="DV38"/>
  <c r="DV39"/>
  <c r="DV40"/>
  <c r="DV41"/>
  <c r="DV42"/>
  <c r="DV43"/>
  <c r="DV44"/>
  <c r="DV45"/>
  <c r="DV46"/>
  <c r="DV47"/>
  <c r="EA10"/>
  <c r="EA11"/>
  <c r="EA12"/>
  <c r="EA13"/>
  <c r="EA14"/>
  <c r="EA15"/>
  <c r="EA16"/>
  <c r="EA17"/>
  <c r="EA18"/>
  <c r="EA19"/>
  <c r="EA20"/>
  <c r="EA21"/>
  <c r="EA22"/>
  <c r="EA23"/>
  <c r="EA24"/>
  <c r="EA25"/>
  <c r="EA26"/>
  <c r="EA27"/>
  <c r="EA28"/>
  <c r="EA29"/>
  <c r="EA30"/>
  <c r="EA31"/>
  <c r="EA32"/>
  <c r="EA33"/>
  <c r="EA34"/>
  <c r="EA35"/>
  <c r="EA36"/>
  <c r="EA37"/>
  <c r="EA38"/>
  <c r="EA39"/>
  <c r="EA40"/>
  <c r="EA41"/>
  <c r="EA42"/>
  <c r="EA43"/>
  <c r="EA44"/>
  <c r="EA45"/>
  <c r="EA46"/>
  <c r="EA47"/>
  <c r="EF10"/>
  <c r="EF11"/>
  <c r="EF12"/>
  <c r="EF13"/>
  <c r="EF14"/>
  <c r="EF15"/>
  <c r="EF16"/>
  <c r="EF17"/>
  <c r="EF18"/>
  <c r="EF19"/>
  <c r="EF20"/>
  <c r="EF21"/>
  <c r="EF22"/>
  <c r="EF23"/>
  <c r="EF24"/>
  <c r="EF25"/>
  <c r="EF26"/>
  <c r="EF27"/>
  <c r="EF28"/>
  <c r="EF29"/>
  <c r="EF30"/>
  <c r="EF31"/>
  <c r="EF32"/>
  <c r="EF33"/>
  <c r="EF34"/>
  <c r="EF35"/>
  <c r="EF36"/>
  <c r="EF37"/>
  <c r="EF38"/>
  <c r="EF39"/>
  <c r="EF40"/>
  <c r="EF41"/>
  <c r="EF42"/>
  <c r="EF43"/>
  <c r="EF44"/>
  <c r="EF45"/>
  <c r="EF46"/>
  <c r="EF47"/>
  <c r="M81"/>
  <c r="M43" i="7" s="1"/>
  <c r="DC10" i="36"/>
  <c r="DC11"/>
  <c r="DC12"/>
  <c r="DC13"/>
  <c r="DC14"/>
  <c r="DC15"/>
  <c r="DC16"/>
  <c r="DC17"/>
  <c r="DC18"/>
  <c r="DC19"/>
  <c r="DC20"/>
  <c r="DC21"/>
  <c r="DC22"/>
  <c r="DC23"/>
  <c r="DC24"/>
  <c r="DC25"/>
  <c r="DC26"/>
  <c r="DC27"/>
  <c r="DC28"/>
  <c r="DC29"/>
  <c r="DC30"/>
  <c r="DC31"/>
  <c r="DC32"/>
  <c r="DC33"/>
  <c r="DC34"/>
  <c r="DC35"/>
  <c r="DC36"/>
  <c r="DC37"/>
  <c r="DC38"/>
  <c r="DC39"/>
  <c r="DC40"/>
  <c r="DC41"/>
  <c r="DC42"/>
  <c r="DC43"/>
  <c r="DC44"/>
  <c r="DC45"/>
  <c r="DC46"/>
  <c r="DC47"/>
  <c r="DH10"/>
  <c r="DH11"/>
  <c r="DH12"/>
  <c r="DH13"/>
  <c r="DH14"/>
  <c r="DH15"/>
  <c r="DH16"/>
  <c r="DH17"/>
  <c r="DH18"/>
  <c r="DH19"/>
  <c r="DH20"/>
  <c r="DH21"/>
  <c r="DH22"/>
  <c r="DH23"/>
  <c r="DH24"/>
  <c r="DH25"/>
  <c r="DH26"/>
  <c r="DH27"/>
  <c r="DH28"/>
  <c r="DH29"/>
  <c r="DH30"/>
  <c r="DH31"/>
  <c r="DH32"/>
  <c r="DH33"/>
  <c r="DH34"/>
  <c r="DH35"/>
  <c r="DH36"/>
  <c r="DH37"/>
  <c r="DH38"/>
  <c r="DH39"/>
  <c r="DH40"/>
  <c r="DH41"/>
  <c r="DH42"/>
  <c r="DH43"/>
  <c r="DH44"/>
  <c r="DH45"/>
  <c r="DH46"/>
  <c r="DH47"/>
  <c r="DM10"/>
  <c r="DM11"/>
  <c r="DM12"/>
  <c r="DM13"/>
  <c r="DM14"/>
  <c r="DM15"/>
  <c r="DM16"/>
  <c r="DM17"/>
  <c r="DM18"/>
  <c r="DM19"/>
  <c r="DM20"/>
  <c r="DM21"/>
  <c r="DM22"/>
  <c r="DM23"/>
  <c r="DM24"/>
  <c r="DM25"/>
  <c r="DM26"/>
  <c r="DM27"/>
  <c r="DM28"/>
  <c r="DM29"/>
  <c r="DM30"/>
  <c r="DM31"/>
  <c r="DM32"/>
  <c r="DM33"/>
  <c r="DM34"/>
  <c r="DM35"/>
  <c r="DM36"/>
  <c r="DM37"/>
  <c r="DM38"/>
  <c r="DM39"/>
  <c r="DM40"/>
  <c r="DM41"/>
  <c r="DM42"/>
  <c r="DM43"/>
  <c r="DM44"/>
  <c r="DM45"/>
  <c r="DM46"/>
  <c r="DM47"/>
  <c r="DD10"/>
  <c r="DD11"/>
  <c r="DD12"/>
  <c r="DD13"/>
  <c r="DD14"/>
  <c r="DD15"/>
  <c r="DD16"/>
  <c r="DD17"/>
  <c r="DD18"/>
  <c r="DD19"/>
  <c r="DD20"/>
  <c r="DD21"/>
  <c r="DD22"/>
  <c r="DD23"/>
  <c r="DD24"/>
  <c r="DD25"/>
  <c r="DD26"/>
  <c r="DD27"/>
  <c r="DD28"/>
  <c r="DD29"/>
  <c r="DD30"/>
  <c r="DD31"/>
  <c r="DD32"/>
  <c r="DD33"/>
  <c r="DD34"/>
  <c r="DD35"/>
  <c r="DD36"/>
  <c r="DD37"/>
  <c r="DD38"/>
  <c r="DD39"/>
  <c r="DD40"/>
  <c r="DD41"/>
  <c r="DD42"/>
  <c r="DD43"/>
  <c r="DD44"/>
  <c r="DD45"/>
  <c r="DD46"/>
  <c r="DD47"/>
  <c r="DI10"/>
  <c r="DI11"/>
  <c r="DI12"/>
  <c r="DI13"/>
  <c r="DI14"/>
  <c r="DI15"/>
  <c r="DI16"/>
  <c r="DI17"/>
  <c r="DI18"/>
  <c r="DI19"/>
  <c r="DI20"/>
  <c r="DI21"/>
  <c r="DI22"/>
  <c r="DI23"/>
  <c r="DI24"/>
  <c r="DI25"/>
  <c r="DI26"/>
  <c r="DI27"/>
  <c r="DI28"/>
  <c r="DI29"/>
  <c r="DI30"/>
  <c r="DI31"/>
  <c r="DI32"/>
  <c r="DI33"/>
  <c r="DI34"/>
  <c r="DI35"/>
  <c r="DI36"/>
  <c r="DI37"/>
  <c r="DI38"/>
  <c r="DI39"/>
  <c r="DI40"/>
  <c r="DI41"/>
  <c r="DI42"/>
  <c r="DI43"/>
  <c r="DI44"/>
  <c r="DI45"/>
  <c r="DI46"/>
  <c r="DI47"/>
  <c r="DN10"/>
  <c r="DN11"/>
  <c r="DN12"/>
  <c r="DN13"/>
  <c r="DN14"/>
  <c r="DN15"/>
  <c r="DN16"/>
  <c r="DN17"/>
  <c r="DN18"/>
  <c r="DN19"/>
  <c r="DN20"/>
  <c r="DN21"/>
  <c r="DN22"/>
  <c r="DN23"/>
  <c r="DN24"/>
  <c r="DN25"/>
  <c r="DN26"/>
  <c r="DN27"/>
  <c r="DN28"/>
  <c r="DN29"/>
  <c r="DN30"/>
  <c r="DN31"/>
  <c r="DN32"/>
  <c r="DN33"/>
  <c r="DN34"/>
  <c r="DN35"/>
  <c r="DN36"/>
  <c r="DN37"/>
  <c r="DN38"/>
  <c r="DN39"/>
  <c r="DN40"/>
  <c r="DN41"/>
  <c r="DN42"/>
  <c r="DN43"/>
  <c r="DN44"/>
  <c r="DN45"/>
  <c r="DN46"/>
  <c r="DN47"/>
  <c r="DE10"/>
  <c r="DE11"/>
  <c r="DE12"/>
  <c r="DE13"/>
  <c r="DE14"/>
  <c r="DE15"/>
  <c r="DE16"/>
  <c r="DE17"/>
  <c r="DE18"/>
  <c r="DE19"/>
  <c r="DE20"/>
  <c r="DE21"/>
  <c r="DE22"/>
  <c r="DE23"/>
  <c r="DE24"/>
  <c r="DE25"/>
  <c r="DE26"/>
  <c r="DE27"/>
  <c r="DE28"/>
  <c r="DE29"/>
  <c r="DE30"/>
  <c r="DE31"/>
  <c r="DE32"/>
  <c r="DE33"/>
  <c r="DE34"/>
  <c r="DE35"/>
  <c r="DE36"/>
  <c r="DE37"/>
  <c r="DE38"/>
  <c r="DE39"/>
  <c r="DE40"/>
  <c r="DE41"/>
  <c r="DE42"/>
  <c r="DE43"/>
  <c r="DE44"/>
  <c r="DE45"/>
  <c r="DE46"/>
  <c r="DE47"/>
  <c r="DJ10"/>
  <c r="DJ11"/>
  <c r="DJ12"/>
  <c r="DJ13"/>
  <c r="DJ14"/>
  <c r="DJ15"/>
  <c r="DJ16"/>
  <c r="DJ17"/>
  <c r="DJ18"/>
  <c r="DJ19"/>
  <c r="DJ20"/>
  <c r="DJ21"/>
  <c r="DJ22"/>
  <c r="DJ23"/>
  <c r="DJ24"/>
  <c r="DJ25"/>
  <c r="DJ26"/>
  <c r="DJ27"/>
  <c r="DJ28"/>
  <c r="DJ29"/>
  <c r="DJ30"/>
  <c r="DJ31"/>
  <c r="DJ32"/>
  <c r="DJ33"/>
  <c r="DJ34"/>
  <c r="DJ35"/>
  <c r="DJ36"/>
  <c r="DJ37"/>
  <c r="DJ38"/>
  <c r="DJ39"/>
  <c r="DJ40"/>
  <c r="DJ41"/>
  <c r="DJ42"/>
  <c r="DJ43"/>
  <c r="DJ44"/>
  <c r="DJ45"/>
  <c r="DJ46"/>
  <c r="DJ47"/>
  <c r="DO10"/>
  <c r="DO11"/>
  <c r="DO12"/>
  <c r="DO13"/>
  <c r="DO14"/>
  <c r="DO15"/>
  <c r="DO16"/>
  <c r="DO17"/>
  <c r="DO18"/>
  <c r="DO19"/>
  <c r="DO20"/>
  <c r="DO21"/>
  <c r="DO22"/>
  <c r="DO23"/>
  <c r="DO24"/>
  <c r="DO25"/>
  <c r="DO26"/>
  <c r="DO27"/>
  <c r="DO28"/>
  <c r="DO29"/>
  <c r="DO30"/>
  <c r="DO31"/>
  <c r="DO32"/>
  <c r="DO33"/>
  <c r="DO34"/>
  <c r="DO35"/>
  <c r="DO36"/>
  <c r="DO37"/>
  <c r="DO38"/>
  <c r="DO39"/>
  <c r="DO40"/>
  <c r="DO41"/>
  <c r="DO42"/>
  <c r="DO43"/>
  <c r="DO44"/>
  <c r="DO45"/>
  <c r="DO46"/>
  <c r="DO47"/>
  <c r="DF10"/>
  <c r="DF11"/>
  <c r="DF12"/>
  <c r="DF13"/>
  <c r="DF14"/>
  <c r="DF15"/>
  <c r="DF16"/>
  <c r="DF17"/>
  <c r="DF18"/>
  <c r="DF19"/>
  <c r="DF20"/>
  <c r="DF21"/>
  <c r="DF22"/>
  <c r="DF23"/>
  <c r="DF24"/>
  <c r="DF25"/>
  <c r="DF26"/>
  <c r="DF27"/>
  <c r="DF28"/>
  <c r="DF29"/>
  <c r="DF30"/>
  <c r="DF31"/>
  <c r="DF32"/>
  <c r="DF33"/>
  <c r="DF34"/>
  <c r="DF35"/>
  <c r="DF36"/>
  <c r="DF37"/>
  <c r="DF38"/>
  <c r="DF39"/>
  <c r="DF40"/>
  <c r="DF41"/>
  <c r="DF42"/>
  <c r="DF43"/>
  <c r="DF44"/>
  <c r="DF45"/>
  <c r="DF46"/>
  <c r="DF47"/>
  <c r="DK10"/>
  <c r="DK11"/>
  <c r="DK12"/>
  <c r="DK13"/>
  <c r="DK14"/>
  <c r="DK15"/>
  <c r="DK16"/>
  <c r="DK17"/>
  <c r="DK18"/>
  <c r="DK19"/>
  <c r="DK20"/>
  <c r="DK21"/>
  <c r="DK22"/>
  <c r="DK23"/>
  <c r="DK24"/>
  <c r="DK25"/>
  <c r="DK26"/>
  <c r="DK27"/>
  <c r="DK28"/>
  <c r="DK29"/>
  <c r="DK30"/>
  <c r="DK31"/>
  <c r="DK32"/>
  <c r="DK33"/>
  <c r="DK34"/>
  <c r="DK35"/>
  <c r="DK36"/>
  <c r="DK37"/>
  <c r="DK38"/>
  <c r="DK39"/>
  <c r="DK40"/>
  <c r="DK41"/>
  <c r="DK42"/>
  <c r="DK43"/>
  <c r="DK44"/>
  <c r="DK45"/>
  <c r="DK46"/>
  <c r="DK47"/>
  <c r="DP10"/>
  <c r="DP11"/>
  <c r="DP12"/>
  <c r="DP13"/>
  <c r="DP14"/>
  <c r="DP15"/>
  <c r="DP16"/>
  <c r="DP17"/>
  <c r="DP18"/>
  <c r="DP19"/>
  <c r="DP20"/>
  <c r="DP21"/>
  <c r="DP22"/>
  <c r="DP23"/>
  <c r="DP24"/>
  <c r="DP25"/>
  <c r="DP26"/>
  <c r="DP27"/>
  <c r="DP28"/>
  <c r="DP29"/>
  <c r="DP30"/>
  <c r="DP31"/>
  <c r="DP32"/>
  <c r="DP33"/>
  <c r="DP34"/>
  <c r="DP35"/>
  <c r="DP36"/>
  <c r="DP37"/>
  <c r="DP38"/>
  <c r="DP39"/>
  <c r="DP40"/>
  <c r="DP41"/>
  <c r="DP42"/>
  <c r="DP43"/>
  <c r="DP44"/>
  <c r="DP45"/>
  <c r="DP46"/>
  <c r="DP47"/>
  <c r="DG10"/>
  <c r="DG11"/>
  <c r="DG12"/>
  <c r="DG13"/>
  <c r="DG14"/>
  <c r="DG15"/>
  <c r="DG16"/>
  <c r="DG17"/>
  <c r="DG18"/>
  <c r="DG19"/>
  <c r="DG20"/>
  <c r="DG21"/>
  <c r="DG22"/>
  <c r="DG23"/>
  <c r="DG24"/>
  <c r="DG25"/>
  <c r="DG26"/>
  <c r="DG27"/>
  <c r="DG28"/>
  <c r="DG29"/>
  <c r="DG30"/>
  <c r="DG31"/>
  <c r="DG32"/>
  <c r="DG33"/>
  <c r="DG34"/>
  <c r="DG35"/>
  <c r="DG36"/>
  <c r="DG37"/>
  <c r="DG38"/>
  <c r="DG39"/>
  <c r="DG40"/>
  <c r="DG41"/>
  <c r="DG42"/>
  <c r="DG43"/>
  <c r="DG44"/>
  <c r="DG45"/>
  <c r="DG46"/>
  <c r="DG47"/>
  <c r="DL10"/>
  <c r="DL11"/>
  <c r="DL12"/>
  <c r="DL13"/>
  <c r="DL14"/>
  <c r="DL15"/>
  <c r="DL16"/>
  <c r="DL17"/>
  <c r="DL18"/>
  <c r="DL19"/>
  <c r="DL20"/>
  <c r="DL21"/>
  <c r="DL22"/>
  <c r="DL23"/>
  <c r="DL24"/>
  <c r="DL25"/>
  <c r="DL26"/>
  <c r="DL27"/>
  <c r="DL28"/>
  <c r="DL29"/>
  <c r="DL30"/>
  <c r="DL31"/>
  <c r="DL32"/>
  <c r="DL33"/>
  <c r="DL34"/>
  <c r="DL35"/>
  <c r="DL36"/>
  <c r="DL37"/>
  <c r="DL38"/>
  <c r="DL39"/>
  <c r="DL40"/>
  <c r="DL41"/>
  <c r="DL42"/>
  <c r="DL43"/>
  <c r="DL44"/>
  <c r="DL45"/>
  <c r="DL46"/>
  <c r="DL47"/>
  <c r="DQ10"/>
  <c r="DQ11"/>
  <c r="DQ12"/>
  <c r="DQ13"/>
  <c r="DQ14"/>
  <c r="DQ15"/>
  <c r="DQ16"/>
  <c r="DQ17"/>
  <c r="DQ18"/>
  <c r="DQ19"/>
  <c r="DQ20"/>
  <c r="DQ21"/>
  <c r="DQ22"/>
  <c r="DQ23"/>
  <c r="DQ24"/>
  <c r="DQ25"/>
  <c r="DQ26"/>
  <c r="DQ27"/>
  <c r="DQ28"/>
  <c r="DQ29"/>
  <c r="DQ30"/>
  <c r="DQ31"/>
  <c r="DQ32"/>
  <c r="DQ33"/>
  <c r="DQ34"/>
  <c r="DQ35"/>
  <c r="DQ36"/>
  <c r="DQ37"/>
  <c r="DQ38"/>
  <c r="DQ39"/>
  <c r="DQ40"/>
  <c r="DQ41"/>
  <c r="DQ42"/>
  <c r="DQ43"/>
  <c r="DQ44"/>
  <c r="DQ45"/>
  <c r="DQ46"/>
  <c r="DQ47"/>
  <c r="J7" i="7"/>
  <c r="GT10" i="36"/>
  <c r="GT11"/>
  <c r="GT12"/>
  <c r="GT13"/>
  <c r="GT14"/>
  <c r="GT15"/>
  <c r="GT16"/>
  <c r="GT17"/>
  <c r="GT18"/>
  <c r="GT19"/>
  <c r="GT20"/>
  <c r="GT21"/>
  <c r="GT22"/>
  <c r="GT23"/>
  <c r="GT24"/>
  <c r="GT25"/>
  <c r="GT26"/>
  <c r="GT27"/>
  <c r="GT28"/>
  <c r="GT29"/>
  <c r="GT30"/>
  <c r="GT31"/>
  <c r="GT32"/>
  <c r="GT33"/>
  <c r="GT34"/>
  <c r="GT35"/>
  <c r="GT36"/>
  <c r="GT37"/>
  <c r="GT38"/>
  <c r="GT39"/>
  <c r="GT40"/>
  <c r="GT41"/>
  <c r="GT42"/>
  <c r="GT43"/>
  <c r="GT44"/>
  <c r="GT45"/>
  <c r="GT46"/>
  <c r="GT47"/>
  <c r="GU10"/>
  <c r="GU11"/>
  <c r="GU12"/>
  <c r="GU13"/>
  <c r="GU14"/>
  <c r="GU15"/>
  <c r="GU16"/>
  <c r="GU17"/>
  <c r="GU18"/>
  <c r="GU19"/>
  <c r="GU20"/>
  <c r="GU21"/>
  <c r="GU22"/>
  <c r="GU23"/>
  <c r="GU24"/>
  <c r="GU25"/>
  <c r="GU26"/>
  <c r="GU27"/>
  <c r="GU28"/>
  <c r="GU29"/>
  <c r="GU30"/>
  <c r="GU31"/>
  <c r="GU32"/>
  <c r="GU33"/>
  <c r="GU34"/>
  <c r="GU35"/>
  <c r="GU36"/>
  <c r="GU37"/>
  <c r="GU38"/>
  <c r="GU39"/>
  <c r="GU40"/>
  <c r="GU41"/>
  <c r="GU42"/>
  <c r="GU43"/>
  <c r="GU44"/>
  <c r="GU45"/>
  <c r="GU46"/>
  <c r="GU47"/>
  <c r="GV10"/>
  <c r="GV11"/>
  <c r="GV12"/>
  <c r="GV13"/>
  <c r="GV14"/>
  <c r="GV15"/>
  <c r="GV16"/>
  <c r="GV17"/>
  <c r="GV18"/>
  <c r="GV19"/>
  <c r="GV20"/>
  <c r="GV21"/>
  <c r="GV22"/>
  <c r="GV23"/>
  <c r="GV24"/>
  <c r="GV25"/>
  <c r="GV26"/>
  <c r="GV27"/>
  <c r="GV28"/>
  <c r="GV29"/>
  <c r="GV30"/>
  <c r="GV31"/>
  <c r="GV32"/>
  <c r="GV33"/>
  <c r="GV34"/>
  <c r="GV35"/>
  <c r="GV36"/>
  <c r="GV37"/>
  <c r="GV38"/>
  <c r="GV39"/>
  <c r="GV40"/>
  <c r="GV41"/>
  <c r="GV42"/>
  <c r="GV43"/>
  <c r="GV44"/>
  <c r="GV45"/>
  <c r="GV46"/>
  <c r="GV47"/>
  <c r="GW10"/>
  <c r="GW11"/>
  <c r="GW12"/>
  <c r="GW13"/>
  <c r="GW14"/>
  <c r="GW15"/>
  <c r="GW16"/>
  <c r="GW17"/>
  <c r="GW18"/>
  <c r="GW19"/>
  <c r="GW20"/>
  <c r="GW21"/>
  <c r="GW22"/>
  <c r="GW23"/>
  <c r="GW24"/>
  <c r="GW25"/>
  <c r="GW26"/>
  <c r="GW27"/>
  <c r="GW28"/>
  <c r="GW29"/>
  <c r="GW30"/>
  <c r="GW31"/>
  <c r="GW32"/>
  <c r="GW33"/>
  <c r="GW34"/>
  <c r="GW35"/>
  <c r="GW36"/>
  <c r="GW37"/>
  <c r="GW38"/>
  <c r="GW39"/>
  <c r="GW40"/>
  <c r="GW41"/>
  <c r="GW42"/>
  <c r="GW43"/>
  <c r="GW44"/>
  <c r="GW45"/>
  <c r="GW46"/>
  <c r="GW47"/>
  <c r="GX10"/>
  <c r="GX11"/>
  <c r="GX12"/>
  <c r="GX13"/>
  <c r="GX14"/>
  <c r="GX15"/>
  <c r="GX16"/>
  <c r="GX17"/>
  <c r="GX18"/>
  <c r="GX19"/>
  <c r="GX20"/>
  <c r="GX21"/>
  <c r="GX22"/>
  <c r="GX23"/>
  <c r="GX24"/>
  <c r="GX25"/>
  <c r="GX26"/>
  <c r="GX27"/>
  <c r="GX28"/>
  <c r="GX29"/>
  <c r="GX30"/>
  <c r="GX31"/>
  <c r="GX32"/>
  <c r="GX33"/>
  <c r="GX34"/>
  <c r="GX35"/>
  <c r="GX36"/>
  <c r="GX37"/>
  <c r="GX38"/>
  <c r="GX39"/>
  <c r="GX40"/>
  <c r="GX41"/>
  <c r="GX42"/>
  <c r="GX43"/>
  <c r="GX44"/>
  <c r="GX45"/>
  <c r="GX46"/>
  <c r="GX47"/>
  <c r="A127" i="15"/>
  <c r="A123"/>
  <c r="A110"/>
  <c r="A104"/>
  <c r="A103"/>
  <c r="A90"/>
  <c r="A76"/>
  <c r="A63"/>
  <c r="A15"/>
  <c r="A16"/>
  <c r="A14"/>
  <c r="U14"/>
  <c r="U127"/>
  <c r="U123"/>
  <c r="U110"/>
  <c r="U104"/>
  <c r="U103"/>
  <c r="U90"/>
  <c r="U76"/>
  <c r="U63"/>
  <c r="U15"/>
  <c r="U16"/>
  <c r="GO11" i="36"/>
  <c r="GO12"/>
  <c r="GO13"/>
  <c r="GO10"/>
  <c r="GO14"/>
  <c r="GO15"/>
  <c r="GO16"/>
  <c r="GO17"/>
  <c r="GO18"/>
  <c r="GO19"/>
  <c r="GO20"/>
  <c r="GO21"/>
  <c r="GO22"/>
  <c r="GO23"/>
  <c r="GO24"/>
  <c r="GO25"/>
  <c r="GO26"/>
  <c r="GO27"/>
  <c r="GO28"/>
  <c r="GO29"/>
  <c r="GO30"/>
  <c r="GO31"/>
  <c r="GO32"/>
  <c r="GO33"/>
  <c r="GO34"/>
  <c r="GO35"/>
  <c r="GO36"/>
  <c r="GO37"/>
  <c r="GO38"/>
  <c r="GO39"/>
  <c r="GO40"/>
  <c r="GO41"/>
  <c r="GO42"/>
  <c r="GO43"/>
  <c r="GO44"/>
  <c r="GO45"/>
  <c r="GO46"/>
  <c r="GO47"/>
  <c r="GP11"/>
  <c r="GP12"/>
  <c r="GP13"/>
  <c r="GP10"/>
  <c r="GP14"/>
  <c r="GP15"/>
  <c r="GP16"/>
  <c r="GP17"/>
  <c r="GP18"/>
  <c r="GP19"/>
  <c r="GP20"/>
  <c r="GP21"/>
  <c r="GP22"/>
  <c r="GP23"/>
  <c r="GP24"/>
  <c r="GP25"/>
  <c r="GP26"/>
  <c r="GP27"/>
  <c r="GP28"/>
  <c r="GP29"/>
  <c r="GP30"/>
  <c r="GP31"/>
  <c r="GP32"/>
  <c r="GP33"/>
  <c r="GP34"/>
  <c r="GP35"/>
  <c r="GP36"/>
  <c r="GP37"/>
  <c r="GP38"/>
  <c r="GP39"/>
  <c r="GP40"/>
  <c r="GP41"/>
  <c r="GP42"/>
  <c r="GP43"/>
  <c r="GP44"/>
  <c r="GP45"/>
  <c r="GP46"/>
  <c r="GP47"/>
  <c r="GQ11"/>
  <c r="GQ12"/>
  <c r="GQ13"/>
  <c r="GQ10"/>
  <c r="GQ14"/>
  <c r="GQ15"/>
  <c r="GQ16"/>
  <c r="GQ17"/>
  <c r="GQ18"/>
  <c r="GQ19"/>
  <c r="GQ20"/>
  <c r="GQ21"/>
  <c r="GQ22"/>
  <c r="GQ23"/>
  <c r="GQ24"/>
  <c r="GQ25"/>
  <c r="GQ26"/>
  <c r="GQ27"/>
  <c r="GQ28"/>
  <c r="GQ29"/>
  <c r="GQ30"/>
  <c r="GQ31"/>
  <c r="GQ32"/>
  <c r="GQ33"/>
  <c r="GQ34"/>
  <c r="GQ35"/>
  <c r="GQ36"/>
  <c r="GQ37"/>
  <c r="GQ38"/>
  <c r="GQ39"/>
  <c r="GQ40"/>
  <c r="GQ41"/>
  <c r="GQ42"/>
  <c r="GQ43"/>
  <c r="GQ44"/>
  <c r="GQ45"/>
  <c r="GQ46"/>
  <c r="GQ47"/>
  <c r="GR11"/>
  <c r="GR12"/>
  <c r="GR13"/>
  <c r="GR10"/>
  <c r="GR14"/>
  <c r="GR15"/>
  <c r="GR16"/>
  <c r="GR17"/>
  <c r="GR18"/>
  <c r="GR19"/>
  <c r="GR20"/>
  <c r="GR21"/>
  <c r="GR22"/>
  <c r="GR23"/>
  <c r="GR24"/>
  <c r="GR25"/>
  <c r="GR26"/>
  <c r="GR27"/>
  <c r="GR28"/>
  <c r="GR29"/>
  <c r="GR30"/>
  <c r="GR31"/>
  <c r="GR32"/>
  <c r="GR33"/>
  <c r="GR34"/>
  <c r="GR35"/>
  <c r="GR36"/>
  <c r="GR37"/>
  <c r="GR38"/>
  <c r="GR39"/>
  <c r="GR40"/>
  <c r="GR41"/>
  <c r="GR42"/>
  <c r="GR43"/>
  <c r="GR44"/>
  <c r="GR45"/>
  <c r="GR46"/>
  <c r="GR47"/>
  <c r="GS11"/>
  <c r="GS12"/>
  <c r="GS13"/>
  <c r="GS10"/>
  <c r="GS14"/>
  <c r="GS15"/>
  <c r="GS16"/>
  <c r="GS17"/>
  <c r="GS18"/>
  <c r="GS19"/>
  <c r="GS20"/>
  <c r="GS21"/>
  <c r="GS22"/>
  <c r="GS23"/>
  <c r="GS24"/>
  <c r="GS25"/>
  <c r="GS26"/>
  <c r="GS27"/>
  <c r="GS28"/>
  <c r="GS29"/>
  <c r="GS30"/>
  <c r="GS31"/>
  <c r="GS32"/>
  <c r="GS33"/>
  <c r="GS34"/>
  <c r="GS35"/>
  <c r="GS36"/>
  <c r="GS37"/>
  <c r="GS38"/>
  <c r="GS39"/>
  <c r="GS40"/>
  <c r="GS41"/>
  <c r="GS42"/>
  <c r="GS43"/>
  <c r="GS44"/>
  <c r="GS45"/>
  <c r="GS46"/>
  <c r="GS47"/>
  <c r="HI11"/>
  <c r="HI12"/>
  <c r="HI13"/>
  <c r="HI10"/>
  <c r="HI14"/>
  <c r="HI15"/>
  <c r="HI16"/>
  <c r="HI17"/>
  <c r="HI18"/>
  <c r="HI19"/>
  <c r="HI20"/>
  <c r="HI21"/>
  <c r="HI22"/>
  <c r="HI23"/>
  <c r="HI24"/>
  <c r="HI25"/>
  <c r="HI26"/>
  <c r="HI27"/>
  <c r="HI28"/>
  <c r="HI29"/>
  <c r="HI30"/>
  <c r="HI31"/>
  <c r="HI32"/>
  <c r="HI33"/>
  <c r="HI34"/>
  <c r="HI35"/>
  <c r="HI36"/>
  <c r="HI37"/>
  <c r="HI38"/>
  <c r="HI39"/>
  <c r="HI40"/>
  <c r="HI41"/>
  <c r="HI42"/>
  <c r="HI43"/>
  <c r="HI44"/>
  <c r="HI45"/>
  <c r="HI46"/>
  <c r="HI47"/>
  <c r="HJ11"/>
  <c r="HJ12"/>
  <c r="HJ13"/>
  <c r="HJ10"/>
  <c r="HJ14"/>
  <c r="HJ15"/>
  <c r="HJ16"/>
  <c r="HJ17"/>
  <c r="HJ18"/>
  <c r="HJ19"/>
  <c r="HJ20"/>
  <c r="HJ21"/>
  <c r="HJ22"/>
  <c r="HJ23"/>
  <c r="HJ24"/>
  <c r="HJ25"/>
  <c r="HJ26"/>
  <c r="HJ27"/>
  <c r="HJ28"/>
  <c r="HJ29"/>
  <c r="HJ30"/>
  <c r="HJ31"/>
  <c r="HJ32"/>
  <c r="HJ33"/>
  <c r="HJ34"/>
  <c r="HJ35"/>
  <c r="HJ36"/>
  <c r="HJ37"/>
  <c r="HJ38"/>
  <c r="HJ39"/>
  <c r="HJ40"/>
  <c r="HJ41"/>
  <c r="HJ42"/>
  <c r="HJ43"/>
  <c r="HJ44"/>
  <c r="HJ45"/>
  <c r="HJ46"/>
  <c r="HJ47"/>
  <c r="HK11"/>
  <c r="HK12"/>
  <c r="HK13"/>
  <c r="HK10"/>
  <c r="HK14"/>
  <c r="HK15"/>
  <c r="HK16"/>
  <c r="HK17"/>
  <c r="HK18"/>
  <c r="HK19"/>
  <c r="HK20"/>
  <c r="HK21"/>
  <c r="HK22"/>
  <c r="HK23"/>
  <c r="HK24"/>
  <c r="HK25"/>
  <c r="HK26"/>
  <c r="HK27"/>
  <c r="HK28"/>
  <c r="HK29"/>
  <c r="HK30"/>
  <c r="HK31"/>
  <c r="HK32"/>
  <c r="HK33"/>
  <c r="HK34"/>
  <c r="HK35"/>
  <c r="HK36"/>
  <c r="HK37"/>
  <c r="HK38"/>
  <c r="HK39"/>
  <c r="HK40"/>
  <c r="HK41"/>
  <c r="HK42"/>
  <c r="HK43"/>
  <c r="HK44"/>
  <c r="HK45"/>
  <c r="HK46"/>
  <c r="HK47"/>
  <c r="HL11"/>
  <c r="HL12"/>
  <c r="HL13"/>
  <c r="HL10"/>
  <c r="HL14"/>
  <c r="HL15"/>
  <c r="HL16"/>
  <c r="HL17"/>
  <c r="HL18"/>
  <c r="HL19"/>
  <c r="HL20"/>
  <c r="HL21"/>
  <c r="HL22"/>
  <c r="HL23"/>
  <c r="HL24"/>
  <c r="HL25"/>
  <c r="HL26"/>
  <c r="HL27"/>
  <c r="HL28"/>
  <c r="HL29"/>
  <c r="HL30"/>
  <c r="HL31"/>
  <c r="HL32"/>
  <c r="HL33"/>
  <c r="HL34"/>
  <c r="HL35"/>
  <c r="HL36"/>
  <c r="HL37"/>
  <c r="HL38"/>
  <c r="HL39"/>
  <c r="HL40"/>
  <c r="HL41"/>
  <c r="HL42"/>
  <c r="HL43"/>
  <c r="HL44"/>
  <c r="HL45"/>
  <c r="HL46"/>
  <c r="HL47"/>
  <c r="HM11"/>
  <c r="HM12"/>
  <c r="HM13"/>
  <c r="HM10"/>
  <c r="HM14"/>
  <c r="HM15"/>
  <c r="HM16"/>
  <c r="HM17"/>
  <c r="HM18"/>
  <c r="HM19"/>
  <c r="HM20"/>
  <c r="HM21"/>
  <c r="HM22"/>
  <c r="HM23"/>
  <c r="HM24"/>
  <c r="HM25"/>
  <c r="HM26"/>
  <c r="HM27"/>
  <c r="HM28"/>
  <c r="HM29"/>
  <c r="HM30"/>
  <c r="HM31"/>
  <c r="HM32"/>
  <c r="HM33"/>
  <c r="HM34"/>
  <c r="HM35"/>
  <c r="HM36"/>
  <c r="HM37"/>
  <c r="HM38"/>
  <c r="HM39"/>
  <c r="HM40"/>
  <c r="HM41"/>
  <c r="HM42"/>
  <c r="HM43"/>
  <c r="HM44"/>
  <c r="HM45"/>
  <c r="HM46"/>
  <c r="HM47"/>
  <c r="HD11"/>
  <c r="HD12"/>
  <c r="HD13"/>
  <c r="HD10"/>
  <c r="HD14"/>
  <c r="HD15"/>
  <c r="HD16"/>
  <c r="HD17"/>
  <c r="HD18"/>
  <c r="HD19"/>
  <c r="HD20"/>
  <c r="HD21"/>
  <c r="HD22"/>
  <c r="HD23"/>
  <c r="HD24"/>
  <c r="HD25"/>
  <c r="HD26"/>
  <c r="HD27"/>
  <c r="HD28"/>
  <c r="HD29"/>
  <c r="HD30"/>
  <c r="HD31"/>
  <c r="HD32"/>
  <c r="HD33"/>
  <c r="HD34"/>
  <c r="HD35"/>
  <c r="HD36"/>
  <c r="HD37"/>
  <c r="HD38"/>
  <c r="HD39"/>
  <c r="HD40"/>
  <c r="HD41"/>
  <c r="HD42"/>
  <c r="HD43"/>
  <c r="HD44"/>
  <c r="HD45"/>
  <c r="HD46"/>
  <c r="HD47"/>
  <c r="HE11"/>
  <c r="HE12"/>
  <c r="HE13"/>
  <c r="HE10"/>
  <c r="HE14"/>
  <c r="HE15"/>
  <c r="HE16"/>
  <c r="HE17"/>
  <c r="HE18"/>
  <c r="HE19"/>
  <c r="HE20"/>
  <c r="HE21"/>
  <c r="HE22"/>
  <c r="HE23"/>
  <c r="HE24"/>
  <c r="HE25"/>
  <c r="HE26"/>
  <c r="HE27"/>
  <c r="HE28"/>
  <c r="HE29"/>
  <c r="HE30"/>
  <c r="HE31"/>
  <c r="HE32"/>
  <c r="HE33"/>
  <c r="HE34"/>
  <c r="HE35"/>
  <c r="HE36"/>
  <c r="HE37"/>
  <c r="HE38"/>
  <c r="HE39"/>
  <c r="HE40"/>
  <c r="HE41"/>
  <c r="HE42"/>
  <c r="HE43"/>
  <c r="HE44"/>
  <c r="HE45"/>
  <c r="HE46"/>
  <c r="HE47"/>
  <c r="HF11"/>
  <c r="HF12"/>
  <c r="HF13"/>
  <c r="HF10"/>
  <c r="HF14"/>
  <c r="HF15"/>
  <c r="HF16"/>
  <c r="HF17"/>
  <c r="HF18"/>
  <c r="HF19"/>
  <c r="HF20"/>
  <c r="HF21"/>
  <c r="HF22"/>
  <c r="HF23"/>
  <c r="HF24"/>
  <c r="HF25"/>
  <c r="HF26"/>
  <c r="HF27"/>
  <c r="HF28"/>
  <c r="HF29"/>
  <c r="HF30"/>
  <c r="HF31"/>
  <c r="HF32"/>
  <c r="HF33"/>
  <c r="HF34"/>
  <c r="HF35"/>
  <c r="HF36"/>
  <c r="HF37"/>
  <c r="HF38"/>
  <c r="HF39"/>
  <c r="HF40"/>
  <c r="HF41"/>
  <c r="HF42"/>
  <c r="HF43"/>
  <c r="HF44"/>
  <c r="HF45"/>
  <c r="HF46"/>
  <c r="HF47"/>
  <c r="HG11"/>
  <c r="HG12"/>
  <c r="HG13"/>
  <c r="HG10"/>
  <c r="HG14"/>
  <c r="HG15"/>
  <c r="HG16"/>
  <c r="HG17"/>
  <c r="HG18"/>
  <c r="HG19"/>
  <c r="HG20"/>
  <c r="HG21"/>
  <c r="HG22"/>
  <c r="HG23"/>
  <c r="HG24"/>
  <c r="HG25"/>
  <c r="HG26"/>
  <c r="HG27"/>
  <c r="HG28"/>
  <c r="HG29"/>
  <c r="HG30"/>
  <c r="HG31"/>
  <c r="HG32"/>
  <c r="HG33"/>
  <c r="HG34"/>
  <c r="HG35"/>
  <c r="HG36"/>
  <c r="HG37"/>
  <c r="HG38"/>
  <c r="HG39"/>
  <c r="HG40"/>
  <c r="HG41"/>
  <c r="HG42"/>
  <c r="HG43"/>
  <c r="HG44"/>
  <c r="HG45"/>
  <c r="HG46"/>
  <c r="HG47"/>
  <c r="HH11"/>
  <c r="HH12"/>
  <c r="HH13"/>
  <c r="HH10"/>
  <c r="HH14"/>
  <c r="HH15"/>
  <c r="HH16"/>
  <c r="HH17"/>
  <c r="HH18"/>
  <c r="HH19"/>
  <c r="HH20"/>
  <c r="HH21"/>
  <c r="HH22"/>
  <c r="HH23"/>
  <c r="HH24"/>
  <c r="HH25"/>
  <c r="HH26"/>
  <c r="HH27"/>
  <c r="HH28"/>
  <c r="HH29"/>
  <c r="HH30"/>
  <c r="HH31"/>
  <c r="HH32"/>
  <c r="HH33"/>
  <c r="HH34"/>
  <c r="HH35"/>
  <c r="HH36"/>
  <c r="HH37"/>
  <c r="HH38"/>
  <c r="HH39"/>
  <c r="HH40"/>
  <c r="HH41"/>
  <c r="HH42"/>
  <c r="HH43"/>
  <c r="HH44"/>
  <c r="HH45"/>
  <c r="HH46"/>
  <c r="HH47"/>
  <c r="GY11"/>
  <c r="GY12"/>
  <c r="GY13"/>
  <c r="GY10"/>
  <c r="GY14"/>
  <c r="GY15"/>
  <c r="GY16"/>
  <c r="GY17"/>
  <c r="GY18"/>
  <c r="GY19"/>
  <c r="GY20"/>
  <c r="GY21"/>
  <c r="GY22"/>
  <c r="GY23"/>
  <c r="GY24"/>
  <c r="GY25"/>
  <c r="GY26"/>
  <c r="GY27"/>
  <c r="GY28"/>
  <c r="GY29"/>
  <c r="GY30"/>
  <c r="GY31"/>
  <c r="GY32"/>
  <c r="GY33"/>
  <c r="GY34"/>
  <c r="GY35"/>
  <c r="GY36"/>
  <c r="GY37"/>
  <c r="GY38"/>
  <c r="GY39"/>
  <c r="GY40"/>
  <c r="GY41"/>
  <c r="GY42"/>
  <c r="GY43"/>
  <c r="GY44"/>
  <c r="GY45"/>
  <c r="GY46"/>
  <c r="GY47"/>
  <c r="GZ11"/>
  <c r="GZ12"/>
  <c r="GZ13"/>
  <c r="GZ10"/>
  <c r="GZ14"/>
  <c r="GZ15"/>
  <c r="GZ16"/>
  <c r="GZ17"/>
  <c r="GZ18"/>
  <c r="GZ19"/>
  <c r="GZ20"/>
  <c r="GZ21"/>
  <c r="GZ22"/>
  <c r="GZ23"/>
  <c r="GZ24"/>
  <c r="GZ25"/>
  <c r="GZ26"/>
  <c r="GZ27"/>
  <c r="GZ28"/>
  <c r="GZ29"/>
  <c r="GZ30"/>
  <c r="GZ31"/>
  <c r="GZ32"/>
  <c r="GZ33"/>
  <c r="GZ34"/>
  <c r="GZ35"/>
  <c r="GZ36"/>
  <c r="GZ37"/>
  <c r="GZ38"/>
  <c r="GZ39"/>
  <c r="GZ40"/>
  <c r="GZ41"/>
  <c r="GZ42"/>
  <c r="GZ43"/>
  <c r="GZ44"/>
  <c r="GZ45"/>
  <c r="GZ46"/>
  <c r="GZ47"/>
  <c r="HA11"/>
  <c r="HA12"/>
  <c r="HA13"/>
  <c r="HA10"/>
  <c r="HA14"/>
  <c r="HA15"/>
  <c r="HA16"/>
  <c r="HA17"/>
  <c r="HA18"/>
  <c r="HA19"/>
  <c r="HA20"/>
  <c r="HA21"/>
  <c r="HA22"/>
  <c r="HA23"/>
  <c r="HA24"/>
  <c r="HA25"/>
  <c r="HA26"/>
  <c r="HA27"/>
  <c r="HA28"/>
  <c r="HA29"/>
  <c r="HA30"/>
  <c r="HA31"/>
  <c r="HA32"/>
  <c r="HA33"/>
  <c r="HA34"/>
  <c r="HA35"/>
  <c r="HA36"/>
  <c r="HA37"/>
  <c r="HA38"/>
  <c r="HA39"/>
  <c r="HA40"/>
  <c r="HA41"/>
  <c r="HA42"/>
  <c r="HA43"/>
  <c r="HA44"/>
  <c r="HA45"/>
  <c r="HA46"/>
  <c r="HA47"/>
  <c r="HB11"/>
  <c r="HB12"/>
  <c r="HB13"/>
  <c r="HB10"/>
  <c r="HB14"/>
  <c r="HB15"/>
  <c r="HB16"/>
  <c r="HB17"/>
  <c r="HB18"/>
  <c r="HB19"/>
  <c r="HB20"/>
  <c r="HB21"/>
  <c r="HB22"/>
  <c r="HB23"/>
  <c r="HB24"/>
  <c r="HB25"/>
  <c r="HB26"/>
  <c r="HB27"/>
  <c r="HB28"/>
  <c r="HB29"/>
  <c r="HB30"/>
  <c r="HB31"/>
  <c r="HB32"/>
  <c r="HB33"/>
  <c r="HB34"/>
  <c r="HB35"/>
  <c r="HB36"/>
  <c r="HB37"/>
  <c r="HB38"/>
  <c r="HB39"/>
  <c r="HB40"/>
  <c r="HB41"/>
  <c r="HB42"/>
  <c r="HB43"/>
  <c r="HB44"/>
  <c r="HB45"/>
  <c r="HB46"/>
  <c r="HB47"/>
  <c r="HC11"/>
  <c r="HC12"/>
  <c r="HC13"/>
  <c r="HC10"/>
  <c r="HC14"/>
  <c r="HC15"/>
  <c r="HC16"/>
  <c r="HC17"/>
  <c r="HC18"/>
  <c r="HC19"/>
  <c r="HC20"/>
  <c r="HC21"/>
  <c r="HC22"/>
  <c r="HC23"/>
  <c r="HC24"/>
  <c r="HC25"/>
  <c r="HC26"/>
  <c r="HC27"/>
  <c r="HC28"/>
  <c r="HC29"/>
  <c r="HC30"/>
  <c r="HC31"/>
  <c r="HC32"/>
  <c r="HC33"/>
  <c r="HC34"/>
  <c r="HC35"/>
  <c r="HC36"/>
  <c r="HC37"/>
  <c r="HC38"/>
  <c r="HC39"/>
  <c r="HC40"/>
  <c r="HC41"/>
  <c r="HC42"/>
  <c r="HC43"/>
  <c r="HC44"/>
  <c r="HC45"/>
  <c r="HC46"/>
  <c r="HC47"/>
  <c r="A11"/>
  <c r="A12"/>
  <c r="A13"/>
  <c r="A14"/>
  <c r="A15"/>
  <c r="A16"/>
  <c r="A17"/>
  <c r="A18"/>
  <c r="A19"/>
  <c r="A20"/>
  <c r="A21"/>
  <c r="A22"/>
  <c r="A23"/>
  <c r="A24"/>
  <c r="A25"/>
  <c r="A26"/>
  <c r="A27"/>
  <c r="A28"/>
  <c r="A29"/>
  <c r="A30"/>
  <c r="A31"/>
  <c r="A32"/>
  <c r="A33"/>
  <c r="A34"/>
  <c r="A35"/>
  <c r="A36"/>
  <c r="A37"/>
  <c r="A38"/>
  <c r="A39"/>
  <c r="A40"/>
  <c r="A41"/>
  <c r="A42"/>
  <c r="A43"/>
  <c r="A44"/>
  <c r="A45"/>
  <c r="A46"/>
  <c r="A47"/>
  <c r="A10"/>
  <c r="E48"/>
  <c r="L185" i="11"/>
  <c r="CS11" i="36"/>
  <c r="CT11"/>
  <c r="CU11"/>
  <c r="CV11"/>
  <c r="CW11"/>
  <c r="CS12"/>
  <c r="CT12"/>
  <c r="CU12"/>
  <c r="CV12"/>
  <c r="CW12"/>
  <c r="CS13"/>
  <c r="CT13"/>
  <c r="CU13"/>
  <c r="CV13"/>
  <c r="CW13"/>
  <c r="CS14"/>
  <c r="CT14"/>
  <c r="CU14"/>
  <c r="CV14"/>
  <c r="CW14"/>
  <c r="CS15"/>
  <c r="CT15"/>
  <c r="CU15"/>
  <c r="CV15"/>
  <c r="CW15"/>
  <c r="CS16"/>
  <c r="CT16"/>
  <c r="CU16"/>
  <c r="CV16"/>
  <c r="CW16"/>
  <c r="CS17"/>
  <c r="CT17"/>
  <c r="CU17"/>
  <c r="CV17"/>
  <c r="CW17"/>
  <c r="CS18"/>
  <c r="CT18"/>
  <c r="CU18"/>
  <c r="CV18"/>
  <c r="CW18"/>
  <c r="CS19"/>
  <c r="CT19"/>
  <c r="CU19"/>
  <c r="CV19"/>
  <c r="CW19"/>
  <c r="CS20"/>
  <c r="CT20"/>
  <c r="CU20"/>
  <c r="CV20"/>
  <c r="CW20"/>
  <c r="CS21"/>
  <c r="CT21"/>
  <c r="CU21"/>
  <c r="CV21"/>
  <c r="CW21"/>
  <c r="CS22"/>
  <c r="CT22"/>
  <c r="CU22"/>
  <c r="CV22"/>
  <c r="CW22"/>
  <c r="CS23"/>
  <c r="CT23"/>
  <c r="CU23"/>
  <c r="CV23"/>
  <c r="CW23"/>
  <c r="CS24"/>
  <c r="CT24"/>
  <c r="CU24"/>
  <c r="CV24"/>
  <c r="CW24"/>
  <c r="CS25"/>
  <c r="CT25"/>
  <c r="CU25"/>
  <c r="CV25"/>
  <c r="CW25"/>
  <c r="CS26"/>
  <c r="CT26"/>
  <c r="CU26"/>
  <c r="CV26"/>
  <c r="CW26"/>
  <c r="CS27"/>
  <c r="CT27"/>
  <c r="CU27"/>
  <c r="CV27"/>
  <c r="CW27"/>
  <c r="CS28"/>
  <c r="CT28"/>
  <c r="CU28"/>
  <c r="CV28"/>
  <c r="CW28"/>
  <c r="CS29"/>
  <c r="CT29"/>
  <c r="CU29"/>
  <c r="CV29"/>
  <c r="CW29"/>
  <c r="CS30"/>
  <c r="CT30"/>
  <c r="CU30"/>
  <c r="CV30"/>
  <c r="CW30"/>
  <c r="CS31"/>
  <c r="CT31"/>
  <c r="CU31"/>
  <c r="CV31"/>
  <c r="CW31"/>
  <c r="CS32"/>
  <c r="CT32"/>
  <c r="CU32"/>
  <c r="CV32"/>
  <c r="CW32"/>
  <c r="CS33"/>
  <c r="CT33"/>
  <c r="CU33"/>
  <c r="CV33"/>
  <c r="CW33"/>
  <c r="CS34"/>
  <c r="CT34"/>
  <c r="CU34"/>
  <c r="CV34"/>
  <c r="CW34"/>
  <c r="CS35"/>
  <c r="CT35"/>
  <c r="CU35"/>
  <c r="CV35"/>
  <c r="CW35"/>
  <c r="CS36"/>
  <c r="CT36"/>
  <c r="CU36"/>
  <c r="CV36"/>
  <c r="CW36"/>
  <c r="CS37"/>
  <c r="CT37"/>
  <c r="CU37"/>
  <c r="CV37"/>
  <c r="CW37"/>
  <c r="CS38"/>
  <c r="CT38"/>
  <c r="CU38"/>
  <c r="CV38"/>
  <c r="CW38"/>
  <c r="CS39"/>
  <c r="CT39"/>
  <c r="CU39"/>
  <c r="CV39"/>
  <c r="CW39"/>
  <c r="CS40"/>
  <c r="CT40"/>
  <c r="CU40"/>
  <c r="CV40"/>
  <c r="CW40"/>
  <c r="CS41"/>
  <c r="CT41"/>
  <c r="CU41"/>
  <c r="CV41"/>
  <c r="CW41"/>
  <c r="CS42"/>
  <c r="CT42"/>
  <c r="CU42"/>
  <c r="CV42"/>
  <c r="CW42"/>
  <c r="CS43"/>
  <c r="CT43"/>
  <c r="CU43"/>
  <c r="CV43"/>
  <c r="CW43"/>
  <c r="CS44"/>
  <c r="CT44"/>
  <c r="CU44"/>
  <c r="CV44"/>
  <c r="CW44"/>
  <c r="CS45"/>
  <c r="CT45"/>
  <c r="CU45"/>
  <c r="CV45"/>
  <c r="CW45"/>
  <c r="CS46"/>
  <c r="CT46"/>
  <c r="CU46"/>
  <c r="CV46"/>
  <c r="CW46"/>
  <c r="CS47"/>
  <c r="CT47"/>
  <c r="CU47"/>
  <c r="CV47"/>
  <c r="CW47"/>
  <c r="CW10"/>
  <c r="CV10"/>
  <c r="CU10"/>
  <c r="CT10"/>
  <c r="CS10"/>
  <c r="AF10"/>
  <c r="AF11"/>
  <c r="AF12"/>
  <c r="AF13"/>
  <c r="AF14"/>
  <c r="AF15"/>
  <c r="AF16"/>
  <c r="AF17"/>
  <c r="AF18"/>
  <c r="AF19"/>
  <c r="AF20"/>
  <c r="AF21"/>
  <c r="AF22"/>
  <c r="AF23"/>
  <c r="AF24"/>
  <c r="AF25"/>
  <c r="AF26"/>
  <c r="AF27"/>
  <c r="AF28"/>
  <c r="AF29"/>
  <c r="AF30"/>
  <c r="AF31"/>
  <c r="AF32"/>
  <c r="AF33"/>
  <c r="AF34"/>
  <c r="AF35"/>
  <c r="AF36"/>
  <c r="AF37"/>
  <c r="AF38"/>
  <c r="AF39"/>
  <c r="AF40"/>
  <c r="AF41"/>
  <c r="AF42"/>
  <c r="AF43"/>
  <c r="AF44"/>
  <c r="AF45"/>
  <c r="AF46"/>
  <c r="AF47"/>
  <c r="AG10"/>
  <c r="AG11"/>
  <c r="AG12"/>
  <c r="AG13"/>
  <c r="AG14"/>
  <c r="AG15"/>
  <c r="AG16"/>
  <c r="AG17"/>
  <c r="AG18"/>
  <c r="AG19"/>
  <c r="AG20"/>
  <c r="AG21"/>
  <c r="AG22"/>
  <c r="AG23"/>
  <c r="AG24"/>
  <c r="AG25"/>
  <c r="AG26"/>
  <c r="AG27"/>
  <c r="AG28"/>
  <c r="AG29"/>
  <c r="AG30"/>
  <c r="AG31"/>
  <c r="AG32"/>
  <c r="AG33"/>
  <c r="AG34"/>
  <c r="AG35"/>
  <c r="AG36"/>
  <c r="AG37"/>
  <c r="AG38"/>
  <c r="AG39"/>
  <c r="AG40"/>
  <c r="AG41"/>
  <c r="AG42"/>
  <c r="AG43"/>
  <c r="AG44"/>
  <c r="AG45"/>
  <c r="AG46"/>
  <c r="AG47"/>
  <c r="AH10"/>
  <c r="AH11"/>
  <c r="AH12"/>
  <c r="AH13"/>
  <c r="AH14"/>
  <c r="AH15"/>
  <c r="AH16"/>
  <c r="AH17"/>
  <c r="AH18"/>
  <c r="AH19"/>
  <c r="AH20"/>
  <c r="AH21"/>
  <c r="AH22"/>
  <c r="AH23"/>
  <c r="AH24"/>
  <c r="AH25"/>
  <c r="AH26"/>
  <c r="AH27"/>
  <c r="AH28"/>
  <c r="AH29"/>
  <c r="AH30"/>
  <c r="AH31"/>
  <c r="AH32"/>
  <c r="AH33"/>
  <c r="AH34"/>
  <c r="AH35"/>
  <c r="AH36"/>
  <c r="AH37"/>
  <c r="AH38"/>
  <c r="AH39"/>
  <c r="AH40"/>
  <c r="AH41"/>
  <c r="AH42"/>
  <c r="AH43"/>
  <c r="AH44"/>
  <c r="AH45"/>
  <c r="AH46"/>
  <c r="AH47"/>
  <c r="AI10"/>
  <c r="AI11"/>
  <c r="AI12"/>
  <c r="AI13"/>
  <c r="AI14"/>
  <c r="AI15"/>
  <c r="AI16"/>
  <c r="AI17"/>
  <c r="AI18"/>
  <c r="AI19"/>
  <c r="AI20"/>
  <c r="AI21"/>
  <c r="AI22"/>
  <c r="AI23"/>
  <c r="AI24"/>
  <c r="AI25"/>
  <c r="AI26"/>
  <c r="AI27"/>
  <c r="AI28"/>
  <c r="AI29"/>
  <c r="AI30"/>
  <c r="AI31"/>
  <c r="AI32"/>
  <c r="AI33"/>
  <c r="AI34"/>
  <c r="AI35"/>
  <c r="AI36"/>
  <c r="AI37"/>
  <c r="AI38"/>
  <c r="AI39"/>
  <c r="AI40"/>
  <c r="AI41"/>
  <c r="AI42"/>
  <c r="AI43"/>
  <c r="AI44"/>
  <c r="AI45"/>
  <c r="AI46"/>
  <c r="AI47"/>
  <c r="AJ10"/>
  <c r="AJ11"/>
  <c r="AJ12"/>
  <c r="AJ13"/>
  <c r="AJ14"/>
  <c r="AJ15"/>
  <c r="AJ16"/>
  <c r="AJ17"/>
  <c r="AJ18"/>
  <c r="AJ19"/>
  <c r="AJ20"/>
  <c r="AJ21"/>
  <c r="AJ22"/>
  <c r="AJ23"/>
  <c r="AJ24"/>
  <c r="AJ25"/>
  <c r="AJ26"/>
  <c r="AJ27"/>
  <c r="AJ28"/>
  <c r="AJ29"/>
  <c r="AJ30"/>
  <c r="AJ31"/>
  <c r="AJ32"/>
  <c r="AJ33"/>
  <c r="AJ34"/>
  <c r="AJ35"/>
  <c r="AJ36"/>
  <c r="AJ37"/>
  <c r="AJ38"/>
  <c r="AJ39"/>
  <c r="AJ40"/>
  <c r="AJ41"/>
  <c r="AJ42"/>
  <c r="AJ43"/>
  <c r="AJ44"/>
  <c r="AJ45"/>
  <c r="AJ46"/>
  <c r="AJ47"/>
  <c r="CI10"/>
  <c r="CI11"/>
  <c r="CI12"/>
  <c r="CI13"/>
  <c r="CI14"/>
  <c r="CI15"/>
  <c r="CI16"/>
  <c r="CI17"/>
  <c r="CI18"/>
  <c r="CI19"/>
  <c r="CI20"/>
  <c r="CI21"/>
  <c r="CI22"/>
  <c r="CI23"/>
  <c r="CI24"/>
  <c r="CI25"/>
  <c r="CI26"/>
  <c r="CI27"/>
  <c r="CI28"/>
  <c r="CI29"/>
  <c r="CI30"/>
  <c r="CI31"/>
  <c r="CI32"/>
  <c r="CI33"/>
  <c r="CI34"/>
  <c r="CI35"/>
  <c r="CI36"/>
  <c r="CI37"/>
  <c r="CI38"/>
  <c r="CI39"/>
  <c r="CI40"/>
  <c r="CI41"/>
  <c r="CI42"/>
  <c r="CI43"/>
  <c r="CI44"/>
  <c r="CI45"/>
  <c r="CI46"/>
  <c r="CI47"/>
  <c r="CJ10"/>
  <c r="CJ11"/>
  <c r="CJ12"/>
  <c r="CJ13"/>
  <c r="CJ14"/>
  <c r="CJ15"/>
  <c r="CJ16"/>
  <c r="CJ17"/>
  <c r="CJ18"/>
  <c r="CJ19"/>
  <c r="CJ20"/>
  <c r="CJ21"/>
  <c r="CJ22"/>
  <c r="CJ23"/>
  <c r="CJ24"/>
  <c r="CJ25"/>
  <c r="CJ26"/>
  <c r="CJ27"/>
  <c r="CJ28"/>
  <c r="CJ29"/>
  <c r="CJ30"/>
  <c r="CJ31"/>
  <c r="CJ32"/>
  <c r="CJ33"/>
  <c r="CJ34"/>
  <c r="CJ35"/>
  <c r="CJ36"/>
  <c r="CJ37"/>
  <c r="CJ38"/>
  <c r="CJ39"/>
  <c r="CJ40"/>
  <c r="CJ41"/>
  <c r="CJ42"/>
  <c r="CJ43"/>
  <c r="CJ44"/>
  <c r="CJ45"/>
  <c r="CJ46"/>
  <c r="CJ47"/>
  <c r="CK10"/>
  <c r="CK11"/>
  <c r="CK12"/>
  <c r="CK13"/>
  <c r="CK14"/>
  <c r="CK15"/>
  <c r="CK16"/>
  <c r="CK17"/>
  <c r="CK18"/>
  <c r="CK19"/>
  <c r="CK20"/>
  <c r="CK21"/>
  <c r="CK22"/>
  <c r="CK23"/>
  <c r="CK24"/>
  <c r="CK25"/>
  <c r="CK26"/>
  <c r="CK27"/>
  <c r="CK28"/>
  <c r="CK29"/>
  <c r="CK30"/>
  <c r="CK31"/>
  <c r="CK32"/>
  <c r="CK33"/>
  <c r="CK34"/>
  <c r="CK35"/>
  <c r="CK36"/>
  <c r="CK37"/>
  <c r="CK38"/>
  <c r="CK39"/>
  <c r="CK40"/>
  <c r="CK41"/>
  <c r="CK42"/>
  <c r="CK43"/>
  <c r="CK44"/>
  <c r="CK45"/>
  <c r="CK46"/>
  <c r="CK47"/>
  <c r="CL10"/>
  <c r="CL11"/>
  <c r="CL12"/>
  <c r="CL13"/>
  <c r="CL14"/>
  <c r="CL15"/>
  <c r="CL16"/>
  <c r="CL17"/>
  <c r="CL18"/>
  <c r="CL19"/>
  <c r="CL20"/>
  <c r="CL21"/>
  <c r="CL22"/>
  <c r="CL23"/>
  <c r="CL24"/>
  <c r="CL25"/>
  <c r="CL26"/>
  <c r="CL27"/>
  <c r="CL28"/>
  <c r="CL29"/>
  <c r="CL30"/>
  <c r="CL31"/>
  <c r="CL32"/>
  <c r="CL33"/>
  <c r="CL34"/>
  <c r="CL35"/>
  <c r="CL36"/>
  <c r="CL37"/>
  <c r="CL38"/>
  <c r="CL39"/>
  <c r="CL40"/>
  <c r="CL41"/>
  <c r="CL42"/>
  <c r="CL43"/>
  <c r="CL44"/>
  <c r="CL45"/>
  <c r="CL46"/>
  <c r="CL47"/>
  <c r="CM10"/>
  <c r="CM11"/>
  <c r="CM12"/>
  <c r="CM13"/>
  <c r="CM14"/>
  <c r="CM15"/>
  <c r="CM16"/>
  <c r="CM17"/>
  <c r="CM18"/>
  <c r="CM19"/>
  <c r="CM20"/>
  <c r="CM21"/>
  <c r="CM22"/>
  <c r="CM23"/>
  <c r="CM24"/>
  <c r="CM25"/>
  <c r="CM26"/>
  <c r="CM27"/>
  <c r="CM28"/>
  <c r="CM29"/>
  <c r="CM30"/>
  <c r="CM31"/>
  <c r="CM32"/>
  <c r="CM33"/>
  <c r="CM34"/>
  <c r="CM35"/>
  <c r="CM36"/>
  <c r="CM37"/>
  <c r="CM38"/>
  <c r="CM39"/>
  <c r="CM40"/>
  <c r="CM41"/>
  <c r="CM42"/>
  <c r="CM43"/>
  <c r="CM44"/>
  <c r="CM45"/>
  <c r="CM46"/>
  <c r="CM47"/>
  <c r="D10" i="25"/>
  <c r="D18" s="1"/>
  <c r="D20" s="1"/>
  <c r="D5" i="26"/>
  <c r="D11" s="1"/>
  <c r="D12" s="1"/>
  <c r="E63"/>
  <c r="C11"/>
  <c r="C12" s="1"/>
  <c r="B64"/>
  <c r="C64"/>
  <c r="D64"/>
  <c r="E64"/>
  <c r="B65"/>
  <c r="C65"/>
  <c r="D65"/>
  <c r="E65"/>
  <c r="B66"/>
  <c r="C66"/>
  <c r="D66"/>
  <c r="E66"/>
  <c r="B67"/>
  <c r="C67"/>
  <c r="D67"/>
  <c r="E67"/>
  <c r="B68"/>
  <c r="C68"/>
  <c r="D68"/>
  <c r="E68"/>
  <c r="B69"/>
  <c r="C69"/>
  <c r="D69"/>
  <c r="E69"/>
  <c r="B70"/>
  <c r="C70"/>
  <c r="D70"/>
  <c r="E70"/>
  <c r="B71"/>
  <c r="C71"/>
  <c r="D71"/>
  <c r="E71"/>
  <c r="B72"/>
  <c r="C72"/>
  <c r="D72"/>
  <c r="E72"/>
  <c r="B73"/>
  <c r="C73"/>
  <c r="D73"/>
  <c r="E73"/>
  <c r="B74"/>
  <c r="C74"/>
  <c r="D74"/>
  <c r="E74"/>
  <c r="B75"/>
  <c r="C75"/>
  <c r="D75"/>
  <c r="E75"/>
  <c r="B76"/>
  <c r="C76"/>
  <c r="D76"/>
  <c r="E76"/>
  <c r="B77"/>
  <c r="C77"/>
  <c r="D77"/>
  <c r="E77"/>
  <c r="B78"/>
  <c r="C78"/>
  <c r="D78"/>
  <c r="E78"/>
  <c r="B79"/>
  <c r="C79"/>
  <c r="D79"/>
  <c r="E79"/>
  <c r="B80"/>
  <c r="C80"/>
  <c r="D80"/>
  <c r="E80"/>
  <c r="B81"/>
  <c r="C81"/>
  <c r="D81"/>
  <c r="E81"/>
  <c r="B82"/>
  <c r="C82"/>
  <c r="D82"/>
  <c r="E82"/>
  <c r="B83"/>
  <c r="C83"/>
  <c r="D83"/>
  <c r="E83"/>
  <c r="B84"/>
  <c r="C84"/>
  <c r="D84"/>
  <c r="E84"/>
  <c r="B85"/>
  <c r="C85"/>
  <c r="D85"/>
  <c r="E85"/>
  <c r="B86"/>
  <c r="C86"/>
  <c r="D86"/>
  <c r="E86"/>
  <c r="B87"/>
  <c r="C87"/>
  <c r="D87"/>
  <c r="E87"/>
  <c r="B88"/>
  <c r="C88"/>
  <c r="D88"/>
  <c r="E88"/>
  <c r="B89"/>
  <c r="C89"/>
  <c r="D89"/>
  <c r="E89"/>
  <c r="B90"/>
  <c r="C90"/>
  <c r="D90"/>
  <c r="E90"/>
  <c r="B91"/>
  <c r="C91"/>
  <c r="D91"/>
  <c r="E91"/>
  <c r="B92"/>
  <c r="C92"/>
  <c r="D92"/>
  <c r="E92"/>
  <c r="B93"/>
  <c r="C93"/>
  <c r="D93"/>
  <c r="E93"/>
  <c r="B94"/>
  <c r="C94"/>
  <c r="D94"/>
  <c r="E94"/>
  <c r="B95"/>
  <c r="C95"/>
  <c r="D95"/>
  <c r="E95"/>
  <c r="B96"/>
  <c r="C96"/>
  <c r="D96"/>
  <c r="E96"/>
  <c r="B97"/>
  <c r="C97"/>
  <c r="D97"/>
  <c r="E97"/>
  <c r="B98"/>
  <c r="C98"/>
  <c r="D98"/>
  <c r="E98"/>
  <c r="B99"/>
  <c r="C99"/>
  <c r="D99"/>
  <c r="E99"/>
  <c r="B100"/>
  <c r="C100"/>
  <c r="D100"/>
  <c r="E100"/>
  <c r="B101"/>
  <c r="C101"/>
  <c r="D101"/>
  <c r="E101"/>
  <c r="B102"/>
  <c r="C102"/>
  <c r="D102"/>
  <c r="E102"/>
  <c r="B103"/>
  <c r="C103"/>
  <c r="D103"/>
  <c r="E103"/>
  <c r="B104"/>
  <c r="C104"/>
  <c r="D104"/>
  <c r="E104"/>
  <c r="B105"/>
  <c r="C105"/>
  <c r="D105"/>
  <c r="E105"/>
  <c r="B106"/>
  <c r="C106"/>
  <c r="D106"/>
  <c r="E106"/>
  <c r="B107"/>
  <c r="C107"/>
  <c r="D107"/>
  <c r="E107"/>
  <c r="B108"/>
  <c r="C108"/>
  <c r="D108"/>
  <c r="E108"/>
  <c r="B109"/>
  <c r="C109"/>
  <c r="D109"/>
  <c r="E109"/>
  <c r="B110"/>
  <c r="C110"/>
  <c r="D110"/>
  <c r="E110"/>
  <c r="B111"/>
  <c r="C111"/>
  <c r="D111"/>
  <c r="E111"/>
  <c r="E5"/>
  <c r="E11" s="1"/>
  <c r="E12" s="1"/>
  <c r="K63"/>
  <c r="H64"/>
  <c r="I64"/>
  <c r="J64"/>
  <c r="K64"/>
  <c r="H65"/>
  <c r="I65"/>
  <c r="J65"/>
  <c r="K65"/>
  <c r="H66"/>
  <c r="I66"/>
  <c r="J66"/>
  <c r="K66"/>
  <c r="H67"/>
  <c r="I67"/>
  <c r="J67"/>
  <c r="K67"/>
  <c r="H68"/>
  <c r="I68"/>
  <c r="J68"/>
  <c r="K68"/>
  <c r="H69"/>
  <c r="I69"/>
  <c r="J69"/>
  <c r="K69"/>
  <c r="H70"/>
  <c r="I70"/>
  <c r="J70"/>
  <c r="K70"/>
  <c r="H71"/>
  <c r="I71"/>
  <c r="J71"/>
  <c r="K71"/>
  <c r="H72"/>
  <c r="I72"/>
  <c r="J72"/>
  <c r="K72"/>
  <c r="H73"/>
  <c r="I73"/>
  <c r="J73"/>
  <c r="K73"/>
  <c r="H74"/>
  <c r="I74"/>
  <c r="J74"/>
  <c r="K74"/>
  <c r="H75"/>
  <c r="I75"/>
  <c r="J75"/>
  <c r="K75"/>
  <c r="H76"/>
  <c r="I76"/>
  <c r="J76"/>
  <c r="K76"/>
  <c r="H77"/>
  <c r="I77"/>
  <c r="J77"/>
  <c r="K77"/>
  <c r="H78"/>
  <c r="I78"/>
  <c r="J78"/>
  <c r="K78"/>
  <c r="H79"/>
  <c r="I79"/>
  <c r="J79"/>
  <c r="K79"/>
  <c r="H80"/>
  <c r="I80"/>
  <c r="J80"/>
  <c r="K80"/>
  <c r="H81"/>
  <c r="I81"/>
  <c r="J81"/>
  <c r="K81"/>
  <c r="H82"/>
  <c r="I82"/>
  <c r="J82"/>
  <c r="K82"/>
  <c r="H83"/>
  <c r="I83"/>
  <c r="J83"/>
  <c r="K83"/>
  <c r="H84"/>
  <c r="I84"/>
  <c r="J84"/>
  <c r="K84"/>
  <c r="H85"/>
  <c r="I85"/>
  <c r="J85"/>
  <c r="K85"/>
  <c r="H86"/>
  <c r="I86"/>
  <c r="J86"/>
  <c r="K86"/>
  <c r="H87"/>
  <c r="I87"/>
  <c r="J87"/>
  <c r="K87"/>
  <c r="H88"/>
  <c r="I88"/>
  <c r="J88"/>
  <c r="K88"/>
  <c r="H89"/>
  <c r="I89"/>
  <c r="J89"/>
  <c r="K89"/>
  <c r="H90"/>
  <c r="I90"/>
  <c r="J90"/>
  <c r="K90"/>
  <c r="H91"/>
  <c r="I91"/>
  <c r="J91"/>
  <c r="K91"/>
  <c r="H92"/>
  <c r="I92"/>
  <c r="J92"/>
  <c r="K92"/>
  <c r="H93"/>
  <c r="I93"/>
  <c r="J93"/>
  <c r="K93"/>
  <c r="H94"/>
  <c r="I94"/>
  <c r="J94"/>
  <c r="K94"/>
  <c r="H95"/>
  <c r="I95"/>
  <c r="J95"/>
  <c r="K95"/>
  <c r="H96"/>
  <c r="I96"/>
  <c r="J96"/>
  <c r="K96"/>
  <c r="H97"/>
  <c r="I97"/>
  <c r="J97"/>
  <c r="K97"/>
  <c r="H98"/>
  <c r="I98"/>
  <c r="J98"/>
  <c r="K98"/>
  <c r="H99"/>
  <c r="I99"/>
  <c r="J99"/>
  <c r="K99"/>
  <c r="H100"/>
  <c r="I100"/>
  <c r="J100"/>
  <c r="K100"/>
  <c r="H101"/>
  <c r="I101"/>
  <c r="J101"/>
  <c r="K101"/>
  <c r="H102"/>
  <c r="I102"/>
  <c r="J102"/>
  <c r="K102"/>
  <c r="H103"/>
  <c r="I103"/>
  <c r="J103"/>
  <c r="K103"/>
  <c r="H104"/>
  <c r="I104"/>
  <c r="J104"/>
  <c r="K104"/>
  <c r="H105"/>
  <c r="I105"/>
  <c r="J105"/>
  <c r="K105"/>
  <c r="H106"/>
  <c r="I106"/>
  <c r="J106"/>
  <c r="K106"/>
  <c r="H107"/>
  <c r="I107"/>
  <c r="J107"/>
  <c r="K107"/>
  <c r="H108"/>
  <c r="I108"/>
  <c r="J108"/>
  <c r="K108"/>
  <c r="H109"/>
  <c r="I109"/>
  <c r="J109"/>
  <c r="K109"/>
  <c r="H110"/>
  <c r="I110"/>
  <c r="J110"/>
  <c r="K110"/>
  <c r="H111"/>
  <c r="I111"/>
  <c r="J111"/>
  <c r="K111"/>
  <c r="C21"/>
  <c r="C56"/>
  <c r="C55"/>
  <c r="C54"/>
  <c r="C53"/>
  <c r="C52"/>
  <c r="C51"/>
  <c r="C50"/>
  <c r="C49"/>
  <c r="C48"/>
  <c r="C47"/>
  <c r="B112"/>
  <c r="C112"/>
  <c r="D112"/>
  <c r="E112"/>
  <c r="B113"/>
  <c r="C113"/>
  <c r="D113"/>
  <c r="E113"/>
  <c r="B114"/>
  <c r="C114"/>
  <c r="D114"/>
  <c r="E114"/>
  <c r="B115"/>
  <c r="C115"/>
  <c r="D115"/>
  <c r="E115"/>
  <c r="B116"/>
  <c r="C116"/>
  <c r="D116"/>
  <c r="E116"/>
  <c r="B117"/>
  <c r="C117"/>
  <c r="D117"/>
  <c r="E117"/>
  <c r="B118"/>
  <c r="C118"/>
  <c r="D118"/>
  <c r="E118"/>
  <c r="B119"/>
  <c r="C119"/>
  <c r="D119"/>
  <c r="E119"/>
  <c r="B120"/>
  <c r="C120"/>
  <c r="D120"/>
  <c r="E120"/>
  <c r="B121"/>
  <c r="C121"/>
  <c r="D121"/>
  <c r="E121"/>
  <c r="B122"/>
  <c r="C122"/>
  <c r="D122"/>
  <c r="E122"/>
  <c r="B123"/>
  <c r="C123"/>
  <c r="D123"/>
  <c r="E123"/>
  <c r="B124"/>
  <c r="C124"/>
  <c r="D124"/>
  <c r="E124"/>
  <c r="B125"/>
  <c r="C125"/>
  <c r="D125"/>
  <c r="E125"/>
  <c r="B126"/>
  <c r="C126"/>
  <c r="D126"/>
  <c r="E126"/>
  <c r="B127"/>
  <c r="C127"/>
  <c r="D127"/>
  <c r="E127"/>
  <c r="B128"/>
  <c r="C128"/>
  <c r="D128"/>
  <c r="E128"/>
  <c r="B129"/>
  <c r="C129"/>
  <c r="D129"/>
  <c r="E129"/>
  <c r="B130"/>
  <c r="C130"/>
  <c r="D130"/>
  <c r="E130"/>
  <c r="B131"/>
  <c r="C131"/>
  <c r="D131"/>
  <c r="E131"/>
  <c r="B132"/>
  <c r="C132"/>
  <c r="D132"/>
  <c r="E132"/>
  <c r="B133"/>
  <c r="C133"/>
  <c r="D133"/>
  <c r="E133"/>
  <c r="B134"/>
  <c r="C134"/>
  <c r="D134"/>
  <c r="E134"/>
  <c r="B135"/>
  <c r="C135"/>
  <c r="D135"/>
  <c r="E135"/>
  <c r="B136"/>
  <c r="C136"/>
  <c r="D136"/>
  <c r="E136"/>
  <c r="B137"/>
  <c r="C137"/>
  <c r="D137"/>
  <c r="E137"/>
  <c r="B138"/>
  <c r="C138"/>
  <c r="D138"/>
  <c r="E138"/>
  <c r="B139"/>
  <c r="C139"/>
  <c r="D139"/>
  <c r="E139"/>
  <c r="B140"/>
  <c r="C140"/>
  <c r="D140"/>
  <c r="E140"/>
  <c r="B141"/>
  <c r="C141"/>
  <c r="D141"/>
  <c r="E141"/>
  <c r="B142"/>
  <c r="C142"/>
  <c r="D142"/>
  <c r="E142"/>
  <c r="B143"/>
  <c r="C143"/>
  <c r="D143"/>
  <c r="E143"/>
  <c r="B144"/>
  <c r="C144"/>
  <c r="D144"/>
  <c r="E144"/>
  <c r="B145"/>
  <c r="C145"/>
  <c r="D145"/>
  <c r="E145"/>
  <c r="B146"/>
  <c r="C146"/>
  <c r="D146"/>
  <c r="E146"/>
  <c r="B147"/>
  <c r="C147"/>
  <c r="D147"/>
  <c r="E147"/>
  <c r="B148"/>
  <c r="C148"/>
  <c r="D148"/>
  <c r="E148"/>
  <c r="B149"/>
  <c r="C149"/>
  <c r="D149"/>
  <c r="E149"/>
  <c r="B150"/>
  <c r="C150"/>
  <c r="D150"/>
  <c r="E150"/>
  <c r="B151"/>
  <c r="C151"/>
  <c r="D151"/>
  <c r="E151"/>
  <c r="B152"/>
  <c r="C152"/>
  <c r="D152"/>
  <c r="E152"/>
  <c r="B153"/>
  <c r="C153"/>
  <c r="D153"/>
  <c r="E153"/>
  <c r="B154"/>
  <c r="C154"/>
  <c r="D154"/>
  <c r="E154"/>
  <c r="B155"/>
  <c r="C155"/>
  <c r="D155"/>
  <c r="E155"/>
  <c r="B156"/>
  <c r="C156"/>
  <c r="D156"/>
  <c r="E156"/>
  <c r="B157"/>
  <c r="C157"/>
  <c r="D157"/>
  <c r="E157"/>
  <c r="B158"/>
  <c r="C158"/>
  <c r="D158"/>
  <c r="E158"/>
  <c r="B159"/>
  <c r="C159"/>
  <c r="D159"/>
  <c r="E159"/>
  <c r="B160"/>
  <c r="C160"/>
  <c r="D160"/>
  <c r="E160"/>
  <c r="B161"/>
  <c r="C161"/>
  <c r="D161"/>
  <c r="E161"/>
  <c r="B162"/>
  <c r="C162"/>
  <c r="D162"/>
  <c r="E162"/>
  <c r="B163"/>
  <c r="C163"/>
  <c r="D163"/>
  <c r="E163"/>
  <c r="B164"/>
  <c r="C164"/>
  <c r="D164"/>
  <c r="E164"/>
  <c r="B165"/>
  <c r="C165"/>
  <c r="D165"/>
  <c r="E165"/>
  <c r="B166"/>
  <c r="C166"/>
  <c r="D166"/>
  <c r="E166"/>
  <c r="B167"/>
  <c r="C167"/>
  <c r="D167"/>
  <c r="E167"/>
  <c r="B168"/>
  <c r="C168"/>
  <c r="D168"/>
  <c r="E168"/>
  <c r="B169"/>
  <c r="C169"/>
  <c r="D169"/>
  <c r="E169"/>
  <c r="B170"/>
  <c r="C170"/>
  <c r="D170"/>
  <c r="E170"/>
  <c r="B171"/>
  <c r="C171"/>
  <c r="D171"/>
  <c r="E171"/>
  <c r="B172"/>
  <c r="C172"/>
  <c r="D172"/>
  <c r="E172"/>
  <c r="B173"/>
  <c r="C173"/>
  <c r="D173"/>
  <c r="E173"/>
  <c r="B174"/>
  <c r="C174"/>
  <c r="D174"/>
  <c r="E174"/>
  <c r="B175"/>
  <c r="C175"/>
  <c r="D175"/>
  <c r="E175"/>
  <c r="B176"/>
  <c r="C176"/>
  <c r="D176"/>
  <c r="E176"/>
  <c r="B177"/>
  <c r="C177"/>
  <c r="D177"/>
  <c r="E177"/>
  <c r="B178"/>
  <c r="C178"/>
  <c r="D178"/>
  <c r="E178"/>
  <c r="B179"/>
  <c r="C179"/>
  <c r="D179"/>
  <c r="E179"/>
  <c r="B180"/>
  <c r="C180"/>
  <c r="D180"/>
  <c r="E180"/>
  <c r="B181"/>
  <c r="C181"/>
  <c r="D181"/>
  <c r="E181"/>
  <c r="B182"/>
  <c r="C182"/>
  <c r="D182"/>
  <c r="E182"/>
  <c r="B183"/>
  <c r="C183"/>
  <c r="D183"/>
  <c r="E183"/>
  <c r="B184"/>
  <c r="C184"/>
  <c r="D184"/>
  <c r="E184"/>
  <c r="B185"/>
  <c r="C185"/>
  <c r="D185"/>
  <c r="E185"/>
  <c r="B186"/>
  <c r="C186"/>
  <c r="D186"/>
  <c r="E186"/>
  <c r="B187"/>
  <c r="C187"/>
  <c r="D187"/>
  <c r="E187"/>
  <c r="B188"/>
  <c r="C188"/>
  <c r="D188"/>
  <c r="E188"/>
  <c r="B189"/>
  <c r="C189"/>
  <c r="D189"/>
  <c r="E189"/>
  <c r="B190"/>
  <c r="C190"/>
  <c r="D190"/>
  <c r="E190"/>
  <c r="B191"/>
  <c r="C191"/>
  <c r="D191"/>
  <c r="E191"/>
  <c r="B192"/>
  <c r="C192"/>
  <c r="D192"/>
  <c r="E192"/>
  <c r="B193"/>
  <c r="C193"/>
  <c r="D193"/>
  <c r="E193"/>
  <c r="B194"/>
  <c r="C194"/>
  <c r="D194"/>
  <c r="E194"/>
  <c r="B195"/>
  <c r="C195"/>
  <c r="D195"/>
  <c r="E195"/>
  <c r="B196"/>
  <c r="C196"/>
  <c r="D196"/>
  <c r="E196"/>
  <c r="B197"/>
  <c r="C197"/>
  <c r="D197"/>
  <c r="E197"/>
  <c r="B198"/>
  <c r="C198"/>
  <c r="D198"/>
  <c r="E198"/>
  <c r="B199"/>
  <c r="C199"/>
  <c r="D199"/>
  <c r="E199"/>
  <c r="B200"/>
  <c r="C200"/>
  <c r="D200"/>
  <c r="E200"/>
  <c r="B201"/>
  <c r="C201"/>
  <c r="D201"/>
  <c r="E201"/>
  <c r="B202"/>
  <c r="C202"/>
  <c r="D202"/>
  <c r="E202"/>
  <c r="B203"/>
  <c r="C203"/>
  <c r="D203"/>
  <c r="E203"/>
  <c r="B204"/>
  <c r="C204"/>
  <c r="D204"/>
  <c r="E204"/>
  <c r="B205"/>
  <c r="C205"/>
  <c r="D205"/>
  <c r="E205"/>
  <c r="B206"/>
  <c r="C206"/>
  <c r="D206"/>
  <c r="E206"/>
  <c r="B207"/>
  <c r="C207"/>
  <c r="D207"/>
  <c r="E207"/>
  <c r="B208"/>
  <c r="C208"/>
  <c r="D208"/>
  <c r="E208"/>
  <c r="B209"/>
  <c r="C209"/>
  <c r="D209"/>
  <c r="E209"/>
  <c r="B210"/>
  <c r="C210"/>
  <c r="D210"/>
  <c r="E210"/>
  <c r="B211"/>
  <c r="C211"/>
  <c r="D211"/>
  <c r="E211"/>
  <c r="B212"/>
  <c r="C212"/>
  <c r="D212"/>
  <c r="E212"/>
  <c r="B213"/>
  <c r="C213"/>
  <c r="D213"/>
  <c r="E213"/>
  <c r="B214"/>
  <c r="C214"/>
  <c r="D214"/>
  <c r="E214"/>
  <c r="B215"/>
  <c r="C215"/>
  <c r="D215"/>
  <c r="E215"/>
  <c r="B216"/>
  <c r="C216"/>
  <c r="D216"/>
  <c r="E216"/>
  <c r="B217"/>
  <c r="C217"/>
  <c r="D217"/>
  <c r="E217"/>
  <c r="B218"/>
  <c r="C218"/>
  <c r="D218"/>
  <c r="E218"/>
  <c r="B219"/>
  <c r="C219"/>
  <c r="D219"/>
  <c r="E219"/>
  <c r="B220"/>
  <c r="C220"/>
  <c r="D220"/>
  <c r="E220"/>
  <c r="B221"/>
  <c r="C221"/>
  <c r="D221"/>
  <c r="E221"/>
  <c r="B222"/>
  <c r="C222"/>
  <c r="D222"/>
  <c r="E222"/>
  <c r="B223"/>
  <c r="C223"/>
  <c r="D223"/>
  <c r="E223"/>
  <c r="B224"/>
  <c r="C224"/>
  <c r="D224"/>
  <c r="E224"/>
  <c r="B225"/>
  <c r="C225"/>
  <c r="D225"/>
  <c r="E225"/>
  <c r="B226"/>
  <c r="C226"/>
  <c r="D226"/>
  <c r="E226"/>
  <c r="B227"/>
  <c r="C227"/>
  <c r="D227"/>
  <c r="E227"/>
  <c r="B228"/>
  <c r="C228"/>
  <c r="D228"/>
  <c r="E228"/>
  <c r="B229"/>
  <c r="C229"/>
  <c r="D229"/>
  <c r="E229"/>
  <c r="B230"/>
  <c r="C230"/>
  <c r="D230"/>
  <c r="E230"/>
  <c r="B231"/>
  <c r="C231"/>
  <c r="D231"/>
  <c r="E231"/>
  <c r="B232"/>
  <c r="C232"/>
  <c r="D232"/>
  <c r="E232"/>
  <c r="B233"/>
  <c r="C233"/>
  <c r="D233"/>
  <c r="E233"/>
  <c r="B234"/>
  <c r="C234"/>
  <c r="D234"/>
  <c r="E234"/>
  <c r="B235"/>
  <c r="C235"/>
  <c r="D235"/>
  <c r="E235"/>
  <c r="B236"/>
  <c r="C236"/>
  <c r="D236"/>
  <c r="E236"/>
  <c r="B237"/>
  <c r="C237"/>
  <c r="D237"/>
  <c r="E237"/>
  <c r="B238"/>
  <c r="C238"/>
  <c r="D238"/>
  <c r="E238"/>
  <c r="B239"/>
  <c r="C239"/>
  <c r="D239"/>
  <c r="E239"/>
  <c r="B240"/>
  <c r="C240"/>
  <c r="D240"/>
  <c r="E240"/>
  <c r="B241"/>
  <c r="C241"/>
  <c r="D241"/>
  <c r="E241"/>
  <c r="B242"/>
  <c r="C242"/>
  <c r="D242"/>
  <c r="E242"/>
  <c r="B243"/>
  <c r="C243"/>
  <c r="D243"/>
  <c r="E243"/>
  <c r="B244"/>
  <c r="C244"/>
  <c r="D244"/>
  <c r="E244"/>
  <c r="B245"/>
  <c r="C245"/>
  <c r="D245"/>
  <c r="E245"/>
  <c r="B246"/>
  <c r="C246"/>
  <c r="D246"/>
  <c r="E246"/>
  <c r="B247"/>
  <c r="C247"/>
  <c r="D247"/>
  <c r="E247"/>
  <c r="B248"/>
  <c r="C248"/>
  <c r="D248"/>
  <c r="E248"/>
  <c r="B249"/>
  <c r="C249"/>
  <c r="D249"/>
  <c r="E249"/>
  <c r="B250"/>
  <c r="C250"/>
  <c r="D250"/>
  <c r="E250"/>
  <c r="B251"/>
  <c r="C251"/>
  <c r="D251"/>
  <c r="E251"/>
  <c r="B252"/>
  <c r="C252"/>
  <c r="D252"/>
  <c r="E252"/>
  <c r="B253"/>
  <c r="C253"/>
  <c r="D253"/>
  <c r="E253"/>
  <c r="B254"/>
  <c r="C254"/>
  <c r="D254"/>
  <c r="E254"/>
  <c r="B255"/>
  <c r="C255"/>
  <c r="D255"/>
  <c r="E255"/>
  <c r="B256"/>
  <c r="C256"/>
  <c r="D256"/>
  <c r="E256"/>
  <c r="B257"/>
  <c r="C257"/>
  <c r="D257"/>
  <c r="E257"/>
  <c r="B258"/>
  <c r="C258"/>
  <c r="D258"/>
  <c r="E258"/>
  <c r="B259"/>
  <c r="C259"/>
  <c r="D259"/>
  <c r="E259"/>
  <c r="B260"/>
  <c r="C260"/>
  <c r="D260"/>
  <c r="E260"/>
  <c r="B261"/>
  <c r="C261"/>
  <c r="D261"/>
  <c r="E261"/>
  <c r="B262"/>
  <c r="C262"/>
  <c r="D262"/>
  <c r="E262"/>
  <c r="B263"/>
  <c r="C263"/>
  <c r="D263"/>
  <c r="E263"/>
  <c r="B264"/>
  <c r="C264"/>
  <c r="D264"/>
  <c r="E264"/>
  <c r="B265"/>
  <c r="C265"/>
  <c r="D265"/>
  <c r="E265"/>
  <c r="B266"/>
  <c r="C266"/>
  <c r="D266"/>
  <c r="E266"/>
  <c r="B267"/>
  <c r="C267"/>
  <c r="D267"/>
  <c r="E267"/>
  <c r="B268"/>
  <c r="C268"/>
  <c r="D268"/>
  <c r="E268"/>
  <c r="B269"/>
  <c r="C269"/>
  <c r="D269"/>
  <c r="E269"/>
  <c r="B270"/>
  <c r="C270"/>
  <c r="D270"/>
  <c r="E270"/>
  <c r="B271"/>
  <c r="C271"/>
  <c r="D271"/>
  <c r="E271"/>
  <c r="B272"/>
  <c r="C272"/>
  <c r="D272"/>
  <c r="E272"/>
  <c r="B273"/>
  <c r="C273"/>
  <c r="D273"/>
  <c r="E273"/>
  <c r="B274"/>
  <c r="C274"/>
  <c r="D274"/>
  <c r="E274"/>
  <c r="B275"/>
  <c r="C275"/>
  <c r="D275"/>
  <c r="E275"/>
  <c r="B276"/>
  <c r="C276"/>
  <c r="D276"/>
  <c r="E276"/>
  <c r="B277"/>
  <c r="C277"/>
  <c r="D277"/>
  <c r="E277"/>
  <c r="B278"/>
  <c r="C278"/>
  <c r="D278"/>
  <c r="E278"/>
  <c r="B279"/>
  <c r="C279"/>
  <c r="D279"/>
  <c r="E279"/>
  <c r="B280"/>
  <c r="C280"/>
  <c r="D280"/>
  <c r="E280"/>
  <c r="B281"/>
  <c r="C281"/>
  <c r="D281"/>
  <c r="E281"/>
  <c r="B282"/>
  <c r="C282"/>
  <c r="D282"/>
  <c r="E282"/>
  <c r="B283"/>
  <c r="C283"/>
  <c r="D283"/>
  <c r="E283"/>
  <c r="B284"/>
  <c r="C284"/>
  <c r="D284"/>
  <c r="E284"/>
  <c r="B285"/>
  <c r="C285"/>
  <c r="D285"/>
  <c r="E285"/>
  <c r="B286"/>
  <c r="C286"/>
  <c r="D286"/>
  <c r="E286"/>
  <c r="B287"/>
  <c r="C287"/>
  <c r="D287"/>
  <c r="E287"/>
  <c r="B288"/>
  <c r="C288"/>
  <c r="D288"/>
  <c r="E288"/>
  <c r="B289"/>
  <c r="C289"/>
  <c r="D289"/>
  <c r="E289"/>
  <c r="B290"/>
  <c r="C290"/>
  <c r="D290"/>
  <c r="E290"/>
  <c r="B291"/>
  <c r="C291"/>
  <c r="D291"/>
  <c r="E291"/>
  <c r="B292"/>
  <c r="C292"/>
  <c r="D292"/>
  <c r="E292"/>
  <c r="B293"/>
  <c r="C293"/>
  <c r="D293"/>
  <c r="E293"/>
  <c r="B294"/>
  <c r="C294"/>
  <c r="D294"/>
  <c r="E294"/>
  <c r="B295"/>
  <c r="C295"/>
  <c r="D295"/>
  <c r="E295"/>
  <c r="B296"/>
  <c r="C296"/>
  <c r="D296"/>
  <c r="E296"/>
  <c r="B297"/>
  <c r="C297"/>
  <c r="D297"/>
  <c r="E297"/>
  <c r="B298"/>
  <c r="C298"/>
  <c r="D298"/>
  <c r="E298"/>
  <c r="B299"/>
  <c r="C299"/>
  <c r="D299"/>
  <c r="E299"/>
  <c r="B300"/>
  <c r="C300"/>
  <c r="D300"/>
  <c r="E300"/>
  <c r="B301"/>
  <c r="C301"/>
  <c r="D301"/>
  <c r="E301"/>
  <c r="B302"/>
  <c r="C302"/>
  <c r="D302"/>
  <c r="E302"/>
  <c r="B303"/>
  <c r="C303"/>
  <c r="D303"/>
  <c r="E303"/>
  <c r="B304"/>
  <c r="C304"/>
  <c r="D304"/>
  <c r="E304"/>
  <c r="B305"/>
  <c r="C305"/>
  <c r="D305"/>
  <c r="E305"/>
  <c r="B306"/>
  <c r="C306"/>
  <c r="D306"/>
  <c r="E306"/>
  <c r="B307"/>
  <c r="C307"/>
  <c r="D307"/>
  <c r="E307"/>
  <c r="B308"/>
  <c r="C308"/>
  <c r="D308"/>
  <c r="E308"/>
  <c r="B309"/>
  <c r="C309"/>
  <c r="D309"/>
  <c r="E309"/>
  <c r="B310"/>
  <c r="C310"/>
  <c r="D310"/>
  <c r="E310"/>
  <c r="B311"/>
  <c r="C311"/>
  <c r="D311"/>
  <c r="E311"/>
  <c r="B312"/>
  <c r="C312"/>
  <c r="D312"/>
  <c r="E312"/>
  <c r="B313"/>
  <c r="C313"/>
  <c r="D313"/>
  <c r="E313"/>
  <c r="B314"/>
  <c r="C314"/>
  <c r="D314"/>
  <c r="E314"/>
  <c r="B315"/>
  <c r="C315"/>
  <c r="D315"/>
  <c r="E315"/>
  <c r="B316"/>
  <c r="C316"/>
  <c r="D316"/>
  <c r="E316"/>
  <c r="B317"/>
  <c r="C317"/>
  <c r="D317"/>
  <c r="E317"/>
  <c r="B318"/>
  <c r="C318"/>
  <c r="D318"/>
  <c r="E318"/>
  <c r="B319"/>
  <c r="C319"/>
  <c r="D319"/>
  <c r="E319"/>
  <c r="B320"/>
  <c r="C320"/>
  <c r="D320"/>
  <c r="E320"/>
  <c r="B321"/>
  <c r="C321"/>
  <c r="D321"/>
  <c r="E321"/>
  <c r="B322"/>
  <c r="C322"/>
  <c r="D322"/>
  <c r="E322"/>
  <c r="B323"/>
  <c r="C323"/>
  <c r="D323"/>
  <c r="E323"/>
  <c r="B324"/>
  <c r="C324"/>
  <c r="D324"/>
  <c r="E324"/>
  <c r="B325"/>
  <c r="C325"/>
  <c r="D325"/>
  <c r="E325"/>
  <c r="B326"/>
  <c r="C326"/>
  <c r="D326"/>
  <c r="E326"/>
  <c r="B327"/>
  <c r="C327"/>
  <c r="D327"/>
  <c r="E327"/>
  <c r="B328"/>
  <c r="C328"/>
  <c r="D328"/>
  <c r="E328"/>
  <c r="B329"/>
  <c r="C329"/>
  <c r="D329"/>
  <c r="E329"/>
  <c r="B330"/>
  <c r="C330"/>
  <c r="D330"/>
  <c r="E330"/>
  <c r="B331"/>
  <c r="C331"/>
  <c r="D331"/>
  <c r="E331"/>
  <c r="B332"/>
  <c r="C332"/>
  <c r="D332"/>
  <c r="E332"/>
  <c r="B333"/>
  <c r="C333"/>
  <c r="D333"/>
  <c r="E333"/>
  <c r="B334"/>
  <c r="C334"/>
  <c r="D334"/>
  <c r="E334"/>
  <c r="B335"/>
  <c r="C335"/>
  <c r="D335"/>
  <c r="E335"/>
  <c r="B336"/>
  <c r="C336"/>
  <c r="D336"/>
  <c r="E336"/>
  <c r="B337"/>
  <c r="C337"/>
  <c r="D337"/>
  <c r="E337"/>
  <c r="B338"/>
  <c r="C338"/>
  <c r="D338"/>
  <c r="E338"/>
  <c r="B339"/>
  <c r="C339"/>
  <c r="D339"/>
  <c r="E339"/>
  <c r="B340"/>
  <c r="C340"/>
  <c r="D340"/>
  <c r="E340"/>
  <c r="B341"/>
  <c r="C341"/>
  <c r="D341"/>
  <c r="E341"/>
  <c r="B342"/>
  <c r="C342"/>
  <c r="D342"/>
  <c r="E342"/>
  <c r="B343"/>
  <c r="C343"/>
  <c r="D343"/>
  <c r="E343"/>
  <c r="B344"/>
  <c r="C344"/>
  <c r="D344"/>
  <c r="E344"/>
  <c r="B345"/>
  <c r="C345"/>
  <c r="D345"/>
  <c r="E345"/>
  <c r="B346"/>
  <c r="C346"/>
  <c r="D346"/>
  <c r="E346"/>
  <c r="B347"/>
  <c r="C347"/>
  <c r="D347"/>
  <c r="E347"/>
  <c r="B348"/>
  <c r="C348"/>
  <c r="D348"/>
  <c r="E348"/>
  <c r="B349"/>
  <c r="C349"/>
  <c r="D349"/>
  <c r="E349"/>
  <c r="B350"/>
  <c r="C350"/>
  <c r="D350"/>
  <c r="E350"/>
  <c r="B351"/>
  <c r="C351"/>
  <c r="D351"/>
  <c r="E351"/>
  <c r="B352"/>
  <c r="C352"/>
  <c r="D352"/>
  <c r="E352"/>
  <c r="B353"/>
  <c r="C353"/>
  <c r="D353"/>
  <c r="E353"/>
  <c r="B354"/>
  <c r="C354"/>
  <c r="D354"/>
  <c r="E354"/>
  <c r="B355"/>
  <c r="C355"/>
  <c r="D355"/>
  <c r="E355"/>
  <c r="B356"/>
  <c r="C356"/>
  <c r="D356"/>
  <c r="E356"/>
  <c r="B357"/>
  <c r="C357"/>
  <c r="D357"/>
  <c r="E357"/>
  <c r="B358"/>
  <c r="C358"/>
  <c r="D358"/>
  <c r="E358"/>
  <c r="B359"/>
  <c r="C359"/>
  <c r="D359"/>
  <c r="E359"/>
  <c r="B360"/>
  <c r="C360"/>
  <c r="D360"/>
  <c r="E360"/>
  <c r="B361"/>
  <c r="C361"/>
  <c r="D361"/>
  <c r="E361"/>
  <c r="B362"/>
  <c r="C362"/>
  <c r="D362"/>
  <c r="E362"/>
  <c r="B363"/>
  <c r="C363"/>
  <c r="D363"/>
  <c r="E363"/>
  <c r="B364"/>
  <c r="C364"/>
  <c r="D364"/>
  <c r="E364"/>
  <c r="B365"/>
  <c r="C365"/>
  <c r="D365"/>
  <c r="E365"/>
  <c r="B366"/>
  <c r="C366"/>
  <c r="D366"/>
  <c r="E366"/>
  <c r="B367"/>
  <c r="C367"/>
  <c r="D367"/>
  <c r="E367"/>
  <c r="B368"/>
  <c r="C368"/>
  <c r="D368"/>
  <c r="E368"/>
  <c r="B369"/>
  <c r="C369"/>
  <c r="D369"/>
  <c r="E369"/>
  <c r="B370"/>
  <c r="C370"/>
  <c r="D370"/>
  <c r="E370"/>
  <c r="B371"/>
  <c r="C371"/>
  <c r="D371"/>
  <c r="E371"/>
  <c r="B372"/>
  <c r="C372"/>
  <c r="D372"/>
  <c r="E372"/>
  <c r="B373"/>
  <c r="C373"/>
  <c r="D373"/>
  <c r="E373"/>
  <c r="B374"/>
  <c r="C374"/>
  <c r="D374"/>
  <c r="E374"/>
  <c r="B375"/>
  <c r="C375"/>
  <c r="D375"/>
  <c r="E375"/>
  <c r="B376"/>
  <c r="C376"/>
  <c r="D376"/>
  <c r="E376"/>
  <c r="B377"/>
  <c r="C377"/>
  <c r="D377"/>
  <c r="E377"/>
  <c r="B378"/>
  <c r="C378"/>
  <c r="D378"/>
  <c r="E378"/>
  <c r="B379"/>
  <c r="C379"/>
  <c r="D379"/>
  <c r="E379"/>
  <c r="B380"/>
  <c r="C380"/>
  <c r="D380"/>
  <c r="E380"/>
  <c r="B381"/>
  <c r="C381"/>
  <c r="D381"/>
  <c r="E381"/>
  <c r="B382"/>
  <c r="C382"/>
  <c r="D382"/>
  <c r="E382"/>
  <c r="B383"/>
  <c r="C383"/>
  <c r="D383"/>
  <c r="E383"/>
  <c r="B384"/>
  <c r="C384"/>
  <c r="D384"/>
  <c r="E384"/>
  <c r="B385"/>
  <c r="C385"/>
  <c r="D385"/>
  <c r="E385"/>
  <c r="B386"/>
  <c r="C386"/>
  <c r="D386"/>
  <c r="E386"/>
  <c r="B387"/>
  <c r="C387"/>
  <c r="D387"/>
  <c r="E387"/>
  <c r="B388"/>
  <c r="C388"/>
  <c r="D388"/>
  <c r="E388"/>
  <c r="B389"/>
  <c r="C389"/>
  <c r="D389"/>
  <c r="E389"/>
  <c r="B390"/>
  <c r="C390"/>
  <c r="D390"/>
  <c r="E390"/>
  <c r="B391"/>
  <c r="C391"/>
  <c r="D391"/>
  <c r="E391"/>
  <c r="B392"/>
  <c r="C392"/>
  <c r="D392"/>
  <c r="E392"/>
  <c r="B393"/>
  <c r="C393"/>
  <c r="D393"/>
  <c r="E393"/>
  <c r="B394"/>
  <c r="C394"/>
  <c r="D394"/>
  <c r="E394"/>
  <c r="B395"/>
  <c r="C395"/>
  <c r="D395"/>
  <c r="E395"/>
  <c r="B396"/>
  <c r="C396"/>
  <c r="D396"/>
  <c r="E396"/>
  <c r="B397"/>
  <c r="C397"/>
  <c r="D397"/>
  <c r="E397"/>
  <c r="B398"/>
  <c r="C398"/>
  <c r="D398"/>
  <c r="E398"/>
  <c r="B399"/>
  <c r="C399"/>
  <c r="D399"/>
  <c r="E399"/>
  <c r="B400"/>
  <c r="C400"/>
  <c r="D400"/>
  <c r="E400"/>
  <c r="B401"/>
  <c r="C401"/>
  <c r="D401"/>
  <c r="E401"/>
  <c r="B402"/>
  <c r="C402"/>
  <c r="D402"/>
  <c r="E402"/>
  <c r="B403"/>
  <c r="C403"/>
  <c r="D403"/>
  <c r="E403"/>
  <c r="B404"/>
  <c r="C404"/>
  <c r="D404"/>
  <c r="E404"/>
  <c r="B405"/>
  <c r="C405"/>
  <c r="D405"/>
  <c r="E405"/>
  <c r="B406"/>
  <c r="C406"/>
  <c r="D406"/>
  <c r="E406"/>
  <c r="B407"/>
  <c r="C407"/>
  <c r="D407"/>
  <c r="E407"/>
  <c r="B408"/>
  <c r="C408"/>
  <c r="D408"/>
  <c r="E408"/>
  <c r="B409"/>
  <c r="C409"/>
  <c r="D409"/>
  <c r="E409"/>
  <c r="B410"/>
  <c r="C410"/>
  <c r="D410"/>
  <c r="E410"/>
  <c r="B411"/>
  <c r="C411"/>
  <c r="D411"/>
  <c r="E411"/>
  <c r="B412"/>
  <c r="C412"/>
  <c r="D412"/>
  <c r="E412"/>
  <c r="B413"/>
  <c r="C413"/>
  <c r="D413"/>
  <c r="E413"/>
  <c r="B414"/>
  <c r="C414"/>
  <c r="D414"/>
  <c r="E414"/>
  <c r="B415"/>
  <c r="C415"/>
  <c r="D415"/>
  <c r="E415"/>
  <c r="B416"/>
  <c r="C416"/>
  <c r="D416"/>
  <c r="E416"/>
  <c r="B417"/>
  <c r="C417"/>
  <c r="D417"/>
  <c r="E417"/>
  <c r="B418"/>
  <c r="C418"/>
  <c r="D418"/>
  <c r="E418"/>
  <c r="B419"/>
  <c r="C419"/>
  <c r="D419"/>
  <c r="E419"/>
  <c r="B420"/>
  <c r="C420"/>
  <c r="D420"/>
  <c r="E420"/>
  <c r="B421"/>
  <c r="C421"/>
  <c r="D421"/>
  <c r="E421"/>
  <c r="B422"/>
  <c r="C422"/>
  <c r="D422"/>
  <c r="E422"/>
  <c r="B423"/>
  <c r="C423"/>
  <c r="D423"/>
  <c r="E423"/>
  <c r="H112"/>
  <c r="I112"/>
  <c r="J112"/>
  <c r="K112"/>
  <c r="H113"/>
  <c r="I113"/>
  <c r="J113"/>
  <c r="K113"/>
  <c r="H114"/>
  <c r="I114"/>
  <c r="J114"/>
  <c r="K114"/>
  <c r="H115"/>
  <c r="I115"/>
  <c r="J115"/>
  <c r="K115"/>
  <c r="H116"/>
  <c r="I116"/>
  <c r="J116"/>
  <c r="K116"/>
  <c r="H117"/>
  <c r="I117"/>
  <c r="J117"/>
  <c r="K117"/>
  <c r="H118"/>
  <c r="I118"/>
  <c r="J118"/>
  <c r="K118"/>
  <c r="H119"/>
  <c r="I119"/>
  <c r="J119"/>
  <c r="K119"/>
  <c r="H120"/>
  <c r="I120"/>
  <c r="J120"/>
  <c r="K120"/>
  <c r="H121"/>
  <c r="I121"/>
  <c r="J121"/>
  <c r="K121"/>
  <c r="H122"/>
  <c r="I122"/>
  <c r="J122"/>
  <c r="K122"/>
  <c r="H123"/>
  <c r="I123"/>
  <c r="J123"/>
  <c r="K123"/>
  <c r="H124"/>
  <c r="I124"/>
  <c r="J124"/>
  <c r="K124"/>
  <c r="H125"/>
  <c r="I125"/>
  <c r="J125"/>
  <c r="K125"/>
  <c r="H126"/>
  <c r="I126"/>
  <c r="J126"/>
  <c r="K126"/>
  <c r="H127"/>
  <c r="I127"/>
  <c r="J127"/>
  <c r="K127"/>
  <c r="H128"/>
  <c r="I128"/>
  <c r="J128"/>
  <c r="K128"/>
  <c r="H129"/>
  <c r="I129"/>
  <c r="J129"/>
  <c r="K129"/>
  <c r="H130"/>
  <c r="I130"/>
  <c r="J130"/>
  <c r="K130"/>
  <c r="H131"/>
  <c r="I131"/>
  <c r="J131"/>
  <c r="K131"/>
  <c r="H132"/>
  <c r="I132"/>
  <c r="J132"/>
  <c r="K132"/>
  <c r="H133"/>
  <c r="I133"/>
  <c r="J133"/>
  <c r="K133"/>
  <c r="H134"/>
  <c r="I134"/>
  <c r="J134"/>
  <c r="K134"/>
  <c r="H135"/>
  <c r="I135"/>
  <c r="J135"/>
  <c r="K135"/>
  <c r="H136"/>
  <c r="I136"/>
  <c r="J136"/>
  <c r="K136"/>
  <c r="H137"/>
  <c r="I137"/>
  <c r="J137"/>
  <c r="K137"/>
  <c r="H138"/>
  <c r="I138"/>
  <c r="J138"/>
  <c r="K138"/>
  <c r="H139"/>
  <c r="I139"/>
  <c r="J139"/>
  <c r="K139"/>
  <c r="H140"/>
  <c r="I140"/>
  <c r="J140"/>
  <c r="K140"/>
  <c r="H141"/>
  <c r="I141"/>
  <c r="J141"/>
  <c r="K141"/>
  <c r="H142"/>
  <c r="I142"/>
  <c r="J142"/>
  <c r="K142"/>
  <c r="H143"/>
  <c r="I143"/>
  <c r="J143"/>
  <c r="K143"/>
  <c r="H144"/>
  <c r="I144"/>
  <c r="J144"/>
  <c r="K144"/>
  <c r="H145"/>
  <c r="I145"/>
  <c r="J145"/>
  <c r="K145"/>
  <c r="H146"/>
  <c r="I146"/>
  <c r="J146"/>
  <c r="K146"/>
  <c r="H147"/>
  <c r="I147"/>
  <c r="J147"/>
  <c r="K147"/>
  <c r="H148"/>
  <c r="I148"/>
  <c r="J148"/>
  <c r="K148"/>
  <c r="H149"/>
  <c r="I149"/>
  <c r="J149"/>
  <c r="K149"/>
  <c r="H150"/>
  <c r="I150"/>
  <c r="J150"/>
  <c r="K150"/>
  <c r="H151"/>
  <c r="I151"/>
  <c r="J151"/>
  <c r="K151"/>
  <c r="H152"/>
  <c r="I152"/>
  <c r="J152"/>
  <c r="K152"/>
  <c r="H153"/>
  <c r="I153"/>
  <c r="J153"/>
  <c r="K153"/>
  <c r="H154"/>
  <c r="I154"/>
  <c r="J154"/>
  <c r="K154"/>
  <c r="H155"/>
  <c r="I155"/>
  <c r="J155"/>
  <c r="K155"/>
  <c r="H156"/>
  <c r="I156"/>
  <c r="J156"/>
  <c r="K156"/>
  <c r="H157"/>
  <c r="I157"/>
  <c r="J157"/>
  <c r="K157"/>
  <c r="H158"/>
  <c r="I158"/>
  <c r="J158"/>
  <c r="K158"/>
  <c r="H159"/>
  <c r="I159"/>
  <c r="J159"/>
  <c r="K159"/>
  <c r="H160"/>
  <c r="I160"/>
  <c r="J160"/>
  <c r="K160"/>
  <c r="H161"/>
  <c r="I161"/>
  <c r="J161"/>
  <c r="K161"/>
  <c r="H162"/>
  <c r="I162"/>
  <c r="J162"/>
  <c r="K162"/>
  <c r="H163"/>
  <c r="I163"/>
  <c r="J163"/>
  <c r="K163"/>
  <c r="H164"/>
  <c r="I164"/>
  <c r="J164"/>
  <c r="K164"/>
  <c r="H165"/>
  <c r="I165"/>
  <c r="J165"/>
  <c r="K165"/>
  <c r="H166"/>
  <c r="I166"/>
  <c r="J166"/>
  <c r="K166"/>
  <c r="H167"/>
  <c r="I167"/>
  <c r="J167"/>
  <c r="K167"/>
  <c r="H168"/>
  <c r="I168"/>
  <c r="J168"/>
  <c r="K168"/>
  <c r="H169"/>
  <c r="I169"/>
  <c r="J169"/>
  <c r="K169"/>
  <c r="H170"/>
  <c r="I170"/>
  <c r="J170"/>
  <c r="K170"/>
  <c r="H171"/>
  <c r="I171"/>
  <c r="J171"/>
  <c r="K171"/>
  <c r="H172"/>
  <c r="I172"/>
  <c r="J172"/>
  <c r="K172"/>
  <c r="H173"/>
  <c r="I173"/>
  <c r="J173"/>
  <c r="K173"/>
  <c r="H174"/>
  <c r="I174"/>
  <c r="J174"/>
  <c r="K174"/>
  <c r="H175"/>
  <c r="I175"/>
  <c r="J175"/>
  <c r="K175"/>
  <c r="H176"/>
  <c r="I176"/>
  <c r="J176"/>
  <c r="K176"/>
  <c r="H177"/>
  <c r="I177"/>
  <c r="J177"/>
  <c r="K177"/>
  <c r="H178"/>
  <c r="I178"/>
  <c r="J178"/>
  <c r="K178"/>
  <c r="H179"/>
  <c r="I179"/>
  <c r="J179"/>
  <c r="K179"/>
  <c r="H180"/>
  <c r="I180"/>
  <c r="J180"/>
  <c r="K180"/>
  <c r="H181"/>
  <c r="I181"/>
  <c r="J181"/>
  <c r="K181"/>
  <c r="H182"/>
  <c r="I182"/>
  <c r="J182"/>
  <c r="K182"/>
  <c r="H183"/>
  <c r="I183"/>
  <c r="J183"/>
  <c r="K183"/>
  <c r="H184"/>
  <c r="I184"/>
  <c r="J184"/>
  <c r="K184"/>
  <c r="H185"/>
  <c r="I185"/>
  <c r="J185"/>
  <c r="K185"/>
  <c r="H186"/>
  <c r="I186"/>
  <c r="J186"/>
  <c r="K186"/>
  <c r="H187"/>
  <c r="I187"/>
  <c r="J187"/>
  <c r="K187"/>
  <c r="H188"/>
  <c r="I188"/>
  <c r="J188"/>
  <c r="K188"/>
  <c r="H189"/>
  <c r="I189"/>
  <c r="J189"/>
  <c r="K189"/>
  <c r="H190"/>
  <c r="I190"/>
  <c r="J190"/>
  <c r="K190"/>
  <c r="H191"/>
  <c r="I191"/>
  <c r="J191"/>
  <c r="K191"/>
  <c r="H192"/>
  <c r="I192"/>
  <c r="J192"/>
  <c r="K192"/>
  <c r="H193"/>
  <c r="I193"/>
  <c r="J193"/>
  <c r="K193"/>
  <c r="H194"/>
  <c r="I194"/>
  <c r="J194"/>
  <c r="K194"/>
  <c r="H195"/>
  <c r="I195"/>
  <c r="J195"/>
  <c r="K195"/>
  <c r="H196"/>
  <c r="I196"/>
  <c r="J196"/>
  <c r="K196"/>
  <c r="H197"/>
  <c r="I197"/>
  <c r="J197"/>
  <c r="K197"/>
  <c r="H198"/>
  <c r="I198"/>
  <c r="J198"/>
  <c r="K198"/>
  <c r="H199"/>
  <c r="I199"/>
  <c r="J199"/>
  <c r="K199"/>
  <c r="H200"/>
  <c r="I200"/>
  <c r="J200"/>
  <c r="K200"/>
  <c r="H201"/>
  <c r="I201"/>
  <c r="J201"/>
  <c r="K201"/>
  <c r="H202"/>
  <c r="I202"/>
  <c r="J202"/>
  <c r="K202"/>
  <c r="H203"/>
  <c r="I203"/>
  <c r="J203"/>
  <c r="K203"/>
  <c r="H204"/>
  <c r="I204"/>
  <c r="J204"/>
  <c r="K204"/>
  <c r="H205"/>
  <c r="I205"/>
  <c r="J205"/>
  <c r="K205"/>
  <c r="H206"/>
  <c r="I206"/>
  <c r="J206"/>
  <c r="K206"/>
  <c r="H207"/>
  <c r="I207"/>
  <c r="J207"/>
  <c r="K207"/>
  <c r="H208"/>
  <c r="I208"/>
  <c r="J208"/>
  <c r="K208"/>
  <c r="H209"/>
  <c r="I209"/>
  <c r="J209"/>
  <c r="K209"/>
  <c r="H210"/>
  <c r="I210"/>
  <c r="J210"/>
  <c r="K210"/>
  <c r="H211"/>
  <c r="I211"/>
  <c r="J211"/>
  <c r="K211"/>
  <c r="H212"/>
  <c r="I212"/>
  <c r="J212"/>
  <c r="K212"/>
  <c r="H213"/>
  <c r="I213"/>
  <c r="J213"/>
  <c r="K213"/>
  <c r="H214"/>
  <c r="I214"/>
  <c r="J214"/>
  <c r="K214"/>
  <c r="H215"/>
  <c r="I215"/>
  <c r="J215"/>
  <c r="K215"/>
  <c r="H216"/>
  <c r="I216"/>
  <c r="J216"/>
  <c r="K216"/>
  <c r="H217"/>
  <c r="I217"/>
  <c r="J217"/>
  <c r="K217"/>
  <c r="H218"/>
  <c r="I218"/>
  <c r="J218"/>
  <c r="K218"/>
  <c r="H219"/>
  <c r="I219"/>
  <c r="J219"/>
  <c r="K219"/>
  <c r="H220"/>
  <c r="I220"/>
  <c r="J220"/>
  <c r="K220"/>
  <c r="H221"/>
  <c r="I221"/>
  <c r="J221"/>
  <c r="K221"/>
  <c r="H222"/>
  <c r="I222"/>
  <c r="J222"/>
  <c r="K222"/>
  <c r="H223"/>
  <c r="I223"/>
  <c r="J223"/>
  <c r="K223"/>
  <c r="H224"/>
  <c r="I224"/>
  <c r="J224"/>
  <c r="K224"/>
  <c r="H225"/>
  <c r="I225"/>
  <c r="J225"/>
  <c r="K225"/>
  <c r="H226"/>
  <c r="I226"/>
  <c r="J226"/>
  <c r="K226"/>
  <c r="H227"/>
  <c r="I227"/>
  <c r="J227"/>
  <c r="K227"/>
  <c r="H228"/>
  <c r="I228"/>
  <c r="J228"/>
  <c r="K228"/>
  <c r="H229"/>
  <c r="I229"/>
  <c r="J229"/>
  <c r="K229"/>
  <c r="H230"/>
  <c r="I230"/>
  <c r="J230"/>
  <c r="K230"/>
  <c r="H231"/>
  <c r="I231"/>
  <c r="J231"/>
  <c r="K231"/>
  <c r="H232"/>
  <c r="I232"/>
  <c r="J232"/>
  <c r="K232"/>
  <c r="H233"/>
  <c r="I233"/>
  <c r="J233"/>
  <c r="K233"/>
  <c r="H234"/>
  <c r="I234"/>
  <c r="J234"/>
  <c r="K234"/>
  <c r="H235"/>
  <c r="I235"/>
  <c r="J235"/>
  <c r="K235"/>
  <c r="H236"/>
  <c r="I236"/>
  <c r="J236"/>
  <c r="K236"/>
  <c r="H237"/>
  <c r="I237"/>
  <c r="J237"/>
  <c r="K237"/>
  <c r="H238"/>
  <c r="I238"/>
  <c r="J238"/>
  <c r="K238"/>
  <c r="H239"/>
  <c r="I239"/>
  <c r="J239"/>
  <c r="K239"/>
  <c r="H240"/>
  <c r="I240"/>
  <c r="J240"/>
  <c r="K240"/>
  <c r="H241"/>
  <c r="I241"/>
  <c r="J241"/>
  <c r="K241"/>
  <c r="H242"/>
  <c r="I242"/>
  <c r="J242"/>
  <c r="K242"/>
  <c r="H243"/>
  <c r="I243"/>
  <c r="J243"/>
  <c r="K243"/>
  <c r="H244"/>
  <c r="I244"/>
  <c r="J244"/>
  <c r="K244"/>
  <c r="H245"/>
  <c r="I245"/>
  <c r="J245"/>
  <c r="K245"/>
  <c r="H246"/>
  <c r="I246"/>
  <c r="J246"/>
  <c r="K246"/>
  <c r="H247"/>
  <c r="I247"/>
  <c r="J247"/>
  <c r="K247"/>
  <c r="H248"/>
  <c r="I248"/>
  <c r="J248"/>
  <c r="K248"/>
  <c r="H249"/>
  <c r="I249"/>
  <c r="J249"/>
  <c r="K249"/>
  <c r="H250"/>
  <c r="I250"/>
  <c r="J250"/>
  <c r="K250"/>
  <c r="H251"/>
  <c r="I251"/>
  <c r="J251"/>
  <c r="K251"/>
  <c r="H252"/>
  <c r="I252"/>
  <c r="J252"/>
  <c r="K252"/>
  <c r="H253"/>
  <c r="I253"/>
  <c r="J253"/>
  <c r="K253"/>
  <c r="H254"/>
  <c r="I254"/>
  <c r="J254"/>
  <c r="K254"/>
  <c r="H255"/>
  <c r="I255"/>
  <c r="J255"/>
  <c r="K255"/>
  <c r="H256"/>
  <c r="I256"/>
  <c r="J256"/>
  <c r="K256"/>
  <c r="H257"/>
  <c r="I257"/>
  <c r="J257"/>
  <c r="K257"/>
  <c r="H258"/>
  <c r="I258"/>
  <c r="J258"/>
  <c r="K258"/>
  <c r="H259"/>
  <c r="I259"/>
  <c r="J259"/>
  <c r="K259"/>
  <c r="H260"/>
  <c r="I260"/>
  <c r="J260"/>
  <c r="K260"/>
  <c r="H261"/>
  <c r="I261"/>
  <c r="J261"/>
  <c r="K261"/>
  <c r="H262"/>
  <c r="I262"/>
  <c r="J262"/>
  <c r="K262"/>
  <c r="H263"/>
  <c r="I263"/>
  <c r="J263"/>
  <c r="K263"/>
  <c r="H264"/>
  <c r="I264"/>
  <c r="J264"/>
  <c r="K264"/>
  <c r="H265"/>
  <c r="I265"/>
  <c r="J265"/>
  <c r="K265"/>
  <c r="H266"/>
  <c r="I266"/>
  <c r="J266"/>
  <c r="K266"/>
  <c r="H267"/>
  <c r="I267"/>
  <c r="J267"/>
  <c r="K267"/>
  <c r="H268"/>
  <c r="I268"/>
  <c r="J268"/>
  <c r="K268"/>
  <c r="H269"/>
  <c r="I269"/>
  <c r="J269"/>
  <c r="K269"/>
  <c r="H270"/>
  <c r="I270"/>
  <c r="J270"/>
  <c r="K270"/>
  <c r="H271"/>
  <c r="I271"/>
  <c r="J271"/>
  <c r="K271"/>
  <c r="H272"/>
  <c r="I272"/>
  <c r="J272"/>
  <c r="K272"/>
  <c r="H273"/>
  <c r="I273"/>
  <c r="J273"/>
  <c r="K273"/>
  <c r="H274"/>
  <c r="I274"/>
  <c r="J274"/>
  <c r="K274"/>
  <c r="H275"/>
  <c r="I275"/>
  <c r="J275"/>
  <c r="K275"/>
  <c r="H276"/>
  <c r="I276"/>
  <c r="J276"/>
  <c r="K276"/>
  <c r="H277"/>
  <c r="I277"/>
  <c r="J277"/>
  <c r="K277"/>
  <c r="H278"/>
  <c r="I278"/>
  <c r="J278"/>
  <c r="K278"/>
  <c r="H279"/>
  <c r="I279"/>
  <c r="J279"/>
  <c r="K279"/>
  <c r="H280"/>
  <c r="I280"/>
  <c r="J280"/>
  <c r="K280"/>
  <c r="H281"/>
  <c r="I281"/>
  <c r="J281"/>
  <c r="K281"/>
  <c r="H282"/>
  <c r="I282"/>
  <c r="J282"/>
  <c r="K282"/>
  <c r="H283"/>
  <c r="I283"/>
  <c r="J283"/>
  <c r="K283"/>
  <c r="H284"/>
  <c r="I284"/>
  <c r="J284"/>
  <c r="K284"/>
  <c r="H285"/>
  <c r="I285"/>
  <c r="J285"/>
  <c r="K285"/>
  <c r="H286"/>
  <c r="I286"/>
  <c r="J286"/>
  <c r="K286"/>
  <c r="H287"/>
  <c r="I287"/>
  <c r="J287"/>
  <c r="K287"/>
  <c r="H288"/>
  <c r="I288"/>
  <c r="J288"/>
  <c r="K288"/>
  <c r="H289"/>
  <c r="I289"/>
  <c r="J289"/>
  <c r="K289"/>
  <c r="H290"/>
  <c r="I290"/>
  <c r="J290"/>
  <c r="K290"/>
  <c r="H291"/>
  <c r="I291"/>
  <c r="J291"/>
  <c r="K291"/>
  <c r="H292"/>
  <c r="I292"/>
  <c r="J292"/>
  <c r="K292"/>
  <c r="H293"/>
  <c r="I293"/>
  <c r="J293"/>
  <c r="K293"/>
  <c r="H294"/>
  <c r="I294"/>
  <c r="J294"/>
  <c r="K294"/>
  <c r="H295"/>
  <c r="I295"/>
  <c r="J295"/>
  <c r="K295"/>
  <c r="H296"/>
  <c r="I296"/>
  <c r="J296"/>
  <c r="K296"/>
  <c r="H297"/>
  <c r="I297"/>
  <c r="J297"/>
  <c r="K297"/>
  <c r="H298"/>
  <c r="I298"/>
  <c r="J298"/>
  <c r="K298"/>
  <c r="H299"/>
  <c r="I299"/>
  <c r="J299"/>
  <c r="K299"/>
  <c r="H300"/>
  <c r="I300"/>
  <c r="J300"/>
  <c r="K300"/>
  <c r="H301"/>
  <c r="I301"/>
  <c r="J301"/>
  <c r="K301"/>
  <c r="H302"/>
  <c r="I302"/>
  <c r="J302"/>
  <c r="K302"/>
  <c r="H303"/>
  <c r="I303"/>
  <c r="J303"/>
  <c r="K303"/>
  <c r="H304"/>
  <c r="I304"/>
  <c r="J304"/>
  <c r="K304"/>
  <c r="H305"/>
  <c r="I305"/>
  <c r="J305"/>
  <c r="K305"/>
  <c r="H306"/>
  <c r="I306"/>
  <c r="J306"/>
  <c r="K306"/>
  <c r="H307"/>
  <c r="I307"/>
  <c r="J307"/>
  <c r="K307"/>
  <c r="H308"/>
  <c r="I308"/>
  <c r="J308"/>
  <c r="K308"/>
  <c r="H309"/>
  <c r="I309"/>
  <c r="J309"/>
  <c r="K309"/>
  <c r="H310"/>
  <c r="I310"/>
  <c r="J310"/>
  <c r="K310"/>
  <c r="H311"/>
  <c r="I311"/>
  <c r="J311"/>
  <c r="K311"/>
  <c r="H312"/>
  <c r="I312"/>
  <c r="J312"/>
  <c r="K312"/>
  <c r="H313"/>
  <c r="I313"/>
  <c r="J313"/>
  <c r="K313"/>
  <c r="H314"/>
  <c r="I314"/>
  <c r="J314"/>
  <c r="K314"/>
  <c r="H315"/>
  <c r="I315"/>
  <c r="J315"/>
  <c r="K315"/>
  <c r="H316"/>
  <c r="I316"/>
  <c r="J316"/>
  <c r="K316"/>
  <c r="H317"/>
  <c r="I317"/>
  <c r="J317"/>
  <c r="K317"/>
  <c r="H318"/>
  <c r="I318"/>
  <c r="J318"/>
  <c r="K318"/>
  <c r="H319"/>
  <c r="I319"/>
  <c r="J319"/>
  <c r="K319"/>
  <c r="H320"/>
  <c r="I320"/>
  <c r="J320"/>
  <c r="K320"/>
  <c r="H321"/>
  <c r="I321"/>
  <c r="J321"/>
  <c r="K321"/>
  <c r="H322"/>
  <c r="I322"/>
  <c r="J322"/>
  <c r="K322"/>
  <c r="H323"/>
  <c r="I323"/>
  <c r="J323"/>
  <c r="K323"/>
  <c r="H324"/>
  <c r="I324"/>
  <c r="J324"/>
  <c r="K324"/>
  <c r="H325"/>
  <c r="I325"/>
  <c r="J325"/>
  <c r="K325"/>
  <c r="H326"/>
  <c r="I326"/>
  <c r="J326"/>
  <c r="K326"/>
  <c r="H327"/>
  <c r="I327"/>
  <c r="J327"/>
  <c r="K327"/>
  <c r="H328"/>
  <c r="I328"/>
  <c r="J328"/>
  <c r="K328"/>
  <c r="H329"/>
  <c r="I329"/>
  <c r="J329"/>
  <c r="K329"/>
  <c r="H330"/>
  <c r="I330"/>
  <c r="J330"/>
  <c r="K330"/>
  <c r="H331"/>
  <c r="I331"/>
  <c r="J331"/>
  <c r="K331"/>
  <c r="H332"/>
  <c r="I332"/>
  <c r="J332"/>
  <c r="K332"/>
  <c r="H333"/>
  <c r="I333"/>
  <c r="J333"/>
  <c r="K333"/>
  <c r="H334"/>
  <c r="I334"/>
  <c r="J334"/>
  <c r="K334"/>
  <c r="H335"/>
  <c r="I335"/>
  <c r="J335"/>
  <c r="K335"/>
  <c r="H336"/>
  <c r="I336"/>
  <c r="J336"/>
  <c r="K336"/>
  <c r="H337"/>
  <c r="I337"/>
  <c r="J337"/>
  <c r="K337"/>
  <c r="H338"/>
  <c r="I338"/>
  <c r="J338"/>
  <c r="K338"/>
  <c r="H339"/>
  <c r="I339"/>
  <c r="J339"/>
  <c r="K339"/>
  <c r="H340"/>
  <c r="I340"/>
  <c r="J340"/>
  <c r="K340"/>
  <c r="H341"/>
  <c r="I341"/>
  <c r="J341"/>
  <c r="K341"/>
  <c r="H342"/>
  <c r="I342"/>
  <c r="J342"/>
  <c r="K342"/>
  <c r="H343"/>
  <c r="I343"/>
  <c r="J343"/>
  <c r="K343"/>
  <c r="H344"/>
  <c r="I344"/>
  <c r="J344"/>
  <c r="K344"/>
  <c r="H345"/>
  <c r="I345"/>
  <c r="J345"/>
  <c r="K345"/>
  <c r="H346"/>
  <c r="I346"/>
  <c r="J346"/>
  <c r="K346"/>
  <c r="H347"/>
  <c r="I347"/>
  <c r="J347"/>
  <c r="K347"/>
  <c r="H348"/>
  <c r="I348"/>
  <c r="J348"/>
  <c r="K348"/>
  <c r="H349"/>
  <c r="I349"/>
  <c r="J349"/>
  <c r="K349"/>
  <c r="H350"/>
  <c r="I350"/>
  <c r="J350"/>
  <c r="K350"/>
  <c r="H351"/>
  <c r="I351"/>
  <c r="J351"/>
  <c r="K351"/>
  <c r="H352"/>
  <c r="I352"/>
  <c r="J352"/>
  <c r="K352"/>
  <c r="H353"/>
  <c r="I353"/>
  <c r="J353"/>
  <c r="K353"/>
  <c r="H354"/>
  <c r="I354"/>
  <c r="J354"/>
  <c r="K354"/>
  <c r="H355"/>
  <c r="I355"/>
  <c r="J355"/>
  <c r="K355"/>
  <c r="H356"/>
  <c r="I356"/>
  <c r="J356"/>
  <c r="K356"/>
  <c r="H357"/>
  <c r="I357"/>
  <c r="J357"/>
  <c r="K357"/>
  <c r="H358"/>
  <c r="I358"/>
  <c r="J358"/>
  <c r="K358"/>
  <c r="H359"/>
  <c r="I359"/>
  <c r="J359"/>
  <c r="K359"/>
  <c r="H360"/>
  <c r="I360"/>
  <c r="J360"/>
  <c r="K360"/>
  <c r="H361"/>
  <c r="I361"/>
  <c r="J361"/>
  <c r="K361"/>
  <c r="H362"/>
  <c r="I362"/>
  <c r="J362"/>
  <c r="K362"/>
  <c r="H363"/>
  <c r="I363"/>
  <c r="J363"/>
  <c r="K363"/>
  <c r="H364"/>
  <c r="I364"/>
  <c r="J364"/>
  <c r="K364"/>
  <c r="H365"/>
  <c r="I365"/>
  <c r="J365"/>
  <c r="K365"/>
  <c r="H366"/>
  <c r="I366"/>
  <c r="J366"/>
  <c r="K366"/>
  <c r="H367"/>
  <c r="I367"/>
  <c r="J367"/>
  <c r="K367"/>
  <c r="H368"/>
  <c r="I368"/>
  <c r="J368"/>
  <c r="K368"/>
  <c r="H369"/>
  <c r="I369"/>
  <c r="J369"/>
  <c r="K369"/>
  <c r="H370"/>
  <c r="I370"/>
  <c r="J370"/>
  <c r="K370"/>
  <c r="H371"/>
  <c r="I371"/>
  <c r="J371"/>
  <c r="K371"/>
  <c r="H372"/>
  <c r="I372"/>
  <c r="J372"/>
  <c r="K372"/>
  <c r="H373"/>
  <c r="I373"/>
  <c r="J373"/>
  <c r="K373"/>
  <c r="H374"/>
  <c r="I374"/>
  <c r="J374"/>
  <c r="K374"/>
  <c r="H375"/>
  <c r="I375"/>
  <c r="J375"/>
  <c r="K375"/>
  <c r="H376"/>
  <c r="I376"/>
  <c r="J376"/>
  <c r="K376"/>
  <c r="H377"/>
  <c r="I377"/>
  <c r="J377"/>
  <c r="K377"/>
  <c r="H378"/>
  <c r="I378"/>
  <c r="J378"/>
  <c r="K378"/>
  <c r="H379"/>
  <c r="I379"/>
  <c r="J379"/>
  <c r="K379"/>
  <c r="H380"/>
  <c r="I380"/>
  <c r="J380"/>
  <c r="K380"/>
  <c r="H381"/>
  <c r="I381"/>
  <c r="J381"/>
  <c r="K381"/>
  <c r="H382"/>
  <c r="I382"/>
  <c r="J382"/>
  <c r="K382"/>
  <c r="H383"/>
  <c r="I383"/>
  <c r="J383"/>
  <c r="K383"/>
  <c r="H384"/>
  <c r="I384"/>
  <c r="J384"/>
  <c r="K384"/>
  <c r="H385"/>
  <c r="I385"/>
  <c r="J385"/>
  <c r="K385"/>
  <c r="H386"/>
  <c r="I386"/>
  <c r="J386"/>
  <c r="K386"/>
  <c r="H387"/>
  <c r="I387"/>
  <c r="J387"/>
  <c r="K387"/>
  <c r="H388"/>
  <c r="I388"/>
  <c r="J388"/>
  <c r="K388"/>
  <c r="H389"/>
  <c r="I389"/>
  <c r="J389"/>
  <c r="K389"/>
  <c r="H390"/>
  <c r="I390"/>
  <c r="J390"/>
  <c r="K390"/>
  <c r="H391"/>
  <c r="I391"/>
  <c r="J391"/>
  <c r="K391"/>
  <c r="H392"/>
  <c r="I392"/>
  <c r="J392"/>
  <c r="K392"/>
  <c r="H393"/>
  <c r="I393"/>
  <c r="J393"/>
  <c r="K393"/>
  <c r="H394"/>
  <c r="I394"/>
  <c r="J394"/>
  <c r="K394"/>
  <c r="H395"/>
  <c r="I395"/>
  <c r="J395"/>
  <c r="K395"/>
  <c r="H396"/>
  <c r="I396"/>
  <c r="J396"/>
  <c r="K396"/>
  <c r="H397"/>
  <c r="I397"/>
  <c r="J397"/>
  <c r="K397"/>
  <c r="H398"/>
  <c r="I398"/>
  <c r="J398"/>
  <c r="K398"/>
  <c r="H399"/>
  <c r="I399"/>
  <c r="J399"/>
  <c r="K399"/>
  <c r="H400"/>
  <c r="I400"/>
  <c r="J400"/>
  <c r="K400"/>
  <c r="H401"/>
  <c r="I401"/>
  <c r="J401"/>
  <c r="K401"/>
  <c r="H402"/>
  <c r="I402"/>
  <c r="J402"/>
  <c r="K402"/>
  <c r="H403"/>
  <c r="I403"/>
  <c r="J403"/>
  <c r="K403"/>
  <c r="H404"/>
  <c r="I404"/>
  <c r="J404"/>
  <c r="K404"/>
  <c r="H405"/>
  <c r="I405"/>
  <c r="J405"/>
  <c r="K405"/>
  <c r="H406"/>
  <c r="I406"/>
  <c r="J406"/>
  <c r="K406"/>
  <c r="H407"/>
  <c r="I407"/>
  <c r="J407"/>
  <c r="K407"/>
  <c r="H408"/>
  <c r="I408"/>
  <c r="J408"/>
  <c r="K408"/>
  <c r="H409"/>
  <c r="I409"/>
  <c r="J409"/>
  <c r="K409"/>
  <c r="H410"/>
  <c r="I410"/>
  <c r="J410"/>
  <c r="K410"/>
  <c r="H411"/>
  <c r="I411"/>
  <c r="J411"/>
  <c r="K411"/>
  <c r="H412"/>
  <c r="I412"/>
  <c r="J412"/>
  <c r="K412"/>
  <c r="H413"/>
  <c r="I413"/>
  <c r="J413"/>
  <c r="K413"/>
  <c r="H414"/>
  <c r="I414"/>
  <c r="J414"/>
  <c r="K414"/>
  <c r="H415"/>
  <c r="I415"/>
  <c r="J415"/>
  <c r="K415"/>
  <c r="H416"/>
  <c r="I416"/>
  <c r="J416"/>
  <c r="K416"/>
  <c r="H417"/>
  <c r="I417"/>
  <c r="J417"/>
  <c r="K417"/>
  <c r="H418"/>
  <c r="I418"/>
  <c r="J418"/>
  <c r="K418"/>
  <c r="H419"/>
  <c r="I419"/>
  <c r="J419"/>
  <c r="K419"/>
  <c r="H420"/>
  <c r="I420"/>
  <c r="J420"/>
  <c r="K420"/>
  <c r="H421"/>
  <c r="I421"/>
  <c r="J421"/>
  <c r="K421"/>
  <c r="H422"/>
  <c r="I422"/>
  <c r="J422"/>
  <c r="K422"/>
  <c r="H423"/>
  <c r="I423"/>
  <c r="J423"/>
  <c r="K423"/>
  <c r="C46"/>
  <c r="C45"/>
  <c r="C44"/>
  <c r="C43"/>
  <c r="C42"/>
  <c r="C41"/>
  <c r="C40"/>
  <c r="C39"/>
  <c r="C38"/>
  <c r="C37"/>
  <c r="C36"/>
  <c r="C35"/>
  <c r="C34"/>
  <c r="C33"/>
  <c r="C32"/>
  <c r="C31"/>
  <c r="C30"/>
  <c r="C29"/>
  <c r="C28"/>
  <c r="C27"/>
  <c r="C26"/>
  <c r="C25"/>
  <c r="C24"/>
  <c r="C23"/>
  <c r="C22"/>
  <c r="C20"/>
  <c r="C19"/>
  <c r="C18"/>
  <c r="C17"/>
  <c r="H424"/>
  <c r="H425"/>
  <c r="H426"/>
  <c r="H427"/>
  <c r="H428"/>
  <c r="H429"/>
  <c r="H430"/>
  <c r="H431"/>
  <c r="H432"/>
  <c r="H433"/>
  <c r="H434"/>
  <c r="H435"/>
  <c r="H436"/>
  <c r="H437"/>
  <c r="H438"/>
  <c r="H439"/>
  <c r="H440"/>
  <c r="H441"/>
  <c r="H442"/>
  <c r="H443"/>
  <c r="H444"/>
  <c r="H445"/>
  <c r="H446"/>
  <c r="H447"/>
  <c r="H448"/>
  <c r="H449"/>
  <c r="H450"/>
  <c r="H451"/>
  <c r="H452"/>
  <c r="H453"/>
  <c r="H454"/>
  <c r="H455"/>
  <c r="H456"/>
  <c r="H457"/>
  <c r="H458"/>
  <c r="H459"/>
  <c r="H460"/>
  <c r="H461"/>
  <c r="H462"/>
  <c r="H463"/>
  <c r="H464"/>
  <c r="H465"/>
  <c r="H466"/>
  <c r="H467"/>
  <c r="H468"/>
  <c r="H469"/>
  <c r="H470"/>
  <c r="H471"/>
  <c r="H472"/>
  <c r="H473"/>
  <c r="H474"/>
  <c r="H475"/>
  <c r="H476"/>
  <c r="H477"/>
  <c r="H478"/>
  <c r="H479"/>
  <c r="H480"/>
  <c r="H481"/>
  <c r="H482"/>
  <c r="H483"/>
  <c r="H484"/>
  <c r="H485"/>
  <c r="H486"/>
  <c r="H487"/>
  <c r="H488"/>
  <c r="H489"/>
  <c r="H490"/>
  <c r="H491"/>
  <c r="H492"/>
  <c r="H493"/>
  <c r="H494"/>
  <c r="H495"/>
  <c r="H496"/>
  <c r="H497"/>
  <c r="H498"/>
  <c r="H499"/>
  <c r="H500"/>
  <c r="H501"/>
  <c r="H502"/>
  <c r="H503"/>
  <c r="H504"/>
  <c r="H505"/>
  <c r="H506"/>
  <c r="H507"/>
  <c r="H508"/>
  <c r="H509"/>
  <c r="H510"/>
  <c r="H511"/>
  <c r="H512"/>
  <c r="H513"/>
  <c r="H514"/>
  <c r="H515"/>
  <c r="H516"/>
  <c r="H517"/>
  <c r="H518"/>
  <c r="H519"/>
  <c r="H520"/>
  <c r="H521"/>
  <c r="H522"/>
  <c r="H523"/>
  <c r="H524"/>
  <c r="H525"/>
  <c r="H526"/>
  <c r="H527"/>
  <c r="H528"/>
  <c r="H529"/>
  <c r="H530"/>
  <c r="H531"/>
  <c r="H532"/>
  <c r="H533"/>
  <c r="H534"/>
  <c r="H535"/>
  <c r="H536"/>
  <c r="H537"/>
  <c r="H538"/>
  <c r="H539"/>
  <c r="H540"/>
  <c r="H541"/>
  <c r="H542"/>
  <c r="H543"/>
  <c r="B424"/>
  <c r="B425"/>
  <c r="B426"/>
  <c r="B427"/>
  <c r="B428"/>
  <c r="B429"/>
  <c r="B430"/>
  <c r="B431"/>
  <c r="B432"/>
  <c r="B433"/>
  <c r="B434"/>
  <c r="B435"/>
  <c r="B436"/>
  <c r="B437"/>
  <c r="B438"/>
  <c r="B439"/>
  <c r="B440"/>
  <c r="B441"/>
  <c r="B442"/>
  <c r="B443"/>
  <c r="B444"/>
  <c r="B445"/>
  <c r="B446"/>
  <c r="B447"/>
  <c r="B448"/>
  <c r="B449"/>
  <c r="B450"/>
  <c r="B451"/>
  <c r="B452"/>
  <c r="B453"/>
  <c r="B454"/>
  <c r="B455"/>
  <c r="B456"/>
  <c r="B457"/>
  <c r="B458"/>
  <c r="B459"/>
  <c r="B460"/>
  <c r="B461"/>
  <c r="B462"/>
  <c r="B463"/>
  <c r="B464"/>
  <c r="B465"/>
  <c r="B466"/>
  <c r="B467"/>
  <c r="B468"/>
  <c r="B469"/>
  <c r="B470"/>
  <c r="B471"/>
  <c r="B472"/>
  <c r="B473"/>
  <c r="B474"/>
  <c r="B475"/>
  <c r="B476"/>
  <c r="B477"/>
  <c r="B478"/>
  <c r="B479"/>
  <c r="B480"/>
  <c r="B481"/>
  <c r="B482"/>
  <c r="B483"/>
  <c r="B484"/>
  <c r="B485"/>
  <c r="B486"/>
  <c r="B487"/>
  <c r="B488"/>
  <c r="B489"/>
  <c r="B490"/>
  <c r="B491"/>
  <c r="B492"/>
  <c r="B493"/>
  <c r="B494"/>
  <c r="B495"/>
  <c r="B496"/>
  <c r="B497"/>
  <c r="B498"/>
  <c r="B499"/>
  <c r="B500"/>
  <c r="B501"/>
  <c r="B502"/>
  <c r="B503"/>
  <c r="B504"/>
  <c r="B505"/>
  <c r="B506"/>
  <c r="B507"/>
  <c r="B508"/>
  <c r="B509"/>
  <c r="B510"/>
  <c r="B511"/>
  <c r="B512"/>
  <c r="B513"/>
  <c r="B514"/>
  <c r="B515"/>
  <c r="B516"/>
  <c r="B517"/>
  <c r="B518"/>
  <c r="B519"/>
  <c r="B520"/>
  <c r="B521"/>
  <c r="B522"/>
  <c r="B523"/>
  <c r="B524"/>
  <c r="B525"/>
  <c r="B526"/>
  <c r="B527"/>
  <c r="B528"/>
  <c r="B529"/>
  <c r="B530"/>
  <c r="B531"/>
  <c r="B532"/>
  <c r="B533"/>
  <c r="B534"/>
  <c r="B535"/>
  <c r="B536"/>
  <c r="B537"/>
  <c r="B538"/>
  <c r="B539"/>
  <c r="B540"/>
  <c r="B541"/>
  <c r="B542"/>
  <c r="B543"/>
  <c r="I424"/>
  <c r="J424"/>
  <c r="K424"/>
  <c r="I425"/>
  <c r="J425"/>
  <c r="K425"/>
  <c r="I426"/>
  <c r="J426"/>
  <c r="K426"/>
  <c r="I427"/>
  <c r="J427"/>
  <c r="K427"/>
  <c r="I428"/>
  <c r="J428"/>
  <c r="K428"/>
  <c r="I429"/>
  <c r="J429"/>
  <c r="K429"/>
  <c r="I430"/>
  <c r="J430"/>
  <c r="K430"/>
  <c r="I431"/>
  <c r="J431"/>
  <c r="K431"/>
  <c r="I432"/>
  <c r="J432"/>
  <c r="K432"/>
  <c r="I433"/>
  <c r="J433"/>
  <c r="K433"/>
  <c r="I434"/>
  <c r="J434"/>
  <c r="K434"/>
  <c r="I435"/>
  <c r="J435"/>
  <c r="K435"/>
  <c r="I436"/>
  <c r="J436"/>
  <c r="K436"/>
  <c r="I437"/>
  <c r="J437"/>
  <c r="K437"/>
  <c r="I438"/>
  <c r="J438"/>
  <c r="K438"/>
  <c r="I439"/>
  <c r="J439"/>
  <c r="K439"/>
  <c r="I440"/>
  <c r="J440"/>
  <c r="K440"/>
  <c r="I441"/>
  <c r="J441"/>
  <c r="K441"/>
  <c r="I442"/>
  <c r="J442"/>
  <c r="K442"/>
  <c r="I443"/>
  <c r="J443"/>
  <c r="K443"/>
  <c r="I444"/>
  <c r="J444"/>
  <c r="K444"/>
  <c r="I445"/>
  <c r="J445"/>
  <c r="K445"/>
  <c r="I446"/>
  <c r="J446"/>
  <c r="K446"/>
  <c r="I447"/>
  <c r="J447"/>
  <c r="K447"/>
  <c r="I448"/>
  <c r="J448"/>
  <c r="K448"/>
  <c r="I449"/>
  <c r="J449"/>
  <c r="K449"/>
  <c r="I450"/>
  <c r="J450"/>
  <c r="K450"/>
  <c r="I451"/>
  <c r="J451"/>
  <c r="K451"/>
  <c r="I452"/>
  <c r="J452"/>
  <c r="K452"/>
  <c r="I453"/>
  <c r="J453"/>
  <c r="K453"/>
  <c r="I454"/>
  <c r="J454"/>
  <c r="K454"/>
  <c r="I455"/>
  <c r="J455"/>
  <c r="K455"/>
  <c r="I456"/>
  <c r="J456"/>
  <c r="K456"/>
  <c r="I457"/>
  <c r="J457"/>
  <c r="K457"/>
  <c r="I458"/>
  <c r="J458"/>
  <c r="K458"/>
  <c r="I459"/>
  <c r="J459"/>
  <c r="K459"/>
  <c r="I460"/>
  <c r="J460"/>
  <c r="K460"/>
  <c r="I461"/>
  <c r="J461"/>
  <c r="K461"/>
  <c r="I462"/>
  <c r="J462"/>
  <c r="K462"/>
  <c r="I463"/>
  <c r="J463"/>
  <c r="K463"/>
  <c r="I464"/>
  <c r="J464"/>
  <c r="K464"/>
  <c r="I465"/>
  <c r="J465"/>
  <c r="K465"/>
  <c r="I466"/>
  <c r="J466"/>
  <c r="K466"/>
  <c r="I467"/>
  <c r="J467"/>
  <c r="K467"/>
  <c r="I468"/>
  <c r="J468"/>
  <c r="K468"/>
  <c r="I469"/>
  <c r="J469"/>
  <c r="K469"/>
  <c r="I470"/>
  <c r="J470"/>
  <c r="K470"/>
  <c r="I471"/>
  <c r="J471"/>
  <c r="K471"/>
  <c r="I472"/>
  <c r="J472"/>
  <c r="K472"/>
  <c r="I473"/>
  <c r="J473"/>
  <c r="K473"/>
  <c r="I474"/>
  <c r="J474"/>
  <c r="K474"/>
  <c r="I475"/>
  <c r="J475"/>
  <c r="K475"/>
  <c r="I476"/>
  <c r="J476"/>
  <c r="K476"/>
  <c r="I477"/>
  <c r="J477"/>
  <c r="K477"/>
  <c r="I478"/>
  <c r="J478"/>
  <c r="K478"/>
  <c r="I479"/>
  <c r="J479"/>
  <c r="K479"/>
  <c r="I480"/>
  <c r="J480"/>
  <c r="K480"/>
  <c r="I481"/>
  <c r="J481"/>
  <c r="K481"/>
  <c r="I482"/>
  <c r="J482"/>
  <c r="K482"/>
  <c r="I483"/>
  <c r="J483"/>
  <c r="K483"/>
  <c r="I484"/>
  <c r="J484"/>
  <c r="K484"/>
  <c r="I485"/>
  <c r="J485"/>
  <c r="K485"/>
  <c r="I486"/>
  <c r="J486"/>
  <c r="K486"/>
  <c r="I487"/>
  <c r="J487"/>
  <c r="K487"/>
  <c r="I488"/>
  <c r="J488"/>
  <c r="K488"/>
  <c r="I489"/>
  <c r="J489"/>
  <c r="K489"/>
  <c r="I490"/>
  <c r="J490"/>
  <c r="K490"/>
  <c r="I491"/>
  <c r="J491"/>
  <c r="K491"/>
  <c r="I492"/>
  <c r="J492"/>
  <c r="K492"/>
  <c r="I493"/>
  <c r="J493"/>
  <c r="K493"/>
  <c r="I494"/>
  <c r="J494"/>
  <c r="K494"/>
  <c r="I495"/>
  <c r="J495"/>
  <c r="K495"/>
  <c r="I496"/>
  <c r="J496"/>
  <c r="K496"/>
  <c r="I497"/>
  <c r="J497"/>
  <c r="K497"/>
  <c r="I498"/>
  <c r="J498"/>
  <c r="K498"/>
  <c r="I499"/>
  <c r="J499"/>
  <c r="K499"/>
  <c r="I500"/>
  <c r="J500"/>
  <c r="K500"/>
  <c r="I501"/>
  <c r="J501"/>
  <c r="K501"/>
  <c r="I502"/>
  <c r="J502"/>
  <c r="K502"/>
  <c r="I503"/>
  <c r="J503"/>
  <c r="K503"/>
  <c r="I504"/>
  <c r="J504"/>
  <c r="K504"/>
  <c r="I505"/>
  <c r="J505"/>
  <c r="K505"/>
  <c r="I506"/>
  <c r="J506"/>
  <c r="K506"/>
  <c r="I507"/>
  <c r="J507"/>
  <c r="K507"/>
  <c r="I508"/>
  <c r="J508"/>
  <c r="K508"/>
  <c r="I509"/>
  <c r="J509"/>
  <c r="K509"/>
  <c r="I510"/>
  <c r="J510"/>
  <c r="K510"/>
  <c r="I511"/>
  <c r="J511"/>
  <c r="K511"/>
  <c r="I512"/>
  <c r="J512"/>
  <c r="K512"/>
  <c r="I513"/>
  <c r="J513"/>
  <c r="K513"/>
  <c r="I514"/>
  <c r="J514"/>
  <c r="K514"/>
  <c r="I515"/>
  <c r="J515"/>
  <c r="K515"/>
  <c r="I516"/>
  <c r="J516"/>
  <c r="K516"/>
  <c r="I517"/>
  <c r="J517"/>
  <c r="K517"/>
  <c r="I518"/>
  <c r="J518"/>
  <c r="K518"/>
  <c r="I519"/>
  <c r="J519"/>
  <c r="K519"/>
  <c r="I520"/>
  <c r="J520"/>
  <c r="K520"/>
  <c r="I521"/>
  <c r="J521"/>
  <c r="K521"/>
  <c r="I522"/>
  <c r="J522"/>
  <c r="K522"/>
  <c r="I523"/>
  <c r="J523"/>
  <c r="K523"/>
  <c r="I524"/>
  <c r="J524"/>
  <c r="K524"/>
  <c r="I525"/>
  <c r="J525"/>
  <c r="K525"/>
  <c r="I526"/>
  <c r="J526"/>
  <c r="K526"/>
  <c r="I527"/>
  <c r="J527"/>
  <c r="K527"/>
  <c r="I528"/>
  <c r="J528"/>
  <c r="K528"/>
  <c r="I529"/>
  <c r="J529"/>
  <c r="K529"/>
  <c r="I530"/>
  <c r="J530"/>
  <c r="K530"/>
  <c r="I531"/>
  <c r="J531"/>
  <c r="K531"/>
  <c r="I532"/>
  <c r="J532"/>
  <c r="K532"/>
  <c r="I533"/>
  <c r="J533"/>
  <c r="K533"/>
  <c r="I534"/>
  <c r="J534"/>
  <c r="K534"/>
  <c r="I535"/>
  <c r="J535"/>
  <c r="K535"/>
  <c r="I536"/>
  <c r="J536"/>
  <c r="K536"/>
  <c r="I537"/>
  <c r="J537"/>
  <c r="K537"/>
  <c r="I538"/>
  <c r="J538"/>
  <c r="K538"/>
  <c r="I539"/>
  <c r="J539"/>
  <c r="K539"/>
  <c r="I540"/>
  <c r="J540"/>
  <c r="K540"/>
  <c r="I541"/>
  <c r="J541"/>
  <c r="K541"/>
  <c r="I542"/>
  <c r="J542"/>
  <c r="K542"/>
  <c r="I543"/>
  <c r="J543"/>
  <c r="K543"/>
  <c r="M31" i="29"/>
  <c r="L31"/>
  <c r="K31"/>
  <c r="J31"/>
  <c r="I31"/>
  <c r="M17"/>
  <c r="L17"/>
  <c r="K17"/>
  <c r="J17"/>
  <c r="B56" i="25"/>
  <c r="E55"/>
  <c r="C56"/>
  <c r="D56"/>
  <c r="E56"/>
  <c r="B57"/>
  <c r="C57"/>
  <c r="D57"/>
  <c r="E57"/>
  <c r="B58"/>
  <c r="C58"/>
  <c r="D58"/>
  <c r="E58"/>
  <c r="B59"/>
  <c r="C59"/>
  <c r="D59"/>
  <c r="E59"/>
  <c r="B60"/>
  <c r="C60"/>
  <c r="D60"/>
  <c r="E60"/>
  <c r="B61"/>
  <c r="C61"/>
  <c r="D61"/>
  <c r="E61"/>
  <c r="B62"/>
  <c r="C62"/>
  <c r="D62"/>
  <c r="E62"/>
  <c r="B63"/>
  <c r="C63"/>
  <c r="D63"/>
  <c r="E63"/>
  <c r="B64"/>
  <c r="C64"/>
  <c r="D64"/>
  <c r="E64"/>
  <c r="B65"/>
  <c r="C65"/>
  <c r="D65"/>
  <c r="E65"/>
  <c r="B66"/>
  <c r="C66"/>
  <c r="D66"/>
  <c r="E66"/>
  <c r="B67"/>
  <c r="C67"/>
  <c r="D67"/>
  <c r="E67"/>
  <c r="B68"/>
  <c r="C68"/>
  <c r="D68"/>
  <c r="E68"/>
  <c r="B69"/>
  <c r="C69"/>
  <c r="D69"/>
  <c r="E69"/>
  <c r="B70"/>
  <c r="C70"/>
  <c r="D70"/>
  <c r="E70"/>
  <c r="B71"/>
  <c r="C71"/>
  <c r="D71"/>
  <c r="E71"/>
  <c r="B72"/>
  <c r="C72"/>
  <c r="D72"/>
  <c r="E72"/>
  <c r="B73"/>
  <c r="C73"/>
  <c r="D73"/>
  <c r="E73"/>
  <c r="B74"/>
  <c r="C74"/>
  <c r="D74"/>
  <c r="E74"/>
  <c r="B75"/>
  <c r="C75"/>
  <c r="D75"/>
  <c r="E75"/>
  <c r="B76"/>
  <c r="C76"/>
  <c r="D76"/>
  <c r="E76"/>
  <c r="B77"/>
  <c r="C77"/>
  <c r="D77"/>
  <c r="E77"/>
  <c r="B78"/>
  <c r="C78"/>
  <c r="D78"/>
  <c r="E78"/>
  <c r="B79"/>
  <c r="C79"/>
  <c r="D79"/>
  <c r="E79"/>
  <c r="B80"/>
  <c r="C80"/>
  <c r="D80"/>
  <c r="E80"/>
  <c r="B81"/>
  <c r="C81"/>
  <c r="D81"/>
  <c r="E81"/>
  <c r="B82"/>
  <c r="C82"/>
  <c r="D82"/>
  <c r="E82"/>
  <c r="B83"/>
  <c r="C83"/>
  <c r="D83"/>
  <c r="E83"/>
  <c r="B84"/>
  <c r="C84"/>
  <c r="D84"/>
  <c r="E84"/>
  <c r="B85"/>
  <c r="C85"/>
  <c r="D85"/>
  <c r="E85"/>
  <c r="B86"/>
  <c r="C86"/>
  <c r="D86"/>
  <c r="E86"/>
  <c r="B87"/>
  <c r="C87"/>
  <c r="D87"/>
  <c r="E87"/>
  <c r="B88"/>
  <c r="C88"/>
  <c r="D88"/>
  <c r="E88"/>
  <c r="B89"/>
  <c r="C89"/>
  <c r="D89"/>
  <c r="E89"/>
  <c r="B90"/>
  <c r="C90"/>
  <c r="D90"/>
  <c r="E90"/>
  <c r="B91"/>
  <c r="C91"/>
  <c r="D91"/>
  <c r="E91"/>
  <c r="B92"/>
  <c r="C92"/>
  <c r="D92"/>
  <c r="E92"/>
  <c r="B93"/>
  <c r="C93"/>
  <c r="D93"/>
  <c r="E93"/>
  <c r="B94"/>
  <c r="C94"/>
  <c r="D94"/>
  <c r="E94"/>
  <c r="B95"/>
  <c r="C95"/>
  <c r="D95"/>
  <c r="E95"/>
  <c r="B96"/>
  <c r="C96"/>
  <c r="D96"/>
  <c r="E96"/>
  <c r="B97"/>
  <c r="C97"/>
  <c r="D97"/>
  <c r="E97"/>
  <c r="B98"/>
  <c r="C98"/>
  <c r="D98"/>
  <c r="E98"/>
  <c r="B99"/>
  <c r="C99"/>
  <c r="D99"/>
  <c r="E99"/>
  <c r="B100"/>
  <c r="C100"/>
  <c r="D100"/>
  <c r="E100"/>
  <c r="B101"/>
  <c r="C101"/>
  <c r="D101"/>
  <c r="E101"/>
  <c r="B102"/>
  <c r="C102"/>
  <c r="D102"/>
  <c r="E102"/>
  <c r="B103"/>
  <c r="C103"/>
  <c r="D103"/>
  <c r="E103"/>
  <c r="B104"/>
  <c r="C104"/>
  <c r="D104"/>
  <c r="E104"/>
  <c r="B105"/>
  <c r="C105"/>
  <c r="D105"/>
  <c r="E105"/>
  <c r="B106"/>
  <c r="C106"/>
  <c r="D106"/>
  <c r="E106"/>
  <c r="B107"/>
  <c r="C107"/>
  <c r="D107"/>
  <c r="E107"/>
  <c r="B108"/>
  <c r="C108"/>
  <c r="D108"/>
  <c r="E108"/>
  <c r="B109"/>
  <c r="C109"/>
  <c r="D109"/>
  <c r="E109"/>
  <c r="B110"/>
  <c r="C110"/>
  <c r="D110"/>
  <c r="E110"/>
  <c r="B111"/>
  <c r="C111"/>
  <c r="D111"/>
  <c r="E111"/>
  <c r="B112"/>
  <c r="C112"/>
  <c r="D112"/>
  <c r="E112"/>
  <c r="B113"/>
  <c r="C113"/>
  <c r="D113"/>
  <c r="E113"/>
  <c r="B114"/>
  <c r="C114"/>
  <c r="D114"/>
  <c r="E114"/>
  <c r="B115"/>
  <c r="C115"/>
  <c r="D115"/>
  <c r="E115"/>
  <c r="B116"/>
  <c r="C116"/>
  <c r="D116"/>
  <c r="E116"/>
  <c r="B117"/>
  <c r="C117"/>
  <c r="D117"/>
  <c r="E117"/>
  <c r="B118"/>
  <c r="C118"/>
  <c r="D118"/>
  <c r="E118"/>
  <c r="B119"/>
  <c r="C119"/>
  <c r="D119"/>
  <c r="E119"/>
  <c r="B120"/>
  <c r="C120"/>
  <c r="D120"/>
  <c r="E120"/>
  <c r="B121"/>
  <c r="C121"/>
  <c r="D121"/>
  <c r="E121"/>
  <c r="B122"/>
  <c r="C122"/>
  <c r="D122"/>
  <c r="E122"/>
  <c r="B123"/>
  <c r="C123"/>
  <c r="D123"/>
  <c r="E123"/>
  <c r="B124"/>
  <c r="C124"/>
  <c r="D124"/>
  <c r="E124"/>
  <c r="B125"/>
  <c r="C125"/>
  <c r="D125"/>
  <c r="E125"/>
  <c r="B126"/>
  <c r="C126"/>
  <c r="D126"/>
  <c r="E126"/>
  <c r="B127"/>
  <c r="C127"/>
  <c r="D127"/>
  <c r="E127"/>
  <c r="B128"/>
  <c r="C128"/>
  <c r="D128"/>
  <c r="E128"/>
  <c r="B129"/>
  <c r="C129"/>
  <c r="D129"/>
  <c r="E129"/>
  <c r="B130"/>
  <c r="C130"/>
  <c r="D130"/>
  <c r="E130"/>
  <c r="B131"/>
  <c r="C131"/>
  <c r="D131"/>
  <c r="E131"/>
  <c r="B132"/>
  <c r="C132"/>
  <c r="D132"/>
  <c r="E132"/>
  <c r="B133"/>
  <c r="C133"/>
  <c r="D133"/>
  <c r="E133"/>
  <c r="B134"/>
  <c r="C134"/>
  <c r="D134"/>
  <c r="E134"/>
  <c r="B135"/>
  <c r="C135"/>
  <c r="D135"/>
  <c r="E135"/>
  <c r="B136"/>
  <c r="C136"/>
  <c r="D136"/>
  <c r="E136"/>
  <c r="B137"/>
  <c r="C137"/>
  <c r="D137"/>
  <c r="E137"/>
  <c r="B138"/>
  <c r="C138"/>
  <c r="D138"/>
  <c r="E138"/>
  <c r="B139"/>
  <c r="C139"/>
  <c r="D139"/>
  <c r="E139"/>
  <c r="B140"/>
  <c r="C140"/>
  <c r="D140"/>
  <c r="E140"/>
  <c r="B141"/>
  <c r="C141"/>
  <c r="D141"/>
  <c r="E141"/>
  <c r="B142"/>
  <c r="C142"/>
  <c r="D142"/>
  <c r="E142"/>
  <c r="B143"/>
  <c r="C143"/>
  <c r="D143"/>
  <c r="E143"/>
  <c r="B144"/>
  <c r="C144"/>
  <c r="D144"/>
  <c r="E144"/>
  <c r="B145"/>
  <c r="C145"/>
  <c r="D145"/>
  <c r="E145"/>
  <c r="B146"/>
  <c r="C146"/>
  <c r="D146"/>
  <c r="E146"/>
  <c r="B147"/>
  <c r="C147"/>
  <c r="D147"/>
  <c r="E147"/>
  <c r="B148"/>
  <c r="C148"/>
  <c r="D148"/>
  <c r="E148"/>
  <c r="B149"/>
  <c r="C149"/>
  <c r="D149"/>
  <c r="E149"/>
  <c r="B150"/>
  <c r="C150"/>
  <c r="D150"/>
  <c r="E150"/>
  <c r="B151"/>
  <c r="C151"/>
  <c r="D151"/>
  <c r="E151"/>
  <c r="B152"/>
  <c r="C152"/>
  <c r="D152"/>
  <c r="E152"/>
  <c r="B153"/>
  <c r="C153"/>
  <c r="D153"/>
  <c r="E153"/>
  <c r="B154"/>
  <c r="C154"/>
  <c r="D154"/>
  <c r="E154"/>
  <c r="B155"/>
  <c r="C155"/>
  <c r="D155"/>
  <c r="E155"/>
  <c r="B156"/>
  <c r="C156"/>
  <c r="D156"/>
  <c r="E156"/>
  <c r="B157"/>
  <c r="C157"/>
  <c r="D157"/>
  <c r="E157"/>
  <c r="B158"/>
  <c r="C158"/>
  <c r="D158"/>
  <c r="E158"/>
  <c r="B159"/>
  <c r="C159"/>
  <c r="D159"/>
  <c r="E159"/>
  <c r="B160"/>
  <c r="C160"/>
  <c r="D160"/>
  <c r="E160"/>
  <c r="B161"/>
  <c r="C161"/>
  <c r="D161"/>
  <c r="E161"/>
  <c r="B162"/>
  <c r="C162"/>
  <c r="D162"/>
  <c r="E162"/>
  <c r="B163"/>
  <c r="C163"/>
  <c r="D163"/>
  <c r="E163"/>
  <c r="B164"/>
  <c r="C164"/>
  <c r="D164"/>
  <c r="E164"/>
  <c r="B165"/>
  <c r="C165"/>
  <c r="D165"/>
  <c r="E165"/>
  <c r="B166"/>
  <c r="C166"/>
  <c r="D166"/>
  <c r="E166"/>
  <c r="B167"/>
  <c r="C167"/>
  <c r="D167"/>
  <c r="E167"/>
  <c r="B168"/>
  <c r="C168"/>
  <c r="D168"/>
  <c r="E168"/>
  <c r="B169"/>
  <c r="C169"/>
  <c r="D169"/>
  <c r="E169"/>
  <c r="B170"/>
  <c r="C170"/>
  <c r="D170"/>
  <c r="E170"/>
  <c r="B171"/>
  <c r="C171"/>
  <c r="D171"/>
  <c r="E171"/>
  <c r="B172"/>
  <c r="C172"/>
  <c r="D172"/>
  <c r="E172"/>
  <c r="B173"/>
  <c r="C173"/>
  <c r="D173"/>
  <c r="E173"/>
  <c r="B174"/>
  <c r="C174"/>
  <c r="D174"/>
  <c r="E174"/>
  <c r="B175"/>
  <c r="C175"/>
  <c r="D175"/>
  <c r="E175"/>
  <c r="B176"/>
  <c r="C176"/>
  <c r="D176"/>
  <c r="E176"/>
  <c r="B177"/>
  <c r="C177"/>
  <c r="D177"/>
  <c r="E177"/>
  <c r="B178"/>
  <c r="C178"/>
  <c r="D178"/>
  <c r="E178"/>
  <c r="B179"/>
  <c r="C179"/>
  <c r="D179"/>
  <c r="E179"/>
  <c r="B180"/>
  <c r="C180"/>
  <c r="D180"/>
  <c r="E180"/>
  <c r="B181"/>
  <c r="C181"/>
  <c r="D181"/>
  <c r="E181"/>
  <c r="B182"/>
  <c r="C182"/>
  <c r="D182"/>
  <c r="E182"/>
  <c r="B183"/>
  <c r="C183"/>
  <c r="D183"/>
  <c r="E183"/>
  <c r="B184"/>
  <c r="C184"/>
  <c r="D184"/>
  <c r="E184"/>
  <c r="B185"/>
  <c r="C185"/>
  <c r="D185"/>
  <c r="E185"/>
  <c r="B186"/>
  <c r="C186"/>
  <c r="D186"/>
  <c r="E186"/>
  <c r="B187"/>
  <c r="C187"/>
  <c r="D187"/>
  <c r="E187"/>
  <c r="B188"/>
  <c r="C188"/>
  <c r="D188"/>
  <c r="E188"/>
  <c r="B189"/>
  <c r="C189"/>
  <c r="D189"/>
  <c r="E189"/>
  <c r="B190"/>
  <c r="C190"/>
  <c r="D190"/>
  <c r="E190"/>
  <c r="B191"/>
  <c r="C191"/>
  <c r="D191"/>
  <c r="E191"/>
  <c r="B192"/>
  <c r="C192"/>
  <c r="D192"/>
  <c r="E192"/>
  <c r="B193"/>
  <c r="C193"/>
  <c r="D193"/>
  <c r="E193"/>
  <c r="B194"/>
  <c r="C194"/>
  <c r="D194"/>
  <c r="E194"/>
  <c r="B195"/>
  <c r="C195"/>
  <c r="D195"/>
  <c r="E195"/>
  <c r="B196"/>
  <c r="C196"/>
  <c r="D196"/>
  <c r="E196"/>
  <c r="B197"/>
  <c r="C197"/>
  <c r="D197"/>
  <c r="E197"/>
  <c r="B198"/>
  <c r="C198"/>
  <c r="D198"/>
  <c r="E198"/>
  <c r="B199"/>
  <c r="C199"/>
  <c r="D199"/>
  <c r="E199"/>
  <c r="B200"/>
  <c r="C200"/>
  <c r="D200"/>
  <c r="E200"/>
  <c r="B201"/>
  <c r="C201"/>
  <c r="D201"/>
  <c r="E201"/>
  <c r="B202"/>
  <c r="C202"/>
  <c r="D202"/>
  <c r="E202"/>
  <c r="B203"/>
  <c r="C203"/>
  <c r="D203"/>
  <c r="E203"/>
  <c r="B204"/>
  <c r="C204"/>
  <c r="D204"/>
  <c r="E204"/>
  <c r="B205"/>
  <c r="C205"/>
  <c r="D205"/>
  <c r="E205"/>
  <c r="B206"/>
  <c r="C206"/>
  <c r="D206"/>
  <c r="E206"/>
  <c r="B207"/>
  <c r="C207"/>
  <c r="D207"/>
  <c r="E207"/>
  <c r="B208"/>
  <c r="C208"/>
  <c r="D208"/>
  <c r="E208"/>
  <c r="B209"/>
  <c r="C209"/>
  <c r="D209"/>
  <c r="E209"/>
  <c r="B210"/>
  <c r="C210"/>
  <c r="D210"/>
  <c r="E210"/>
  <c r="B211"/>
  <c r="C211"/>
  <c r="D211"/>
  <c r="E211"/>
  <c r="B212"/>
  <c r="C212"/>
  <c r="D212"/>
  <c r="E212"/>
  <c r="B213"/>
  <c r="C213"/>
  <c r="D213"/>
  <c r="E213"/>
  <c r="B214"/>
  <c r="C214"/>
  <c r="D214"/>
  <c r="E214"/>
  <c r="B215"/>
  <c r="C215"/>
  <c r="D215"/>
  <c r="E215"/>
  <c r="B216"/>
  <c r="C216"/>
  <c r="D216"/>
  <c r="E216"/>
  <c r="B217"/>
  <c r="C217"/>
  <c r="D217"/>
  <c r="E217"/>
  <c r="B218"/>
  <c r="C218"/>
  <c r="D218"/>
  <c r="E218"/>
  <c r="B219"/>
  <c r="C219"/>
  <c r="D219"/>
  <c r="E219"/>
  <c r="B220"/>
  <c r="C220"/>
  <c r="D220"/>
  <c r="E220"/>
  <c r="B221"/>
  <c r="C221"/>
  <c r="D221"/>
  <c r="E221"/>
  <c r="B222"/>
  <c r="C222"/>
  <c r="D222"/>
  <c r="E222"/>
  <c r="B223"/>
  <c r="C223"/>
  <c r="D223"/>
  <c r="E223"/>
  <c r="B224"/>
  <c r="C224"/>
  <c r="D224"/>
  <c r="E224"/>
  <c r="B225"/>
  <c r="C225"/>
  <c r="D225"/>
  <c r="E225"/>
  <c r="B226"/>
  <c r="C226"/>
  <c r="D226"/>
  <c r="E226"/>
  <c r="B227"/>
  <c r="C227"/>
  <c r="D227"/>
  <c r="E227"/>
  <c r="B228"/>
  <c r="C228"/>
  <c r="D228"/>
  <c r="E228"/>
  <c r="B229"/>
  <c r="C229"/>
  <c r="D229"/>
  <c r="E229"/>
  <c r="B230"/>
  <c r="C230"/>
  <c r="D230"/>
  <c r="E230"/>
  <c r="B231"/>
  <c r="C231"/>
  <c r="D231"/>
  <c r="E231"/>
  <c r="B232"/>
  <c r="C232"/>
  <c r="D232"/>
  <c r="E232"/>
  <c r="B233"/>
  <c r="C233"/>
  <c r="D233"/>
  <c r="E233"/>
  <c r="B234"/>
  <c r="C234"/>
  <c r="D234"/>
  <c r="E234"/>
  <c r="B235"/>
  <c r="C235"/>
  <c r="D235"/>
  <c r="E235"/>
  <c r="B236"/>
  <c r="C236"/>
  <c r="D236"/>
  <c r="E236"/>
  <c r="B237"/>
  <c r="C237"/>
  <c r="D237"/>
  <c r="E237"/>
  <c r="B238"/>
  <c r="C238"/>
  <c r="D238"/>
  <c r="E238"/>
  <c r="B239"/>
  <c r="C239"/>
  <c r="D239"/>
  <c r="E239"/>
  <c r="B240"/>
  <c r="C240"/>
  <c r="D240"/>
  <c r="E240"/>
  <c r="B241"/>
  <c r="C241"/>
  <c r="D241"/>
  <c r="E241"/>
  <c r="B242"/>
  <c r="C242"/>
  <c r="D242"/>
  <c r="E242"/>
  <c r="B243"/>
  <c r="C243"/>
  <c r="D243"/>
  <c r="E243"/>
  <c r="B244"/>
  <c r="C244"/>
  <c r="D244"/>
  <c r="E244"/>
  <c r="B245"/>
  <c r="C245"/>
  <c r="D245"/>
  <c r="E245"/>
  <c r="B246"/>
  <c r="C246"/>
  <c r="D246"/>
  <c r="E246"/>
  <c r="B247"/>
  <c r="C247"/>
  <c r="D247"/>
  <c r="E247"/>
  <c r="B248"/>
  <c r="C248"/>
  <c r="D248"/>
  <c r="E248"/>
  <c r="B249"/>
  <c r="C249"/>
  <c r="D249"/>
  <c r="E249"/>
  <c r="B250"/>
  <c r="C250"/>
  <c r="D250"/>
  <c r="E250"/>
  <c r="B251"/>
  <c r="C251"/>
  <c r="D251"/>
  <c r="E251"/>
  <c r="B252"/>
  <c r="C252"/>
  <c r="D252"/>
  <c r="E252"/>
  <c r="B253"/>
  <c r="C253"/>
  <c r="D253"/>
  <c r="E253"/>
  <c r="B254"/>
  <c r="C254"/>
  <c r="D254"/>
  <c r="E254"/>
  <c r="B255"/>
  <c r="C255"/>
  <c r="D255"/>
  <c r="E255"/>
  <c r="B256"/>
  <c r="C256"/>
  <c r="D256"/>
  <c r="E256"/>
  <c r="B257"/>
  <c r="C257"/>
  <c r="D257"/>
  <c r="E257"/>
  <c r="B258"/>
  <c r="C258"/>
  <c r="D258"/>
  <c r="E258"/>
  <c r="B259"/>
  <c r="C259"/>
  <c r="D259"/>
  <c r="E259"/>
  <c r="B260"/>
  <c r="C260"/>
  <c r="D260"/>
  <c r="E260"/>
  <c r="B261"/>
  <c r="C261"/>
  <c r="D261"/>
  <c r="E261"/>
  <c r="B262"/>
  <c r="C262"/>
  <c r="D262"/>
  <c r="E262"/>
  <c r="B263"/>
  <c r="C263"/>
  <c r="D263"/>
  <c r="E263"/>
  <c r="B264"/>
  <c r="C264"/>
  <c r="D264"/>
  <c r="E264"/>
  <c r="B265"/>
  <c r="C265"/>
  <c r="D265"/>
  <c r="E265"/>
  <c r="B266"/>
  <c r="C266"/>
  <c r="D266"/>
  <c r="E266"/>
  <c r="B267"/>
  <c r="C267"/>
  <c r="D267"/>
  <c r="E267"/>
  <c r="B268"/>
  <c r="C268"/>
  <c r="D268"/>
  <c r="E268"/>
  <c r="B269"/>
  <c r="C269"/>
  <c r="D269"/>
  <c r="E269"/>
  <c r="B270"/>
  <c r="C270"/>
  <c r="D270"/>
  <c r="E270"/>
  <c r="B271"/>
  <c r="C271"/>
  <c r="D271"/>
  <c r="E271"/>
  <c r="B272"/>
  <c r="C272"/>
  <c r="D272"/>
  <c r="E272"/>
  <c r="B273"/>
  <c r="C273"/>
  <c r="D273"/>
  <c r="E273"/>
  <c r="B274"/>
  <c r="C274"/>
  <c r="D274"/>
  <c r="E274"/>
  <c r="B275"/>
  <c r="C275"/>
  <c r="D275"/>
  <c r="E275"/>
  <c r="B276"/>
  <c r="C276"/>
  <c r="D276"/>
  <c r="E276"/>
  <c r="B277"/>
  <c r="C277"/>
  <c r="D277"/>
  <c r="E277"/>
  <c r="B278"/>
  <c r="C278"/>
  <c r="D278"/>
  <c r="E278"/>
  <c r="B279"/>
  <c r="C279"/>
  <c r="D279"/>
  <c r="E279"/>
  <c r="B280"/>
  <c r="C280"/>
  <c r="D280"/>
  <c r="E280"/>
  <c r="B281"/>
  <c r="C281"/>
  <c r="D281"/>
  <c r="E281"/>
  <c r="B282"/>
  <c r="C282"/>
  <c r="D282"/>
  <c r="E282"/>
  <c r="B283"/>
  <c r="C283"/>
  <c r="D283"/>
  <c r="E283"/>
  <c r="B284"/>
  <c r="C284"/>
  <c r="D284"/>
  <c r="E284"/>
  <c r="B285"/>
  <c r="C285"/>
  <c r="D285"/>
  <c r="E285"/>
  <c r="B286"/>
  <c r="C286"/>
  <c r="D286"/>
  <c r="E286"/>
  <c r="B287"/>
  <c r="C287"/>
  <c r="D287"/>
  <c r="E287"/>
  <c r="B288"/>
  <c r="C288"/>
  <c r="D288"/>
  <c r="E288"/>
  <c r="B289"/>
  <c r="C289"/>
  <c r="D289"/>
  <c r="E289"/>
  <c r="B290"/>
  <c r="C290"/>
  <c r="D290"/>
  <c r="E290"/>
  <c r="B291"/>
  <c r="C291"/>
  <c r="D291"/>
  <c r="E291"/>
  <c r="B292"/>
  <c r="C292"/>
  <c r="D292"/>
  <c r="E292"/>
  <c r="B293"/>
  <c r="C293"/>
  <c r="D293"/>
  <c r="E293"/>
  <c r="B294"/>
  <c r="C294"/>
  <c r="D294"/>
  <c r="E294"/>
  <c r="B295"/>
  <c r="C295"/>
  <c r="D295"/>
  <c r="E295"/>
  <c r="B296"/>
  <c r="C296"/>
  <c r="D296"/>
  <c r="E296"/>
  <c r="B297"/>
  <c r="C297"/>
  <c r="D297"/>
  <c r="E297"/>
  <c r="B298"/>
  <c r="C298"/>
  <c r="D298"/>
  <c r="E298"/>
  <c r="B299"/>
  <c r="C299"/>
  <c r="D299"/>
  <c r="E299"/>
  <c r="B300"/>
  <c r="C300"/>
  <c r="D300"/>
  <c r="E300"/>
  <c r="B301"/>
  <c r="C301"/>
  <c r="D301"/>
  <c r="E301"/>
  <c r="B302"/>
  <c r="C302"/>
  <c r="D302"/>
  <c r="E302"/>
  <c r="B303"/>
  <c r="C303"/>
  <c r="D303"/>
  <c r="E303"/>
  <c r="B304"/>
  <c r="C304"/>
  <c r="D304"/>
  <c r="E304"/>
  <c r="B305"/>
  <c r="C305"/>
  <c r="D305"/>
  <c r="E305"/>
  <c r="B306"/>
  <c r="C306"/>
  <c r="D306"/>
  <c r="E306"/>
  <c r="B307"/>
  <c r="C307"/>
  <c r="D307"/>
  <c r="E307"/>
  <c r="B308"/>
  <c r="C308"/>
  <c r="D308"/>
  <c r="E308"/>
  <c r="B309"/>
  <c r="C309"/>
  <c r="D309"/>
  <c r="E309"/>
  <c r="B310"/>
  <c r="C310"/>
  <c r="D310"/>
  <c r="E310"/>
  <c r="B311"/>
  <c r="C311"/>
  <c r="D311"/>
  <c r="E311"/>
  <c r="B312"/>
  <c r="C312"/>
  <c r="D312"/>
  <c r="E312"/>
  <c r="B313"/>
  <c r="C313"/>
  <c r="D313"/>
  <c r="E313"/>
  <c r="B314"/>
  <c r="C314"/>
  <c r="D314"/>
  <c r="E314"/>
  <c r="B315"/>
  <c r="C315"/>
  <c r="D315"/>
  <c r="E315"/>
  <c r="B316"/>
  <c r="C316"/>
  <c r="D316"/>
  <c r="E316"/>
  <c r="B317"/>
  <c r="C317"/>
  <c r="D317"/>
  <c r="E317"/>
  <c r="B318"/>
  <c r="C318"/>
  <c r="D318"/>
  <c r="E318"/>
  <c r="B319"/>
  <c r="C319"/>
  <c r="D319"/>
  <c r="E319"/>
  <c r="B320"/>
  <c r="C320"/>
  <c r="D320"/>
  <c r="E320"/>
  <c r="B321"/>
  <c r="C321"/>
  <c r="D321"/>
  <c r="E321"/>
  <c r="B322"/>
  <c r="C322"/>
  <c r="D322"/>
  <c r="E322"/>
  <c r="B323"/>
  <c r="C323"/>
  <c r="D323"/>
  <c r="E323"/>
  <c r="B324"/>
  <c r="C324"/>
  <c r="D324"/>
  <c r="E324"/>
  <c r="B325"/>
  <c r="C325"/>
  <c r="D325"/>
  <c r="E325"/>
  <c r="B326"/>
  <c r="C326"/>
  <c r="D326"/>
  <c r="E326"/>
  <c r="B327"/>
  <c r="C327"/>
  <c r="D327"/>
  <c r="E327"/>
  <c r="B328"/>
  <c r="C328"/>
  <c r="D328"/>
  <c r="E328"/>
  <c r="B329"/>
  <c r="C329"/>
  <c r="D329"/>
  <c r="E329"/>
  <c r="B330"/>
  <c r="C330"/>
  <c r="D330"/>
  <c r="E330"/>
  <c r="B331"/>
  <c r="C331"/>
  <c r="D331"/>
  <c r="E331"/>
  <c r="B332"/>
  <c r="C332"/>
  <c r="D332"/>
  <c r="E332"/>
  <c r="B333"/>
  <c r="C333"/>
  <c r="D333"/>
  <c r="E333"/>
  <c r="B334"/>
  <c r="C334"/>
  <c r="D334"/>
  <c r="E334"/>
  <c r="B335"/>
  <c r="C335"/>
  <c r="D335"/>
  <c r="E335"/>
  <c r="B336"/>
  <c r="C336"/>
  <c r="D336"/>
  <c r="E336"/>
  <c r="B337"/>
  <c r="C337"/>
  <c r="D337"/>
  <c r="E337"/>
  <c r="B338"/>
  <c r="C338"/>
  <c r="D338"/>
  <c r="E338"/>
  <c r="B339"/>
  <c r="C339"/>
  <c r="D339"/>
  <c r="E339"/>
  <c r="B340"/>
  <c r="C340"/>
  <c r="D340"/>
  <c r="E340"/>
  <c r="B341"/>
  <c r="C341"/>
  <c r="D341"/>
  <c r="E341"/>
  <c r="B342"/>
  <c r="C342"/>
  <c r="D342"/>
  <c r="E342"/>
  <c r="B343"/>
  <c r="C343"/>
  <c r="D343"/>
  <c r="E343"/>
  <c r="B344"/>
  <c r="C344"/>
  <c r="D344"/>
  <c r="E344"/>
  <c r="B345"/>
  <c r="C345"/>
  <c r="D345"/>
  <c r="E345"/>
  <c r="B346"/>
  <c r="C346"/>
  <c r="D346"/>
  <c r="E346"/>
  <c r="B347"/>
  <c r="C347"/>
  <c r="D347"/>
  <c r="E347"/>
  <c r="B348"/>
  <c r="C348"/>
  <c r="D348"/>
  <c r="E348"/>
  <c r="B349"/>
  <c r="C349"/>
  <c r="D349"/>
  <c r="E349"/>
  <c r="B350"/>
  <c r="C350"/>
  <c r="D350"/>
  <c r="E350"/>
  <c r="B351"/>
  <c r="C351"/>
  <c r="D351"/>
  <c r="E351"/>
  <c r="B352"/>
  <c r="C352"/>
  <c r="D352"/>
  <c r="E352"/>
  <c r="B353"/>
  <c r="C353"/>
  <c r="D353"/>
  <c r="E353"/>
  <c r="B354"/>
  <c r="C354"/>
  <c r="D354"/>
  <c r="E354"/>
  <c r="B355"/>
  <c r="C355"/>
  <c r="D355"/>
  <c r="E355"/>
  <c r="B356"/>
  <c r="C356"/>
  <c r="D356"/>
  <c r="E356"/>
  <c r="B357"/>
  <c r="C357"/>
  <c r="D357"/>
  <c r="E357"/>
  <c r="B358"/>
  <c r="C358"/>
  <c r="D358"/>
  <c r="E358"/>
  <c r="B359"/>
  <c r="C359"/>
  <c r="D359"/>
  <c r="E359"/>
  <c r="B360"/>
  <c r="C360"/>
  <c r="D360"/>
  <c r="E360"/>
  <c r="B361"/>
  <c r="C361"/>
  <c r="D361"/>
  <c r="E361"/>
  <c r="B362"/>
  <c r="C362"/>
  <c r="D362"/>
  <c r="E362"/>
  <c r="B363"/>
  <c r="C363"/>
  <c r="D363"/>
  <c r="E363"/>
  <c r="B364"/>
  <c r="C364"/>
  <c r="D364"/>
  <c r="E364"/>
  <c r="B365"/>
  <c r="C365"/>
  <c r="D365"/>
  <c r="E365"/>
  <c r="B366"/>
  <c r="C366"/>
  <c r="D366"/>
  <c r="E366"/>
  <c r="B367"/>
  <c r="C367"/>
  <c r="D367"/>
  <c r="E367"/>
  <c r="B368"/>
  <c r="C368"/>
  <c r="D368"/>
  <c r="E368"/>
  <c r="B369"/>
  <c r="C369"/>
  <c r="D369"/>
  <c r="E369"/>
  <c r="B370"/>
  <c r="C370"/>
  <c r="D370"/>
  <c r="E370"/>
  <c r="B371"/>
  <c r="C371"/>
  <c r="D371"/>
  <c r="E371"/>
  <c r="B372"/>
  <c r="C372"/>
  <c r="D372"/>
  <c r="E372"/>
  <c r="B373"/>
  <c r="C373"/>
  <c r="D373"/>
  <c r="E373"/>
  <c r="B374"/>
  <c r="C374"/>
  <c r="D374"/>
  <c r="E374"/>
  <c r="B375"/>
  <c r="C375"/>
  <c r="D375"/>
  <c r="E375"/>
  <c r="B376"/>
  <c r="C376"/>
  <c r="D376"/>
  <c r="E376"/>
  <c r="B377"/>
  <c r="C377"/>
  <c r="D377"/>
  <c r="E377"/>
  <c r="B378"/>
  <c r="C378"/>
  <c r="D378"/>
  <c r="E378"/>
  <c r="B379"/>
  <c r="C379"/>
  <c r="D379"/>
  <c r="E379"/>
  <c r="B380"/>
  <c r="C380"/>
  <c r="D380"/>
  <c r="E380"/>
  <c r="B381"/>
  <c r="C381"/>
  <c r="D381"/>
  <c r="E381"/>
  <c r="B382"/>
  <c r="C382"/>
  <c r="D382"/>
  <c r="E382"/>
  <c r="B383"/>
  <c r="C383"/>
  <c r="D383"/>
  <c r="E383"/>
  <c r="B384"/>
  <c r="C384"/>
  <c r="D384"/>
  <c r="E384"/>
  <c r="B385"/>
  <c r="C385"/>
  <c r="D385"/>
  <c r="E385"/>
  <c r="B386"/>
  <c r="C386"/>
  <c r="D386"/>
  <c r="E386"/>
  <c r="B387"/>
  <c r="C387"/>
  <c r="D387"/>
  <c r="E387"/>
  <c r="B388"/>
  <c r="C388"/>
  <c r="D388"/>
  <c r="E388"/>
  <c r="B389"/>
  <c r="C389"/>
  <c r="D389"/>
  <c r="E389"/>
  <c r="B390"/>
  <c r="C390"/>
  <c r="D390"/>
  <c r="E390"/>
  <c r="B391"/>
  <c r="C391"/>
  <c r="D391"/>
  <c r="E391"/>
  <c r="B392"/>
  <c r="C392"/>
  <c r="D392"/>
  <c r="E392"/>
  <c r="B393"/>
  <c r="C393"/>
  <c r="D393"/>
  <c r="E393"/>
  <c r="B394"/>
  <c r="C394"/>
  <c r="D394"/>
  <c r="E394"/>
  <c r="B395"/>
  <c r="C395"/>
  <c r="D395"/>
  <c r="E395"/>
  <c r="B396"/>
  <c r="C396"/>
  <c r="D396"/>
  <c r="E396"/>
  <c r="B397"/>
  <c r="C397"/>
  <c r="D397"/>
  <c r="E397"/>
  <c r="B398"/>
  <c r="C398"/>
  <c r="D398"/>
  <c r="E398"/>
  <c r="B399"/>
  <c r="C399"/>
  <c r="D399"/>
  <c r="E399"/>
  <c r="B400"/>
  <c r="C400"/>
  <c r="D400"/>
  <c r="E400"/>
  <c r="B401"/>
  <c r="C401"/>
  <c r="D401"/>
  <c r="E401"/>
  <c r="B402"/>
  <c r="C402"/>
  <c r="D402"/>
  <c r="E402"/>
  <c r="B403"/>
  <c r="C403"/>
  <c r="D403"/>
  <c r="E403"/>
  <c r="B404"/>
  <c r="C404"/>
  <c r="D404"/>
  <c r="E404"/>
  <c r="B405"/>
  <c r="C405"/>
  <c r="D405"/>
  <c r="E405"/>
  <c r="B406"/>
  <c r="C406"/>
  <c r="D406"/>
  <c r="E406"/>
  <c r="B407"/>
  <c r="C407"/>
  <c r="D407"/>
  <c r="E407"/>
  <c r="B408"/>
  <c r="C408"/>
  <c r="D408"/>
  <c r="E408"/>
  <c r="B409"/>
  <c r="C409"/>
  <c r="D409"/>
  <c r="E409"/>
  <c r="B410"/>
  <c r="C410"/>
  <c r="D410"/>
  <c r="E410"/>
  <c r="B411"/>
  <c r="C411"/>
  <c r="D411"/>
  <c r="E411"/>
  <c r="B412"/>
  <c r="C412"/>
  <c r="D412"/>
  <c r="E412"/>
  <c r="B413"/>
  <c r="C413"/>
  <c r="D413"/>
  <c r="E413"/>
  <c r="B414"/>
  <c r="C414"/>
  <c r="D414"/>
  <c r="E414"/>
  <c r="B415"/>
  <c r="C415"/>
  <c r="D415"/>
  <c r="E415"/>
  <c r="B416"/>
  <c r="C416"/>
  <c r="D416"/>
  <c r="E416"/>
  <c r="B417"/>
  <c r="C417"/>
  <c r="D417"/>
  <c r="E417"/>
  <c r="B418"/>
  <c r="C418"/>
  <c r="D418"/>
  <c r="E418"/>
  <c r="B419"/>
  <c r="C419"/>
  <c r="D419"/>
  <c r="E419"/>
  <c r="B420"/>
  <c r="C420"/>
  <c r="D420"/>
  <c r="E420"/>
  <c r="B421"/>
  <c r="C421"/>
  <c r="D421"/>
  <c r="E421"/>
  <c r="B422"/>
  <c r="C422"/>
  <c r="D422"/>
  <c r="E422"/>
  <c r="B423"/>
  <c r="C423"/>
  <c r="D423"/>
  <c r="E423"/>
  <c r="B424"/>
  <c r="C424"/>
  <c r="D424"/>
  <c r="E424"/>
  <c r="B425"/>
  <c r="C425"/>
  <c r="D425"/>
  <c r="E425"/>
  <c r="B426"/>
  <c r="C426"/>
  <c r="D426"/>
  <c r="E426"/>
  <c r="B427"/>
  <c r="C427"/>
  <c r="D427"/>
  <c r="E427"/>
  <c r="B428"/>
  <c r="C428"/>
  <c r="D428"/>
  <c r="E428"/>
  <c r="B429"/>
  <c r="C429"/>
  <c r="D429"/>
  <c r="E429"/>
  <c r="B430"/>
  <c r="C430"/>
  <c r="D430"/>
  <c r="E430"/>
  <c r="B431"/>
  <c r="C431"/>
  <c r="D431"/>
  <c r="E431"/>
  <c r="B432"/>
  <c r="C432"/>
  <c r="D432"/>
  <c r="E432"/>
  <c r="B433"/>
  <c r="C433"/>
  <c r="D433"/>
  <c r="E433"/>
  <c r="B434"/>
  <c r="C434"/>
  <c r="D434"/>
  <c r="E434"/>
  <c r="B435"/>
  <c r="C435"/>
  <c r="D435"/>
  <c r="E435"/>
  <c r="B436"/>
  <c r="C436"/>
  <c r="D436"/>
  <c r="E436"/>
  <c r="B437"/>
  <c r="C437"/>
  <c r="D437"/>
  <c r="E437"/>
  <c r="B438"/>
  <c r="C438"/>
  <c r="D438"/>
  <c r="E438"/>
  <c r="B439"/>
  <c r="C439"/>
  <c r="D439"/>
  <c r="E439"/>
  <c r="B440"/>
  <c r="C440"/>
  <c r="D440"/>
  <c r="E440"/>
  <c r="B441"/>
  <c r="C441"/>
  <c r="D441"/>
  <c r="E441"/>
  <c r="B442"/>
  <c r="C442"/>
  <c r="D442"/>
  <c r="E442"/>
  <c r="B443"/>
  <c r="C443"/>
  <c r="D443"/>
  <c r="E443"/>
  <c r="B444"/>
  <c r="C444"/>
  <c r="D444"/>
  <c r="E444"/>
  <c r="B445"/>
  <c r="C445"/>
  <c r="D445"/>
  <c r="E445"/>
  <c r="B446"/>
  <c r="C446"/>
  <c r="D446"/>
  <c r="E446"/>
  <c r="B447"/>
  <c r="C447"/>
  <c r="D447"/>
  <c r="E447"/>
  <c r="B448"/>
  <c r="C448"/>
  <c r="D448"/>
  <c r="E448"/>
  <c r="B449"/>
  <c r="C449"/>
  <c r="D449"/>
  <c r="E449"/>
  <c r="B450"/>
  <c r="C450"/>
  <c r="D450"/>
  <c r="E450"/>
  <c r="B451"/>
  <c r="C451"/>
  <c r="D451"/>
  <c r="E451"/>
  <c r="B452"/>
  <c r="C452"/>
  <c r="D452"/>
  <c r="E452"/>
  <c r="B453"/>
  <c r="C453"/>
  <c r="D453"/>
  <c r="E453"/>
  <c r="B454"/>
  <c r="C454"/>
  <c r="D454"/>
  <c r="E454"/>
  <c r="B455"/>
  <c r="C455"/>
  <c r="D455"/>
  <c r="E455"/>
  <c r="B456"/>
  <c r="C456"/>
  <c r="D456"/>
  <c r="E456"/>
  <c r="B457"/>
  <c r="C457"/>
  <c r="D457"/>
  <c r="E457"/>
  <c r="B458"/>
  <c r="C458"/>
  <c r="D458"/>
  <c r="E458"/>
  <c r="B459"/>
  <c r="C459"/>
  <c r="D459"/>
  <c r="E459"/>
  <c r="B460"/>
  <c r="C460"/>
  <c r="D460"/>
  <c r="E460"/>
  <c r="B461"/>
  <c r="C461"/>
  <c r="D461"/>
  <c r="E461"/>
  <c r="B462"/>
  <c r="C462"/>
  <c r="D462"/>
  <c r="E462"/>
  <c r="B463"/>
  <c r="C463"/>
  <c r="D463"/>
  <c r="E463"/>
  <c r="B464"/>
  <c r="C464"/>
  <c r="D464"/>
  <c r="E464"/>
  <c r="B465"/>
  <c r="C465"/>
  <c r="D465"/>
  <c r="E465"/>
  <c r="B466"/>
  <c r="C466"/>
  <c r="D466"/>
  <c r="E466"/>
  <c r="B467"/>
  <c r="C467"/>
  <c r="D467"/>
  <c r="E467"/>
  <c r="B468"/>
  <c r="C468"/>
  <c r="D468"/>
  <c r="E468"/>
  <c r="B469"/>
  <c r="C469"/>
  <c r="D469"/>
  <c r="E469"/>
  <c r="B470"/>
  <c r="C470"/>
  <c r="D470"/>
  <c r="E470"/>
  <c r="B471"/>
  <c r="C471"/>
  <c r="D471"/>
  <c r="E471"/>
  <c r="B472"/>
  <c r="C472"/>
  <c r="D472"/>
  <c r="E472"/>
  <c r="B473"/>
  <c r="C473"/>
  <c r="D473"/>
  <c r="E473"/>
  <c r="B474"/>
  <c r="C474"/>
  <c r="D474"/>
  <c r="E474"/>
  <c r="B475"/>
  <c r="C475"/>
  <c r="D475"/>
  <c r="E475"/>
  <c r="B476"/>
  <c r="C476"/>
  <c r="D476"/>
  <c r="E476"/>
  <c r="B477"/>
  <c r="C477"/>
  <c r="D477"/>
  <c r="E477"/>
  <c r="B478"/>
  <c r="C478"/>
  <c r="D478"/>
  <c r="E478"/>
  <c r="B479"/>
  <c r="C479"/>
  <c r="D479"/>
  <c r="E479"/>
  <c r="B480"/>
  <c r="C480"/>
  <c r="D480"/>
  <c r="E480"/>
  <c r="B481"/>
  <c r="C481"/>
  <c r="D481"/>
  <c r="E481"/>
  <c r="B482"/>
  <c r="C482"/>
  <c r="D482"/>
  <c r="E482"/>
  <c r="B483"/>
  <c r="C483"/>
  <c r="D483"/>
  <c r="E483"/>
  <c r="B484"/>
  <c r="C484"/>
  <c r="D484"/>
  <c r="E484"/>
  <c r="B485"/>
  <c r="C485"/>
  <c r="D485"/>
  <c r="E485"/>
  <c r="B486"/>
  <c r="C486"/>
  <c r="D486"/>
  <c r="E486"/>
  <c r="B487"/>
  <c r="C487"/>
  <c r="D487"/>
  <c r="E487"/>
  <c r="B488"/>
  <c r="C488"/>
  <c r="D488"/>
  <c r="E488"/>
  <c r="B489"/>
  <c r="C489"/>
  <c r="D489"/>
  <c r="E489"/>
  <c r="B490"/>
  <c r="C490"/>
  <c r="D490"/>
  <c r="E490"/>
  <c r="B491"/>
  <c r="C491"/>
  <c r="D491"/>
  <c r="E491"/>
  <c r="B492"/>
  <c r="C492"/>
  <c r="D492"/>
  <c r="E492"/>
  <c r="B493"/>
  <c r="C493"/>
  <c r="D493"/>
  <c r="E493"/>
  <c r="B494"/>
  <c r="C494"/>
  <c r="D494"/>
  <c r="E494"/>
  <c r="B495"/>
  <c r="C495"/>
  <c r="D495"/>
  <c r="E495"/>
  <c r="B496"/>
  <c r="C496"/>
  <c r="D496"/>
  <c r="E496"/>
  <c r="B497"/>
  <c r="C497"/>
  <c r="D497"/>
  <c r="E497"/>
  <c r="B498"/>
  <c r="C498"/>
  <c r="D498"/>
  <c r="E498"/>
  <c r="B499"/>
  <c r="C499"/>
  <c r="D499"/>
  <c r="E499"/>
  <c r="B500"/>
  <c r="C500"/>
  <c r="D500"/>
  <c r="E500"/>
  <c r="B501"/>
  <c r="C501"/>
  <c r="D501"/>
  <c r="E501"/>
  <c r="B502"/>
  <c r="C502"/>
  <c r="D502"/>
  <c r="E502"/>
  <c r="B503"/>
  <c r="C503"/>
  <c r="D503"/>
  <c r="E503"/>
  <c r="B504"/>
  <c r="C504"/>
  <c r="D504"/>
  <c r="E504"/>
  <c r="B505"/>
  <c r="C505"/>
  <c r="D505"/>
  <c r="E505"/>
  <c r="B506"/>
  <c r="C506"/>
  <c r="D506"/>
  <c r="E506"/>
  <c r="B507"/>
  <c r="C507"/>
  <c r="D507"/>
  <c r="E507"/>
  <c r="B508"/>
  <c r="C508"/>
  <c r="D508"/>
  <c r="E508"/>
  <c r="B509"/>
  <c r="C509"/>
  <c r="D509"/>
  <c r="E509"/>
  <c r="B510"/>
  <c r="C510"/>
  <c r="D510"/>
  <c r="E510"/>
  <c r="B511"/>
  <c r="C511"/>
  <c r="D511"/>
  <c r="E511"/>
  <c r="B512"/>
  <c r="C512"/>
  <c r="D512"/>
  <c r="E512"/>
  <c r="B513"/>
  <c r="C513"/>
  <c r="D513"/>
  <c r="E513"/>
  <c r="B514"/>
  <c r="C514"/>
  <c r="D514"/>
  <c r="E514"/>
  <c r="B515"/>
  <c r="C515"/>
  <c r="D515"/>
  <c r="E515"/>
  <c r="B516"/>
  <c r="C516"/>
  <c r="D516"/>
  <c r="E516"/>
  <c r="B517"/>
  <c r="C517"/>
  <c r="D517"/>
  <c r="E517"/>
  <c r="B518"/>
  <c r="C518"/>
  <c r="D518"/>
  <c r="E518"/>
  <c r="B519"/>
  <c r="C519"/>
  <c r="D519"/>
  <c r="E519"/>
  <c r="B520"/>
  <c r="C520"/>
  <c r="D520"/>
  <c r="E520"/>
  <c r="B521"/>
  <c r="C521"/>
  <c r="D521"/>
  <c r="E521"/>
  <c r="B522"/>
  <c r="C522"/>
  <c r="D522"/>
  <c r="E522"/>
  <c r="B523"/>
  <c r="C523"/>
  <c r="D523"/>
  <c r="E523"/>
  <c r="E47"/>
  <c r="F47"/>
  <c r="E46"/>
  <c r="F46"/>
  <c r="E45"/>
  <c r="F45"/>
  <c r="E44"/>
  <c r="F44"/>
  <c r="E43"/>
  <c r="F43"/>
  <c r="E42"/>
  <c r="F42"/>
  <c r="E41"/>
  <c r="F41"/>
  <c r="E40"/>
  <c r="F40"/>
  <c r="E39"/>
  <c r="F39"/>
  <c r="E38"/>
  <c r="F38"/>
  <c r="E37"/>
  <c r="F37"/>
  <c r="E36"/>
  <c r="F36"/>
  <c r="E35"/>
  <c r="F35"/>
  <c r="E34"/>
  <c r="F34"/>
  <c r="E33"/>
  <c r="F33"/>
  <c r="E32"/>
  <c r="F32"/>
  <c r="E31"/>
  <c r="F31"/>
  <c r="E30"/>
  <c r="F30"/>
  <c r="E29"/>
  <c r="F29"/>
  <c r="E28"/>
  <c r="F28"/>
  <c r="B29"/>
  <c r="C29"/>
  <c r="B30"/>
  <c r="C30"/>
  <c r="B31"/>
  <c r="C31"/>
  <c r="B32"/>
  <c r="C32"/>
  <c r="B33"/>
  <c r="C33"/>
  <c r="B34"/>
  <c r="C34"/>
  <c r="B35"/>
  <c r="C35"/>
  <c r="B36"/>
  <c r="C36"/>
  <c r="B37"/>
  <c r="C37"/>
  <c r="B38"/>
  <c r="C38"/>
  <c r="B39"/>
  <c r="C39"/>
  <c r="B40"/>
  <c r="C40"/>
  <c r="B41"/>
  <c r="C41"/>
  <c r="B42"/>
  <c r="C42"/>
  <c r="B43"/>
  <c r="C43"/>
  <c r="B44"/>
  <c r="C44"/>
  <c r="B45"/>
  <c r="C45"/>
  <c r="B46"/>
  <c r="C46"/>
  <c r="B47"/>
  <c r="C47"/>
  <c r="B28"/>
  <c r="C28"/>
  <c r="K12" i="36"/>
  <c r="L12" s="1"/>
  <c r="K14"/>
  <c r="L14" s="1"/>
  <c r="K17"/>
  <c r="L17" s="1"/>
  <c r="K13"/>
  <c r="L13" s="1"/>
  <c r="K10"/>
  <c r="L10" s="1"/>
  <c r="K11"/>
  <c r="L11" s="1"/>
  <c r="K15"/>
  <c r="L15" s="1"/>
  <c r="K16"/>
  <c r="L16" s="1"/>
  <c r="K18"/>
  <c r="L18" s="1"/>
  <c r="K19"/>
  <c r="L19" s="1"/>
  <c r="K20"/>
  <c r="L20" s="1"/>
  <c r="K21"/>
  <c r="L21" s="1"/>
  <c r="K22"/>
  <c r="L22" s="1"/>
  <c r="K23"/>
  <c r="L23" s="1"/>
  <c r="K24"/>
  <c r="L24" s="1"/>
  <c r="K25"/>
  <c r="L25" s="1"/>
  <c r="K26"/>
  <c r="L26" s="1"/>
  <c r="K27"/>
  <c r="L27" s="1"/>
  <c r="K28"/>
  <c r="L28" s="1"/>
  <c r="K29"/>
  <c r="L29" s="1"/>
  <c r="K30"/>
  <c r="L30" s="1"/>
  <c r="K31"/>
  <c r="L31" s="1"/>
  <c r="K32"/>
  <c r="L32" s="1"/>
  <c r="K33"/>
  <c r="L33" s="1"/>
  <c r="K34"/>
  <c r="L34" s="1"/>
  <c r="K35"/>
  <c r="L35" s="1"/>
  <c r="K36"/>
  <c r="L36" s="1"/>
  <c r="K37"/>
  <c r="L37" s="1"/>
  <c r="K38"/>
  <c r="L38" s="1"/>
  <c r="K39"/>
  <c r="L39" s="1"/>
  <c r="K40"/>
  <c r="L40" s="1"/>
  <c r="K41"/>
  <c r="L41" s="1"/>
  <c r="K42"/>
  <c r="L42" s="1"/>
  <c r="K43"/>
  <c r="L43" s="1"/>
  <c r="K44"/>
  <c r="L44" s="1"/>
  <c r="K45"/>
  <c r="L45" s="1"/>
  <c r="K46"/>
  <c r="L46" s="1"/>
  <c r="K47"/>
  <c r="L47" s="1"/>
  <c r="C13" i="8"/>
  <c r="D13" s="1"/>
  <c r="E13" s="1"/>
  <c r="F13" s="1"/>
  <c r="G13" s="1"/>
  <c r="H13" s="1"/>
  <c r="I13" s="1"/>
  <c r="J13" s="1"/>
  <c r="K13" s="1"/>
  <c r="B42" s="1"/>
  <c r="C42" s="1"/>
  <c r="D42" s="1"/>
  <c r="E42" s="1"/>
  <c r="F42" s="1"/>
  <c r="G42" s="1"/>
  <c r="H42" s="1"/>
  <c r="I42" s="1"/>
  <c r="J42" s="1"/>
  <c r="K42" s="1"/>
  <c r="B71" s="1"/>
  <c r="C71" s="1"/>
  <c r="D71" s="1"/>
  <c r="E71" s="1"/>
  <c r="F71" s="1"/>
  <c r="G71" s="1"/>
  <c r="H71" s="1"/>
  <c r="I71" s="1"/>
  <c r="J71" s="1"/>
  <c r="K71" s="1"/>
  <c r="K78" s="1"/>
  <c r="F145" i="36"/>
  <c r="F154"/>
  <c r="F165"/>
  <c r="K143"/>
  <c r="K152"/>
  <c r="K162"/>
  <c r="P144"/>
  <c r="H131"/>
  <c r="C75" i="8" s="1"/>
  <c r="I131" i="36"/>
  <c r="D75" i="8" s="1"/>
  <c r="J131" i="36"/>
  <c r="E75" i="8" s="1"/>
  <c r="K131" i="36"/>
  <c r="F75" i="8" s="1"/>
  <c r="L131" i="36"/>
  <c r="G75" i="8" s="1"/>
  <c r="M131" i="36"/>
  <c r="H75" i="8" s="1"/>
  <c r="N131" i="36"/>
  <c r="I75" i="8" s="1"/>
  <c r="O131" i="36"/>
  <c r="J75" i="8" s="1"/>
  <c r="P131" i="36"/>
  <c r="K75" i="8" s="1"/>
  <c r="G131" i="36"/>
  <c r="B75" i="8" s="1"/>
  <c r="B38" i="26"/>
  <c r="H136" i="36"/>
  <c r="C76" i="8" s="1"/>
  <c r="B39" i="26"/>
  <c r="I136" i="36"/>
  <c r="D76" i="8" s="1"/>
  <c r="B40" i="26"/>
  <c r="J136" i="36"/>
  <c r="E76" i="8" s="1"/>
  <c r="B41" i="26"/>
  <c r="K136" i="36"/>
  <c r="F76" i="8" s="1"/>
  <c r="B42" i="26"/>
  <c r="L136" i="36"/>
  <c r="G76" i="8" s="1"/>
  <c r="B43" i="26"/>
  <c r="M136" i="36"/>
  <c r="H76" i="8" s="1"/>
  <c r="B44" i="26"/>
  <c r="N136" i="36"/>
  <c r="I76" i="8" s="1"/>
  <c r="B45" i="26"/>
  <c r="O136" i="36"/>
  <c r="J76" i="8" s="1"/>
  <c r="B46" i="26"/>
  <c r="P136" i="36"/>
  <c r="K76" i="8" s="1"/>
  <c r="B37" i="26"/>
  <c r="G136" i="36"/>
  <c r="B76" i="8" s="1"/>
  <c r="B28" i="26"/>
  <c r="H126" i="36"/>
  <c r="C47" i="8" s="1"/>
  <c r="B29" i="26"/>
  <c r="I126" i="36"/>
  <c r="D47" i="8" s="1"/>
  <c r="B30" i="26"/>
  <c r="J126" i="36"/>
  <c r="E47" i="8" s="1"/>
  <c r="B31" i="26"/>
  <c r="K126" i="36"/>
  <c r="F47" i="8" s="1"/>
  <c r="B32" i="26"/>
  <c r="L126" i="36"/>
  <c r="G47" i="8" s="1"/>
  <c r="B33" i="26"/>
  <c r="M126" i="36"/>
  <c r="H47" i="8" s="1"/>
  <c r="B34" i="26"/>
  <c r="N126" i="36"/>
  <c r="I47" i="8" s="1"/>
  <c r="B35" i="26"/>
  <c r="O126" i="36"/>
  <c r="J47" i="8" s="1"/>
  <c r="B36" i="26"/>
  <c r="P126" i="36"/>
  <c r="K47" i="8" s="1"/>
  <c r="B27" i="26"/>
  <c r="G126" i="36"/>
  <c r="B47" i="8" s="1"/>
  <c r="B18" i="26"/>
  <c r="H116" i="36"/>
  <c r="C18" i="8" s="1"/>
  <c r="B19" i="26"/>
  <c r="I116" i="36"/>
  <c r="D18" i="8" s="1"/>
  <c r="B20" i="26"/>
  <c r="J116" i="36"/>
  <c r="E18" i="8" s="1"/>
  <c r="B21" i="26"/>
  <c r="K116" i="36"/>
  <c r="F18" i="8" s="1"/>
  <c r="B22" i="26"/>
  <c r="L116" i="36"/>
  <c r="G18" i="8" s="1"/>
  <c r="B23" i="26"/>
  <c r="M116" i="36"/>
  <c r="H18" i="8" s="1"/>
  <c r="B24" i="26"/>
  <c r="N116" i="36"/>
  <c r="I18" i="8" s="1"/>
  <c r="B25" i="26"/>
  <c r="O116" i="36"/>
  <c r="J18" i="8" s="1"/>
  <c r="B26" i="26"/>
  <c r="P116" i="36"/>
  <c r="K18" i="8" s="1"/>
  <c r="B17" i="26"/>
  <c r="G116" i="36"/>
  <c r="B18" i="8" s="1"/>
  <c r="F48" i="36"/>
  <c r="EV44"/>
  <c r="EW44"/>
  <c r="EX44"/>
  <c r="EY44"/>
  <c r="EZ44"/>
  <c r="FA44"/>
  <c r="FB44"/>
  <c r="FC44"/>
  <c r="FD44"/>
  <c r="FE44"/>
  <c r="FF44"/>
  <c r="FG44"/>
  <c r="FH44"/>
  <c r="FI44"/>
  <c r="FJ44"/>
  <c r="FK44"/>
  <c r="FL44"/>
  <c r="FM44"/>
  <c r="FN44"/>
  <c r="FO44"/>
  <c r="FP44"/>
  <c r="FQ44"/>
  <c r="FR44"/>
  <c r="FS44"/>
  <c r="FT44"/>
  <c r="FU44"/>
  <c r="FV44"/>
  <c r="FW44"/>
  <c r="FX44"/>
  <c r="FY44"/>
  <c r="FZ44"/>
  <c r="GA44"/>
  <c r="GB44"/>
  <c r="GC44"/>
  <c r="GD44"/>
  <c r="GE44"/>
  <c r="GF44"/>
  <c r="GG44"/>
  <c r="GH44"/>
  <c r="GI44"/>
  <c r="GJ44"/>
  <c r="GK44"/>
  <c r="GL44"/>
  <c r="GM44"/>
  <c r="GN44"/>
  <c r="EV45"/>
  <c r="EW45"/>
  <c r="EX45"/>
  <c r="EY45"/>
  <c r="EZ45"/>
  <c r="FA45"/>
  <c r="FB45"/>
  <c r="FC45"/>
  <c r="FD45"/>
  <c r="FE45"/>
  <c r="FF45"/>
  <c r="FG45"/>
  <c r="FH45"/>
  <c r="FI45"/>
  <c r="FJ45"/>
  <c r="FK45"/>
  <c r="FL45"/>
  <c r="FM45"/>
  <c r="FN45"/>
  <c r="FO45"/>
  <c r="FP45"/>
  <c r="FQ45"/>
  <c r="FR45"/>
  <c r="FS45"/>
  <c r="FT45"/>
  <c r="FU45"/>
  <c r="FV45"/>
  <c r="FW45"/>
  <c r="FX45"/>
  <c r="FY45"/>
  <c r="FZ45"/>
  <c r="GA45"/>
  <c r="GB45"/>
  <c r="GC45"/>
  <c r="GD45"/>
  <c r="GE45"/>
  <c r="GF45"/>
  <c r="GG45"/>
  <c r="GH45"/>
  <c r="GI45"/>
  <c r="GJ45"/>
  <c r="GK45"/>
  <c r="GL45"/>
  <c r="GM45"/>
  <c r="GN45"/>
  <c r="EV46"/>
  <c r="EW46"/>
  <c r="EX46"/>
  <c r="EY46"/>
  <c r="EZ46"/>
  <c r="FA46"/>
  <c r="FB46"/>
  <c r="FC46"/>
  <c r="FD46"/>
  <c r="FE46"/>
  <c r="FF46"/>
  <c r="FG46"/>
  <c r="FH46"/>
  <c r="FI46"/>
  <c r="FJ46"/>
  <c r="FK46"/>
  <c r="FL46"/>
  <c r="FM46"/>
  <c r="FN46"/>
  <c r="FO46"/>
  <c r="FP46"/>
  <c r="FQ46"/>
  <c r="FR46"/>
  <c r="FS46"/>
  <c r="FT46"/>
  <c r="FU46"/>
  <c r="FV46"/>
  <c r="FW46"/>
  <c r="FX46"/>
  <c r="FY46"/>
  <c r="FZ46"/>
  <c r="GA46"/>
  <c r="GB46"/>
  <c r="GC46"/>
  <c r="GD46"/>
  <c r="GE46"/>
  <c r="GF46"/>
  <c r="GG46"/>
  <c r="GH46"/>
  <c r="GI46"/>
  <c r="GJ46"/>
  <c r="GK46"/>
  <c r="GL46"/>
  <c r="GM46"/>
  <c r="GN46"/>
  <c r="C424" i="26"/>
  <c r="D424"/>
  <c r="E424"/>
  <c r="C425"/>
  <c r="D425"/>
  <c r="E425"/>
  <c r="C426"/>
  <c r="D426"/>
  <c r="E426"/>
  <c r="C427"/>
  <c r="D427"/>
  <c r="E427"/>
  <c r="C428"/>
  <c r="D428"/>
  <c r="E428"/>
  <c r="C429"/>
  <c r="D429"/>
  <c r="E429"/>
  <c r="C430"/>
  <c r="D430"/>
  <c r="E430"/>
  <c r="C431"/>
  <c r="D431"/>
  <c r="E431"/>
  <c r="C432"/>
  <c r="D432"/>
  <c r="E432"/>
  <c r="C433"/>
  <c r="D433"/>
  <c r="E433"/>
  <c r="C434"/>
  <c r="D434"/>
  <c r="E434"/>
  <c r="C435"/>
  <c r="D435"/>
  <c r="E435"/>
  <c r="C436"/>
  <c r="D436"/>
  <c r="E436"/>
  <c r="C437"/>
  <c r="D437"/>
  <c r="E437"/>
  <c r="C438"/>
  <c r="D438"/>
  <c r="E438"/>
  <c r="C439"/>
  <c r="D439"/>
  <c r="E439"/>
  <c r="C440"/>
  <c r="D440"/>
  <c r="E440"/>
  <c r="C441"/>
  <c r="D441"/>
  <c r="E441"/>
  <c r="C442"/>
  <c r="D442"/>
  <c r="E442"/>
  <c r="C443"/>
  <c r="D443"/>
  <c r="E443"/>
  <c r="C444"/>
  <c r="D444"/>
  <c r="E444"/>
  <c r="C445"/>
  <c r="D445"/>
  <c r="E445"/>
  <c r="C446"/>
  <c r="D446"/>
  <c r="E446"/>
  <c r="C447"/>
  <c r="D447"/>
  <c r="E447"/>
  <c r="C448"/>
  <c r="D448"/>
  <c r="E448"/>
  <c r="C449"/>
  <c r="D449"/>
  <c r="E449"/>
  <c r="C450"/>
  <c r="D450"/>
  <c r="E450"/>
  <c r="C451"/>
  <c r="D451"/>
  <c r="E451"/>
  <c r="C452"/>
  <c r="D452"/>
  <c r="E452"/>
  <c r="C453"/>
  <c r="D453"/>
  <c r="E453"/>
  <c r="C454"/>
  <c r="D454"/>
  <c r="E454"/>
  <c r="C455"/>
  <c r="D455"/>
  <c r="E455"/>
  <c r="C456"/>
  <c r="D456"/>
  <c r="E456"/>
  <c r="C457"/>
  <c r="D457"/>
  <c r="E457"/>
  <c r="C458"/>
  <c r="D458"/>
  <c r="E458"/>
  <c r="C459"/>
  <c r="D459"/>
  <c r="E459"/>
  <c r="C460"/>
  <c r="D460"/>
  <c r="E460"/>
  <c r="C461"/>
  <c r="D461"/>
  <c r="E461"/>
  <c r="C462"/>
  <c r="D462"/>
  <c r="E462"/>
  <c r="C463"/>
  <c r="D463"/>
  <c r="E463"/>
  <c r="C464"/>
  <c r="D464"/>
  <c r="E464"/>
  <c r="C465"/>
  <c r="D465"/>
  <c r="E465"/>
  <c r="C466"/>
  <c r="D466"/>
  <c r="E466"/>
  <c r="C467"/>
  <c r="D467"/>
  <c r="E467"/>
  <c r="C468"/>
  <c r="D468"/>
  <c r="E468"/>
  <c r="C469"/>
  <c r="D469"/>
  <c r="E469"/>
  <c r="C470"/>
  <c r="D470"/>
  <c r="E470"/>
  <c r="C471"/>
  <c r="D471"/>
  <c r="E471"/>
  <c r="C472"/>
  <c r="D472"/>
  <c r="E472"/>
  <c r="C473"/>
  <c r="D473"/>
  <c r="E473"/>
  <c r="C474"/>
  <c r="D474"/>
  <c r="E474"/>
  <c r="C475"/>
  <c r="D475"/>
  <c r="E475"/>
  <c r="C476"/>
  <c r="D476"/>
  <c r="E476"/>
  <c r="C477"/>
  <c r="D477"/>
  <c r="E477"/>
  <c r="C478"/>
  <c r="D478"/>
  <c r="E478"/>
  <c r="C479"/>
  <c r="D479"/>
  <c r="E479"/>
  <c r="C480"/>
  <c r="D480"/>
  <c r="E480"/>
  <c r="C481"/>
  <c r="D481"/>
  <c r="E481"/>
  <c r="C482"/>
  <c r="D482"/>
  <c r="E482"/>
  <c r="C483"/>
  <c r="D483"/>
  <c r="E483"/>
  <c r="C484"/>
  <c r="D484"/>
  <c r="E484"/>
  <c r="C485"/>
  <c r="D485"/>
  <c r="E485"/>
  <c r="C486"/>
  <c r="D486"/>
  <c r="E486"/>
  <c r="C487"/>
  <c r="D487"/>
  <c r="E487"/>
  <c r="C488"/>
  <c r="D488"/>
  <c r="E488"/>
  <c r="C489"/>
  <c r="D489"/>
  <c r="E489"/>
  <c r="C490"/>
  <c r="D490"/>
  <c r="E490"/>
  <c r="C491"/>
  <c r="D491"/>
  <c r="E491"/>
  <c r="C492"/>
  <c r="D492"/>
  <c r="E492"/>
  <c r="C493"/>
  <c r="D493"/>
  <c r="E493"/>
  <c r="C494"/>
  <c r="D494"/>
  <c r="E494"/>
  <c r="C495"/>
  <c r="D495"/>
  <c r="E495"/>
  <c r="C496"/>
  <c r="D496"/>
  <c r="E496"/>
  <c r="C497"/>
  <c r="D497"/>
  <c r="E497"/>
  <c r="C498"/>
  <c r="D498"/>
  <c r="E498"/>
  <c r="C499"/>
  <c r="D499"/>
  <c r="E499"/>
  <c r="C500"/>
  <c r="D500"/>
  <c r="E500"/>
  <c r="C501"/>
  <c r="D501"/>
  <c r="E501"/>
  <c r="C502"/>
  <c r="D502"/>
  <c r="E502"/>
  <c r="C503"/>
  <c r="D503"/>
  <c r="E503"/>
  <c r="C504"/>
  <c r="D504"/>
  <c r="E504"/>
  <c r="C505"/>
  <c r="D505"/>
  <c r="E505"/>
  <c r="C506"/>
  <c r="D506"/>
  <c r="E506"/>
  <c r="C507"/>
  <c r="D507"/>
  <c r="E507"/>
  <c r="C508"/>
  <c r="D508"/>
  <c r="E508"/>
  <c r="C509"/>
  <c r="D509"/>
  <c r="E509"/>
  <c r="C510"/>
  <c r="D510"/>
  <c r="E510"/>
  <c r="C511"/>
  <c r="D511"/>
  <c r="E511"/>
  <c r="C512"/>
  <c r="D512"/>
  <c r="E512"/>
  <c r="C513"/>
  <c r="D513"/>
  <c r="E513"/>
  <c r="C514"/>
  <c r="D514"/>
  <c r="E514"/>
  <c r="C515"/>
  <c r="D515"/>
  <c r="E515"/>
  <c r="C516"/>
  <c r="D516"/>
  <c r="E516"/>
  <c r="C517"/>
  <c r="D517"/>
  <c r="E517"/>
  <c r="C518"/>
  <c r="D518"/>
  <c r="E518"/>
  <c r="C519"/>
  <c r="D519"/>
  <c r="E519"/>
  <c r="C520"/>
  <c r="D520"/>
  <c r="E520"/>
  <c r="C521"/>
  <c r="D521"/>
  <c r="E521"/>
  <c r="C522"/>
  <c r="D522"/>
  <c r="E522"/>
  <c r="C523"/>
  <c r="D523"/>
  <c r="E523"/>
  <c r="C524"/>
  <c r="D524"/>
  <c r="E524"/>
  <c r="C525"/>
  <c r="D525"/>
  <c r="E525"/>
  <c r="C526"/>
  <c r="D526"/>
  <c r="E526"/>
  <c r="C527"/>
  <c r="D527"/>
  <c r="E527"/>
  <c r="C528"/>
  <c r="D528"/>
  <c r="E528"/>
  <c r="C529"/>
  <c r="D529"/>
  <c r="E529"/>
  <c r="C530"/>
  <c r="D530"/>
  <c r="E530"/>
  <c r="C531"/>
  <c r="D531"/>
  <c r="E531"/>
  <c r="C532"/>
  <c r="D532"/>
  <c r="E532"/>
  <c r="C533"/>
  <c r="D533"/>
  <c r="E533"/>
  <c r="C534"/>
  <c r="D534"/>
  <c r="E534"/>
  <c r="C535"/>
  <c r="D535"/>
  <c r="E535"/>
  <c r="C536"/>
  <c r="D536"/>
  <c r="E536"/>
  <c r="C537"/>
  <c r="D537"/>
  <c r="E537"/>
  <c r="C538"/>
  <c r="D538"/>
  <c r="E538"/>
  <c r="C539"/>
  <c r="D539"/>
  <c r="E539"/>
  <c r="C540"/>
  <c r="D540"/>
  <c r="E540"/>
  <c r="C541"/>
  <c r="D541"/>
  <c r="E541"/>
  <c r="C542"/>
  <c r="D542"/>
  <c r="E542"/>
  <c r="C543"/>
  <c r="D543"/>
  <c r="E543"/>
  <c r="D56"/>
  <c r="B56"/>
  <c r="D55"/>
  <c r="B55"/>
  <c r="D54"/>
  <c r="B54"/>
  <c r="D53"/>
  <c r="B53"/>
  <c r="D52"/>
  <c r="B52"/>
  <c r="D51"/>
  <c r="B51"/>
  <c r="D50"/>
  <c r="B50"/>
  <c r="D49"/>
  <c r="B49"/>
  <c r="D48"/>
  <c r="B48"/>
  <c r="D47"/>
  <c r="B47"/>
  <c r="D46"/>
  <c r="D45"/>
  <c r="D44"/>
  <c r="D43"/>
  <c r="D42"/>
  <c r="D41"/>
  <c r="D40"/>
  <c r="D39"/>
  <c r="D38"/>
  <c r="D37"/>
  <c r="D36"/>
  <c r="D35"/>
  <c r="D34"/>
  <c r="D33"/>
  <c r="D32"/>
  <c r="D31"/>
  <c r="D30"/>
  <c r="D29"/>
  <c r="D28"/>
  <c r="D27"/>
  <c r="D26"/>
  <c r="D25"/>
  <c r="D24"/>
  <c r="D23"/>
  <c r="D22"/>
  <c r="D21"/>
  <c r="D20"/>
  <c r="D19"/>
  <c r="D18"/>
  <c r="D17"/>
  <c r="G121" i="36"/>
  <c r="B46" i="8" s="1"/>
  <c r="P121" i="36"/>
  <c r="K46" i="8" s="1"/>
  <c r="O121" i="36"/>
  <c r="J46" i="8" s="1"/>
  <c r="N121" i="36"/>
  <c r="I46" i="8" s="1"/>
  <c r="M121" i="36"/>
  <c r="H46" i="8" s="1"/>
  <c r="L121" i="36"/>
  <c r="G46" i="8" s="1"/>
  <c r="K121" i="36"/>
  <c r="F46" i="8" s="1"/>
  <c r="J121" i="36"/>
  <c r="E46" i="8" s="1"/>
  <c r="I121" i="36"/>
  <c r="D46" i="8" s="1"/>
  <c r="H121" i="36"/>
  <c r="C46" i="8" s="1"/>
  <c r="G111" i="36"/>
  <c r="B17" i="8" s="1"/>
  <c r="H111" i="36"/>
  <c r="C17" i="8" s="1"/>
  <c r="I111" i="36"/>
  <c r="D17" i="8" s="1"/>
  <c r="J111" i="36"/>
  <c r="E17" i="8" s="1"/>
  <c r="K111" i="36"/>
  <c r="F17" i="8" s="1"/>
  <c r="L111" i="36"/>
  <c r="G17" i="8" s="1"/>
  <c r="M111" i="36"/>
  <c r="H17" i="8" s="1"/>
  <c r="N111" i="36"/>
  <c r="I17" i="8" s="1"/>
  <c r="O111" i="36"/>
  <c r="J17" i="8" s="1"/>
  <c r="P111" i="36"/>
  <c r="K17" i="8" s="1"/>
  <c r="P16" i="11"/>
  <c r="G11" s="1"/>
  <c r="K16"/>
  <c r="G12" s="1"/>
  <c r="F16"/>
  <c r="G10" s="1"/>
  <c r="EV10" i="36"/>
  <c r="EV11"/>
  <c r="EV12"/>
  <c r="EV13"/>
  <c r="EV14"/>
  <c r="EV15"/>
  <c r="EV16"/>
  <c r="EV17"/>
  <c r="EV18"/>
  <c r="EV19"/>
  <c r="EV20"/>
  <c r="EV21"/>
  <c r="EV22"/>
  <c r="EV23"/>
  <c r="EV24"/>
  <c r="EV25"/>
  <c r="EV26"/>
  <c r="EV27"/>
  <c r="EV28"/>
  <c r="EV29"/>
  <c r="EV30"/>
  <c r="EV31"/>
  <c r="EV32"/>
  <c r="EV33"/>
  <c r="EV34"/>
  <c r="EV35"/>
  <c r="EV36"/>
  <c r="EV37"/>
  <c r="EV38"/>
  <c r="EV39"/>
  <c r="EV40"/>
  <c r="EV41"/>
  <c r="EV42"/>
  <c r="EV43"/>
  <c r="EV47"/>
  <c r="EW10"/>
  <c r="EW11"/>
  <c r="EW12"/>
  <c r="EW13"/>
  <c r="EW14"/>
  <c r="EW15"/>
  <c r="EW16"/>
  <c r="EW17"/>
  <c r="EW18"/>
  <c r="EW19"/>
  <c r="EW20"/>
  <c r="EW21"/>
  <c r="EW22"/>
  <c r="EW23"/>
  <c r="EW24"/>
  <c r="EW25"/>
  <c r="EW26"/>
  <c r="EW27"/>
  <c r="EW28"/>
  <c r="EW29"/>
  <c r="EW30"/>
  <c r="EW31"/>
  <c r="EW32"/>
  <c r="EW33"/>
  <c r="EW34"/>
  <c r="EW35"/>
  <c r="EW36"/>
  <c r="EW37"/>
  <c r="EW38"/>
  <c r="EW39"/>
  <c r="EW40"/>
  <c r="EW41"/>
  <c r="EW42"/>
  <c r="EW43"/>
  <c r="EW47"/>
  <c r="EX10"/>
  <c r="EX11"/>
  <c r="EX12"/>
  <c r="EX13"/>
  <c r="EX14"/>
  <c r="EX15"/>
  <c r="EX16"/>
  <c r="EX17"/>
  <c r="EX18"/>
  <c r="EX19"/>
  <c r="EX20"/>
  <c r="EX21"/>
  <c r="EX22"/>
  <c r="EX23"/>
  <c r="EX24"/>
  <c r="EX25"/>
  <c r="EX26"/>
  <c r="EX27"/>
  <c r="EX28"/>
  <c r="EX29"/>
  <c r="EX30"/>
  <c r="EX31"/>
  <c r="EX32"/>
  <c r="EX33"/>
  <c r="EX34"/>
  <c r="EX35"/>
  <c r="EX36"/>
  <c r="EX37"/>
  <c r="EX38"/>
  <c r="EX39"/>
  <c r="EX40"/>
  <c r="EX41"/>
  <c r="EX42"/>
  <c r="EX43"/>
  <c r="EX47"/>
  <c r="EY10"/>
  <c r="EY11"/>
  <c r="EY12"/>
  <c r="EY13"/>
  <c r="EY14"/>
  <c r="EY15"/>
  <c r="EY16"/>
  <c r="EY17"/>
  <c r="EY18"/>
  <c r="EY19"/>
  <c r="EY20"/>
  <c r="EY21"/>
  <c r="EY22"/>
  <c r="EY23"/>
  <c r="EY24"/>
  <c r="EY25"/>
  <c r="EY26"/>
  <c r="EY27"/>
  <c r="EY28"/>
  <c r="EY29"/>
  <c r="EY30"/>
  <c r="EY31"/>
  <c r="EY32"/>
  <c r="EY33"/>
  <c r="EY34"/>
  <c r="EY35"/>
  <c r="EY36"/>
  <c r="EY37"/>
  <c r="EY38"/>
  <c r="EY39"/>
  <c r="EY40"/>
  <c r="EY41"/>
  <c r="EY42"/>
  <c r="EY43"/>
  <c r="EY47"/>
  <c r="EZ10"/>
  <c r="EZ11"/>
  <c r="EZ12"/>
  <c r="EZ13"/>
  <c r="EZ14"/>
  <c r="EZ15"/>
  <c r="EZ16"/>
  <c r="EZ17"/>
  <c r="EZ18"/>
  <c r="EZ19"/>
  <c r="EZ20"/>
  <c r="EZ21"/>
  <c r="EZ22"/>
  <c r="EZ23"/>
  <c r="EZ24"/>
  <c r="EZ25"/>
  <c r="EZ26"/>
  <c r="EZ27"/>
  <c r="EZ28"/>
  <c r="EZ29"/>
  <c r="EZ30"/>
  <c r="EZ31"/>
  <c r="EZ32"/>
  <c r="EZ33"/>
  <c r="EZ34"/>
  <c r="EZ35"/>
  <c r="EZ36"/>
  <c r="EZ37"/>
  <c r="EZ38"/>
  <c r="EZ39"/>
  <c r="EZ40"/>
  <c r="EZ41"/>
  <c r="EZ42"/>
  <c r="EZ43"/>
  <c r="EZ47"/>
  <c r="FA10"/>
  <c r="FA11"/>
  <c r="FA12"/>
  <c r="FA13"/>
  <c r="FA14"/>
  <c r="FA15"/>
  <c r="FA16"/>
  <c r="FA17"/>
  <c r="FA18"/>
  <c r="FA19"/>
  <c r="FA20"/>
  <c r="FA21"/>
  <c r="FA22"/>
  <c r="FA23"/>
  <c r="FA24"/>
  <c r="FA25"/>
  <c r="FA26"/>
  <c r="FA27"/>
  <c r="FA28"/>
  <c r="FA29"/>
  <c r="FA30"/>
  <c r="FA31"/>
  <c r="FA32"/>
  <c r="FA33"/>
  <c r="FA34"/>
  <c r="FA35"/>
  <c r="FA36"/>
  <c r="FA37"/>
  <c r="FA38"/>
  <c r="FA39"/>
  <c r="FA40"/>
  <c r="FA41"/>
  <c r="FA42"/>
  <c r="FA43"/>
  <c r="FA47"/>
  <c r="FB10"/>
  <c r="FB11"/>
  <c r="FB12"/>
  <c r="FB13"/>
  <c r="FB14"/>
  <c r="FB15"/>
  <c r="FB16"/>
  <c r="FB17"/>
  <c r="FB18"/>
  <c r="FB19"/>
  <c r="FB20"/>
  <c r="FB21"/>
  <c r="FB22"/>
  <c r="FB23"/>
  <c r="FB24"/>
  <c r="FB25"/>
  <c r="FB26"/>
  <c r="FB27"/>
  <c r="FB28"/>
  <c r="FB29"/>
  <c r="FB30"/>
  <c r="FB31"/>
  <c r="FB32"/>
  <c r="FB33"/>
  <c r="FB34"/>
  <c r="FB35"/>
  <c r="FB36"/>
  <c r="FB37"/>
  <c r="FB38"/>
  <c r="FB39"/>
  <c r="FB40"/>
  <c r="FB41"/>
  <c r="FB42"/>
  <c r="FB43"/>
  <c r="FB47"/>
  <c r="FC10"/>
  <c r="FC11"/>
  <c r="FC12"/>
  <c r="FC13"/>
  <c r="FC14"/>
  <c r="FC15"/>
  <c r="FC16"/>
  <c r="FC17"/>
  <c r="FC18"/>
  <c r="FC19"/>
  <c r="FC20"/>
  <c r="FC21"/>
  <c r="FC22"/>
  <c r="FC23"/>
  <c r="FC24"/>
  <c r="FC25"/>
  <c r="FC26"/>
  <c r="FC27"/>
  <c r="FC28"/>
  <c r="FC29"/>
  <c r="FC30"/>
  <c r="FC31"/>
  <c r="FC32"/>
  <c r="FC33"/>
  <c r="FC34"/>
  <c r="FC35"/>
  <c r="FC36"/>
  <c r="FC37"/>
  <c r="FC38"/>
  <c r="FC39"/>
  <c r="FC40"/>
  <c r="FC41"/>
  <c r="FC42"/>
  <c r="FC43"/>
  <c r="FC47"/>
  <c r="FD10"/>
  <c r="FD11"/>
  <c r="FD12"/>
  <c r="FD13"/>
  <c r="FD14"/>
  <c r="FD15"/>
  <c r="FD16"/>
  <c r="FD17"/>
  <c r="FD18"/>
  <c r="FD19"/>
  <c r="FD20"/>
  <c r="FD21"/>
  <c r="FD22"/>
  <c r="FD23"/>
  <c r="FD24"/>
  <c r="FD25"/>
  <c r="FD26"/>
  <c r="FD27"/>
  <c r="FD28"/>
  <c r="FD29"/>
  <c r="FD30"/>
  <c r="FD31"/>
  <c r="FD32"/>
  <c r="FD33"/>
  <c r="FD34"/>
  <c r="FD35"/>
  <c r="FD36"/>
  <c r="FD37"/>
  <c r="FD38"/>
  <c r="FD39"/>
  <c r="FD40"/>
  <c r="FD41"/>
  <c r="FD42"/>
  <c r="FD43"/>
  <c r="FD47"/>
  <c r="FE10"/>
  <c r="FE11"/>
  <c r="FE12"/>
  <c r="FE13"/>
  <c r="FE14"/>
  <c r="FE15"/>
  <c r="FE16"/>
  <c r="FE17"/>
  <c r="FE18"/>
  <c r="FE19"/>
  <c r="FE20"/>
  <c r="FE21"/>
  <c r="FE22"/>
  <c r="FE23"/>
  <c r="FE24"/>
  <c r="FE25"/>
  <c r="FE26"/>
  <c r="FE27"/>
  <c r="FE28"/>
  <c r="FE29"/>
  <c r="FE30"/>
  <c r="FE31"/>
  <c r="FE32"/>
  <c r="FE33"/>
  <c r="FE34"/>
  <c r="FE35"/>
  <c r="FE36"/>
  <c r="FE37"/>
  <c r="FE38"/>
  <c r="FE39"/>
  <c r="FE40"/>
  <c r="FE41"/>
  <c r="FE42"/>
  <c r="FE43"/>
  <c r="FE47"/>
  <c r="FP10"/>
  <c r="FP11"/>
  <c r="FP12"/>
  <c r="FP13"/>
  <c r="FP14"/>
  <c r="FP15"/>
  <c r="FP16"/>
  <c r="FP17"/>
  <c r="FP18"/>
  <c r="FP19"/>
  <c r="FP20"/>
  <c r="FP21"/>
  <c r="FP22"/>
  <c r="FP23"/>
  <c r="FP24"/>
  <c r="FP25"/>
  <c r="FP26"/>
  <c r="FP27"/>
  <c r="FP28"/>
  <c r="FP29"/>
  <c r="FP30"/>
  <c r="FP31"/>
  <c r="FP32"/>
  <c r="FP33"/>
  <c r="FP34"/>
  <c r="FP35"/>
  <c r="FP36"/>
  <c r="FP37"/>
  <c r="FP38"/>
  <c r="FP39"/>
  <c r="FP40"/>
  <c r="FP41"/>
  <c r="FP42"/>
  <c r="FP43"/>
  <c r="FP47"/>
  <c r="FQ10"/>
  <c r="FQ11"/>
  <c r="FQ12"/>
  <c r="FQ13"/>
  <c r="FQ14"/>
  <c r="FQ15"/>
  <c r="FQ16"/>
  <c r="FQ17"/>
  <c r="FQ18"/>
  <c r="FQ19"/>
  <c r="FQ20"/>
  <c r="FQ21"/>
  <c r="FQ22"/>
  <c r="FQ23"/>
  <c r="FQ24"/>
  <c r="FQ25"/>
  <c r="FQ26"/>
  <c r="FQ27"/>
  <c r="FQ28"/>
  <c r="FQ29"/>
  <c r="FQ30"/>
  <c r="FQ31"/>
  <c r="FQ32"/>
  <c r="FQ33"/>
  <c r="FQ34"/>
  <c r="FQ35"/>
  <c r="FQ36"/>
  <c r="FQ37"/>
  <c r="FQ38"/>
  <c r="FQ39"/>
  <c r="FQ40"/>
  <c r="FQ41"/>
  <c r="FQ42"/>
  <c r="FQ43"/>
  <c r="FQ47"/>
  <c r="FR10"/>
  <c r="FR11"/>
  <c r="FR12"/>
  <c r="FR13"/>
  <c r="FR14"/>
  <c r="FR15"/>
  <c r="FR16"/>
  <c r="FR17"/>
  <c r="FR18"/>
  <c r="FR19"/>
  <c r="FR20"/>
  <c r="FR21"/>
  <c r="FR22"/>
  <c r="FR23"/>
  <c r="FR24"/>
  <c r="FR25"/>
  <c r="FR26"/>
  <c r="FR27"/>
  <c r="FR28"/>
  <c r="FR29"/>
  <c r="FR30"/>
  <c r="FR31"/>
  <c r="FR32"/>
  <c r="FR33"/>
  <c r="FR34"/>
  <c r="FR35"/>
  <c r="FR36"/>
  <c r="FR37"/>
  <c r="FR38"/>
  <c r="FR39"/>
  <c r="FR40"/>
  <c r="FR41"/>
  <c r="FR42"/>
  <c r="FR43"/>
  <c r="FR47"/>
  <c r="FS10"/>
  <c r="FS11"/>
  <c r="FS12"/>
  <c r="FS13"/>
  <c r="FS14"/>
  <c r="FS15"/>
  <c r="FS16"/>
  <c r="FS17"/>
  <c r="FS18"/>
  <c r="FS19"/>
  <c r="FS20"/>
  <c r="FS21"/>
  <c r="FS22"/>
  <c r="FS23"/>
  <c r="FS24"/>
  <c r="FS25"/>
  <c r="FS26"/>
  <c r="FS27"/>
  <c r="FS28"/>
  <c r="FS29"/>
  <c r="FS30"/>
  <c r="FS31"/>
  <c r="FS32"/>
  <c r="FS33"/>
  <c r="FS34"/>
  <c r="FS35"/>
  <c r="FS36"/>
  <c r="FS37"/>
  <c r="FS38"/>
  <c r="FS39"/>
  <c r="FS40"/>
  <c r="FS41"/>
  <c r="FS42"/>
  <c r="FS43"/>
  <c r="FS47"/>
  <c r="FT10"/>
  <c r="FT11"/>
  <c r="FT12"/>
  <c r="FT13"/>
  <c r="FT14"/>
  <c r="FT15"/>
  <c r="FT16"/>
  <c r="FT17"/>
  <c r="FT18"/>
  <c r="FT19"/>
  <c r="FT20"/>
  <c r="FT21"/>
  <c r="FT22"/>
  <c r="FT23"/>
  <c r="FT24"/>
  <c r="FT25"/>
  <c r="FT26"/>
  <c r="FT27"/>
  <c r="FT28"/>
  <c r="FT29"/>
  <c r="FT30"/>
  <c r="FT31"/>
  <c r="FT32"/>
  <c r="FT33"/>
  <c r="FT34"/>
  <c r="FT35"/>
  <c r="FT36"/>
  <c r="FT37"/>
  <c r="FT38"/>
  <c r="FT39"/>
  <c r="FT40"/>
  <c r="FT41"/>
  <c r="FT42"/>
  <c r="FT43"/>
  <c r="FT47"/>
  <c r="FK10"/>
  <c r="FK11"/>
  <c r="FK12"/>
  <c r="FK13"/>
  <c r="FK14"/>
  <c r="FK15"/>
  <c r="FK16"/>
  <c r="FK17"/>
  <c r="FK18"/>
  <c r="FK19"/>
  <c r="FK20"/>
  <c r="FK21"/>
  <c r="FK22"/>
  <c r="FK23"/>
  <c r="FK24"/>
  <c r="FK25"/>
  <c r="FK26"/>
  <c r="FK27"/>
  <c r="FK28"/>
  <c r="FK29"/>
  <c r="FK30"/>
  <c r="FK31"/>
  <c r="FK32"/>
  <c r="FK33"/>
  <c r="FK34"/>
  <c r="FK35"/>
  <c r="FK36"/>
  <c r="FK37"/>
  <c r="FK38"/>
  <c r="FK39"/>
  <c r="FK40"/>
  <c r="FK41"/>
  <c r="FK42"/>
  <c r="FK43"/>
  <c r="FK47"/>
  <c r="FL10"/>
  <c r="FL11"/>
  <c r="FL12"/>
  <c r="FL13"/>
  <c r="FL14"/>
  <c r="FL15"/>
  <c r="FL16"/>
  <c r="FL17"/>
  <c r="FL18"/>
  <c r="FL19"/>
  <c r="FL20"/>
  <c r="FL21"/>
  <c r="FL22"/>
  <c r="FL23"/>
  <c r="FL24"/>
  <c r="FL25"/>
  <c r="FL26"/>
  <c r="FL27"/>
  <c r="FL28"/>
  <c r="FL29"/>
  <c r="FL30"/>
  <c r="FL31"/>
  <c r="FL32"/>
  <c r="FL33"/>
  <c r="FL34"/>
  <c r="FL35"/>
  <c r="FL36"/>
  <c r="FL37"/>
  <c r="FL38"/>
  <c r="FL39"/>
  <c r="FL40"/>
  <c r="FL41"/>
  <c r="FL42"/>
  <c r="FL43"/>
  <c r="FL47"/>
  <c r="FM10"/>
  <c r="FM11"/>
  <c r="FM12"/>
  <c r="FM13"/>
  <c r="FM14"/>
  <c r="FM15"/>
  <c r="FM16"/>
  <c r="FM17"/>
  <c r="FM18"/>
  <c r="FM19"/>
  <c r="FM20"/>
  <c r="FM21"/>
  <c r="FM22"/>
  <c r="FM23"/>
  <c r="FM24"/>
  <c r="FM25"/>
  <c r="FM26"/>
  <c r="FM27"/>
  <c r="FM28"/>
  <c r="FM29"/>
  <c r="FM30"/>
  <c r="FM31"/>
  <c r="FM32"/>
  <c r="FM33"/>
  <c r="FM34"/>
  <c r="FM35"/>
  <c r="FM36"/>
  <c r="FM37"/>
  <c r="FM38"/>
  <c r="FM39"/>
  <c r="FM40"/>
  <c r="FM41"/>
  <c r="FM42"/>
  <c r="FM43"/>
  <c r="FM47"/>
  <c r="FN10"/>
  <c r="FN11"/>
  <c r="FN12"/>
  <c r="FN13"/>
  <c r="FN14"/>
  <c r="FN15"/>
  <c r="FN16"/>
  <c r="FN17"/>
  <c r="FN18"/>
  <c r="FN19"/>
  <c r="FN20"/>
  <c r="FN21"/>
  <c r="FN22"/>
  <c r="FN23"/>
  <c r="FN24"/>
  <c r="FN25"/>
  <c r="FN26"/>
  <c r="FN27"/>
  <c r="FN28"/>
  <c r="FN29"/>
  <c r="FN30"/>
  <c r="FN31"/>
  <c r="FN32"/>
  <c r="FN33"/>
  <c r="FN34"/>
  <c r="FN35"/>
  <c r="FN36"/>
  <c r="FN37"/>
  <c r="FN38"/>
  <c r="FN39"/>
  <c r="FN40"/>
  <c r="FN41"/>
  <c r="FN42"/>
  <c r="FN43"/>
  <c r="FN47"/>
  <c r="FO10"/>
  <c r="FO11"/>
  <c r="FO12"/>
  <c r="FO13"/>
  <c r="FO14"/>
  <c r="FO15"/>
  <c r="FO16"/>
  <c r="FO17"/>
  <c r="FO18"/>
  <c r="FO19"/>
  <c r="FO20"/>
  <c r="FO21"/>
  <c r="FO22"/>
  <c r="FO23"/>
  <c r="FO24"/>
  <c r="FO25"/>
  <c r="FO26"/>
  <c r="FO27"/>
  <c r="FO28"/>
  <c r="FO29"/>
  <c r="FO30"/>
  <c r="FO31"/>
  <c r="FO32"/>
  <c r="FO33"/>
  <c r="FO34"/>
  <c r="FO35"/>
  <c r="FO36"/>
  <c r="FO37"/>
  <c r="FO38"/>
  <c r="FO39"/>
  <c r="FO40"/>
  <c r="FO41"/>
  <c r="FO42"/>
  <c r="FO43"/>
  <c r="FO47"/>
  <c r="FF10"/>
  <c r="FF11"/>
  <c r="FF12"/>
  <c r="FF13"/>
  <c r="FF14"/>
  <c r="FF15"/>
  <c r="FF16"/>
  <c r="FF17"/>
  <c r="FF18"/>
  <c r="FF19"/>
  <c r="FF20"/>
  <c r="FF21"/>
  <c r="FF22"/>
  <c r="FF23"/>
  <c r="FF24"/>
  <c r="FF25"/>
  <c r="FF26"/>
  <c r="FF27"/>
  <c r="FF28"/>
  <c r="FF29"/>
  <c r="FF30"/>
  <c r="FF31"/>
  <c r="FF32"/>
  <c r="FF33"/>
  <c r="FF34"/>
  <c r="FF35"/>
  <c r="FF36"/>
  <c r="FF37"/>
  <c r="FF38"/>
  <c r="FF39"/>
  <c r="FF40"/>
  <c r="FF41"/>
  <c r="FF42"/>
  <c r="FF43"/>
  <c r="FF47"/>
  <c r="FG10"/>
  <c r="FG11"/>
  <c r="FG12"/>
  <c r="FG13"/>
  <c r="FG14"/>
  <c r="FG15"/>
  <c r="FG16"/>
  <c r="FG17"/>
  <c r="FG18"/>
  <c r="FG19"/>
  <c r="FG20"/>
  <c r="FG21"/>
  <c r="FG22"/>
  <c r="FG23"/>
  <c r="FG24"/>
  <c r="FG25"/>
  <c r="FG26"/>
  <c r="FG27"/>
  <c r="FG28"/>
  <c r="FG29"/>
  <c r="FG30"/>
  <c r="FG31"/>
  <c r="FG32"/>
  <c r="FG33"/>
  <c r="FG34"/>
  <c r="FG35"/>
  <c r="FG36"/>
  <c r="FG37"/>
  <c r="FG38"/>
  <c r="FG39"/>
  <c r="FG40"/>
  <c r="FG41"/>
  <c r="FG42"/>
  <c r="FG43"/>
  <c r="FG47"/>
  <c r="FH10"/>
  <c r="FH11"/>
  <c r="FH12"/>
  <c r="FH13"/>
  <c r="FH14"/>
  <c r="FH15"/>
  <c r="FH16"/>
  <c r="FH17"/>
  <c r="FH18"/>
  <c r="FH19"/>
  <c r="FH20"/>
  <c r="FH21"/>
  <c r="FH22"/>
  <c r="FH23"/>
  <c r="FH24"/>
  <c r="FH25"/>
  <c r="FH26"/>
  <c r="FH27"/>
  <c r="FH28"/>
  <c r="FH29"/>
  <c r="FH30"/>
  <c r="FH31"/>
  <c r="FH32"/>
  <c r="FH33"/>
  <c r="FH34"/>
  <c r="FH35"/>
  <c r="FH36"/>
  <c r="FH37"/>
  <c r="FH38"/>
  <c r="FH39"/>
  <c r="FH40"/>
  <c r="FH41"/>
  <c r="FH42"/>
  <c r="FH43"/>
  <c r="FH47"/>
  <c r="FI10"/>
  <c r="FI11"/>
  <c r="FI12"/>
  <c r="FI13"/>
  <c r="FI14"/>
  <c r="FI15"/>
  <c r="FI16"/>
  <c r="FI17"/>
  <c r="FI18"/>
  <c r="FI19"/>
  <c r="FI20"/>
  <c r="FI21"/>
  <c r="FI22"/>
  <c r="FI23"/>
  <c r="FI24"/>
  <c r="FI25"/>
  <c r="FI26"/>
  <c r="FI27"/>
  <c r="FI28"/>
  <c r="FI29"/>
  <c r="FI30"/>
  <c r="FI31"/>
  <c r="FI32"/>
  <c r="FI33"/>
  <c r="FI34"/>
  <c r="FI35"/>
  <c r="FI36"/>
  <c r="FI37"/>
  <c r="FI38"/>
  <c r="FI39"/>
  <c r="FI40"/>
  <c r="FI41"/>
  <c r="FI42"/>
  <c r="FI43"/>
  <c r="FI47"/>
  <c r="FJ10"/>
  <c r="FJ11"/>
  <c r="FJ12"/>
  <c r="FJ13"/>
  <c r="FJ14"/>
  <c r="FJ15"/>
  <c r="FJ16"/>
  <c r="FJ17"/>
  <c r="FJ18"/>
  <c r="FJ19"/>
  <c r="FJ20"/>
  <c r="FJ21"/>
  <c r="FJ22"/>
  <c r="FJ23"/>
  <c r="FJ24"/>
  <c r="FJ25"/>
  <c r="FJ26"/>
  <c r="FJ27"/>
  <c r="FJ28"/>
  <c r="FJ29"/>
  <c r="FJ30"/>
  <c r="FJ31"/>
  <c r="FJ32"/>
  <c r="FJ33"/>
  <c r="FJ34"/>
  <c r="FJ35"/>
  <c r="FJ36"/>
  <c r="FJ37"/>
  <c r="FJ38"/>
  <c r="FJ39"/>
  <c r="FJ40"/>
  <c r="FJ41"/>
  <c r="FJ42"/>
  <c r="FJ43"/>
  <c r="FJ47"/>
  <c r="L25" i="3"/>
  <c r="P153" i="7"/>
  <c r="H60"/>
  <c r="FU11" i="36"/>
  <c r="FV11"/>
  <c r="FW11"/>
  <c r="FX11"/>
  <c r="FY11"/>
  <c r="FZ11"/>
  <c r="GA11"/>
  <c r="GB11"/>
  <c r="GC11"/>
  <c r="GD11"/>
  <c r="GE11"/>
  <c r="GF11"/>
  <c r="GG11"/>
  <c r="GH11"/>
  <c r="GI11"/>
  <c r="GJ11"/>
  <c r="GK11"/>
  <c r="GL11"/>
  <c r="GM11"/>
  <c r="GN11"/>
  <c r="FU12"/>
  <c r="FV12"/>
  <c r="FW12"/>
  <c r="FX12"/>
  <c r="FY12"/>
  <c r="FZ12"/>
  <c r="GA12"/>
  <c r="GB12"/>
  <c r="GC12"/>
  <c r="GD12"/>
  <c r="GE12"/>
  <c r="GF12"/>
  <c r="GG12"/>
  <c r="GH12"/>
  <c r="GI12"/>
  <c r="GJ12"/>
  <c r="GK12"/>
  <c r="GL12"/>
  <c r="GM12"/>
  <c r="GN12"/>
  <c r="FU13"/>
  <c r="FV13"/>
  <c r="FW13"/>
  <c r="FX13"/>
  <c r="FY13"/>
  <c r="FZ13"/>
  <c r="GA13"/>
  <c r="GB13"/>
  <c r="GC13"/>
  <c r="GD13"/>
  <c r="GE13"/>
  <c r="GF13"/>
  <c r="GG13"/>
  <c r="GH13"/>
  <c r="GI13"/>
  <c r="GJ13"/>
  <c r="GK13"/>
  <c r="GL13"/>
  <c r="GM13"/>
  <c r="GN13"/>
  <c r="FU14"/>
  <c r="FV14"/>
  <c r="FW14"/>
  <c r="FX14"/>
  <c r="FY14"/>
  <c r="FZ14"/>
  <c r="GA14"/>
  <c r="GB14"/>
  <c r="GC14"/>
  <c r="GD14"/>
  <c r="GE14"/>
  <c r="GF14"/>
  <c r="GG14"/>
  <c r="GH14"/>
  <c r="GI14"/>
  <c r="GJ14"/>
  <c r="GK14"/>
  <c r="GL14"/>
  <c r="GM14"/>
  <c r="GN14"/>
  <c r="FU15"/>
  <c r="FV15"/>
  <c r="FW15"/>
  <c r="FX15"/>
  <c r="FY15"/>
  <c r="FZ15"/>
  <c r="GA15"/>
  <c r="GB15"/>
  <c r="GC15"/>
  <c r="GD15"/>
  <c r="GE15"/>
  <c r="GF15"/>
  <c r="GG15"/>
  <c r="GH15"/>
  <c r="GI15"/>
  <c r="GJ15"/>
  <c r="GK15"/>
  <c r="GL15"/>
  <c r="GM15"/>
  <c r="GN15"/>
  <c r="FU16"/>
  <c r="FV16"/>
  <c r="FW16"/>
  <c r="FX16"/>
  <c r="FY16"/>
  <c r="FZ16"/>
  <c r="GA16"/>
  <c r="GB16"/>
  <c r="GC16"/>
  <c r="GD16"/>
  <c r="GE16"/>
  <c r="GF16"/>
  <c r="GG16"/>
  <c r="GH16"/>
  <c r="GI16"/>
  <c r="GJ16"/>
  <c r="GK16"/>
  <c r="GL16"/>
  <c r="GM16"/>
  <c r="GN16"/>
  <c r="FU17"/>
  <c r="FV17"/>
  <c r="FW17"/>
  <c r="FX17"/>
  <c r="FY17"/>
  <c r="FZ17"/>
  <c r="GA17"/>
  <c r="GB17"/>
  <c r="GC17"/>
  <c r="GD17"/>
  <c r="GE17"/>
  <c r="GF17"/>
  <c r="GG17"/>
  <c r="GH17"/>
  <c r="GI17"/>
  <c r="GJ17"/>
  <c r="GK17"/>
  <c r="GL17"/>
  <c r="GM17"/>
  <c r="GN17"/>
  <c r="FU18"/>
  <c r="FV18"/>
  <c r="FW18"/>
  <c r="FX18"/>
  <c r="FY18"/>
  <c r="FZ18"/>
  <c r="GA18"/>
  <c r="GB18"/>
  <c r="GC18"/>
  <c r="GD18"/>
  <c r="GE18"/>
  <c r="GF18"/>
  <c r="GG18"/>
  <c r="GH18"/>
  <c r="GI18"/>
  <c r="GJ18"/>
  <c r="GK18"/>
  <c r="GL18"/>
  <c r="GM18"/>
  <c r="GN18"/>
  <c r="FU19"/>
  <c r="FV19"/>
  <c r="FW19"/>
  <c r="FX19"/>
  <c r="FY19"/>
  <c r="FZ19"/>
  <c r="GA19"/>
  <c r="GB19"/>
  <c r="GC19"/>
  <c r="GD19"/>
  <c r="GE19"/>
  <c r="GF19"/>
  <c r="GG19"/>
  <c r="GH19"/>
  <c r="GI19"/>
  <c r="GJ19"/>
  <c r="GK19"/>
  <c r="GL19"/>
  <c r="GM19"/>
  <c r="GN19"/>
  <c r="FU20"/>
  <c r="FV20"/>
  <c r="FW20"/>
  <c r="FX20"/>
  <c r="FY20"/>
  <c r="FZ20"/>
  <c r="GA20"/>
  <c r="GB20"/>
  <c r="GC20"/>
  <c r="GD20"/>
  <c r="GE20"/>
  <c r="GF20"/>
  <c r="GG20"/>
  <c r="GH20"/>
  <c r="GI20"/>
  <c r="GJ20"/>
  <c r="GK20"/>
  <c r="GL20"/>
  <c r="GM20"/>
  <c r="GN20"/>
  <c r="FU21"/>
  <c r="FV21"/>
  <c r="FW21"/>
  <c r="FX21"/>
  <c r="FY21"/>
  <c r="FZ21"/>
  <c r="GA21"/>
  <c r="GB21"/>
  <c r="GC21"/>
  <c r="GD21"/>
  <c r="GE21"/>
  <c r="GF21"/>
  <c r="GG21"/>
  <c r="GH21"/>
  <c r="GI21"/>
  <c r="GJ21"/>
  <c r="GK21"/>
  <c r="GL21"/>
  <c r="GM21"/>
  <c r="GN21"/>
  <c r="FU22"/>
  <c r="FV22"/>
  <c r="FW22"/>
  <c r="FX22"/>
  <c r="FY22"/>
  <c r="FZ22"/>
  <c r="GA22"/>
  <c r="GB22"/>
  <c r="GC22"/>
  <c r="GD22"/>
  <c r="GE22"/>
  <c r="GF22"/>
  <c r="GG22"/>
  <c r="GH22"/>
  <c r="GI22"/>
  <c r="GJ22"/>
  <c r="GK22"/>
  <c r="GL22"/>
  <c r="GM22"/>
  <c r="GN22"/>
  <c r="FU23"/>
  <c r="FV23"/>
  <c r="FW23"/>
  <c r="FX23"/>
  <c r="FY23"/>
  <c r="FZ23"/>
  <c r="GA23"/>
  <c r="GB23"/>
  <c r="GC23"/>
  <c r="GD23"/>
  <c r="GE23"/>
  <c r="GF23"/>
  <c r="GG23"/>
  <c r="GH23"/>
  <c r="GI23"/>
  <c r="GJ23"/>
  <c r="GK23"/>
  <c r="GL23"/>
  <c r="GM23"/>
  <c r="GN23"/>
  <c r="FU24"/>
  <c r="FV24"/>
  <c r="FW24"/>
  <c r="FX24"/>
  <c r="FY24"/>
  <c r="FZ24"/>
  <c r="GA24"/>
  <c r="GB24"/>
  <c r="GC24"/>
  <c r="GD24"/>
  <c r="GE24"/>
  <c r="GF24"/>
  <c r="GG24"/>
  <c r="GH24"/>
  <c r="GI24"/>
  <c r="GJ24"/>
  <c r="GK24"/>
  <c r="GL24"/>
  <c r="GM24"/>
  <c r="GN24"/>
  <c r="FU25"/>
  <c r="FV25"/>
  <c r="FW25"/>
  <c r="FX25"/>
  <c r="FY25"/>
  <c r="FZ25"/>
  <c r="GA25"/>
  <c r="GB25"/>
  <c r="GC25"/>
  <c r="GD25"/>
  <c r="GE25"/>
  <c r="GF25"/>
  <c r="GG25"/>
  <c r="GH25"/>
  <c r="GI25"/>
  <c r="GJ25"/>
  <c r="GK25"/>
  <c r="GL25"/>
  <c r="GM25"/>
  <c r="GN25"/>
  <c r="FU26"/>
  <c r="FV26"/>
  <c r="FW26"/>
  <c r="FX26"/>
  <c r="FY26"/>
  <c r="FZ26"/>
  <c r="GA26"/>
  <c r="GB26"/>
  <c r="GC26"/>
  <c r="GD26"/>
  <c r="GE26"/>
  <c r="GF26"/>
  <c r="GG26"/>
  <c r="GH26"/>
  <c r="GI26"/>
  <c r="GJ26"/>
  <c r="GK26"/>
  <c r="GL26"/>
  <c r="GM26"/>
  <c r="GN26"/>
  <c r="FU27"/>
  <c r="FV27"/>
  <c r="FW27"/>
  <c r="FX27"/>
  <c r="FY27"/>
  <c r="FZ27"/>
  <c r="GA27"/>
  <c r="GB27"/>
  <c r="GC27"/>
  <c r="GD27"/>
  <c r="GE27"/>
  <c r="GF27"/>
  <c r="GG27"/>
  <c r="GH27"/>
  <c r="GI27"/>
  <c r="GJ27"/>
  <c r="GK27"/>
  <c r="GL27"/>
  <c r="GM27"/>
  <c r="GN27"/>
  <c r="FU28"/>
  <c r="FV28"/>
  <c r="FW28"/>
  <c r="FX28"/>
  <c r="FY28"/>
  <c r="FZ28"/>
  <c r="GA28"/>
  <c r="GB28"/>
  <c r="GC28"/>
  <c r="GD28"/>
  <c r="GE28"/>
  <c r="GF28"/>
  <c r="GG28"/>
  <c r="GH28"/>
  <c r="GI28"/>
  <c r="GJ28"/>
  <c r="GK28"/>
  <c r="GL28"/>
  <c r="GM28"/>
  <c r="GN28"/>
  <c r="FU29"/>
  <c r="FV29"/>
  <c r="FW29"/>
  <c r="FX29"/>
  <c r="FY29"/>
  <c r="FZ29"/>
  <c r="GA29"/>
  <c r="GB29"/>
  <c r="GC29"/>
  <c r="GD29"/>
  <c r="GE29"/>
  <c r="GF29"/>
  <c r="GG29"/>
  <c r="GH29"/>
  <c r="GI29"/>
  <c r="GJ29"/>
  <c r="GK29"/>
  <c r="GL29"/>
  <c r="GM29"/>
  <c r="GN29"/>
  <c r="FU30"/>
  <c r="FV30"/>
  <c r="FW30"/>
  <c r="FX30"/>
  <c r="FY30"/>
  <c r="FZ30"/>
  <c r="GA30"/>
  <c r="GB30"/>
  <c r="GC30"/>
  <c r="GD30"/>
  <c r="GE30"/>
  <c r="GF30"/>
  <c r="GG30"/>
  <c r="GH30"/>
  <c r="GI30"/>
  <c r="GJ30"/>
  <c r="GK30"/>
  <c r="GL30"/>
  <c r="GM30"/>
  <c r="GN30"/>
  <c r="FU31"/>
  <c r="FV31"/>
  <c r="FW31"/>
  <c r="FX31"/>
  <c r="FY31"/>
  <c r="FZ31"/>
  <c r="GA31"/>
  <c r="GB31"/>
  <c r="GC31"/>
  <c r="GD31"/>
  <c r="GE31"/>
  <c r="GF31"/>
  <c r="GG31"/>
  <c r="GH31"/>
  <c r="GI31"/>
  <c r="GJ31"/>
  <c r="GK31"/>
  <c r="GL31"/>
  <c r="GM31"/>
  <c r="GN31"/>
  <c r="FU32"/>
  <c r="FV32"/>
  <c r="FW32"/>
  <c r="FX32"/>
  <c r="FY32"/>
  <c r="FZ32"/>
  <c r="GA32"/>
  <c r="GB32"/>
  <c r="GC32"/>
  <c r="GD32"/>
  <c r="GE32"/>
  <c r="GF32"/>
  <c r="GG32"/>
  <c r="GH32"/>
  <c r="GI32"/>
  <c r="GJ32"/>
  <c r="GK32"/>
  <c r="GL32"/>
  <c r="GM32"/>
  <c r="GN32"/>
  <c r="FU33"/>
  <c r="FV33"/>
  <c r="FW33"/>
  <c r="FX33"/>
  <c r="FY33"/>
  <c r="FZ33"/>
  <c r="GA33"/>
  <c r="GB33"/>
  <c r="GC33"/>
  <c r="GD33"/>
  <c r="GE33"/>
  <c r="GF33"/>
  <c r="GG33"/>
  <c r="GH33"/>
  <c r="GI33"/>
  <c r="GJ33"/>
  <c r="GK33"/>
  <c r="GL33"/>
  <c r="GM33"/>
  <c r="GN33"/>
  <c r="FU34"/>
  <c r="FV34"/>
  <c r="FW34"/>
  <c r="FX34"/>
  <c r="FY34"/>
  <c r="FZ34"/>
  <c r="GA34"/>
  <c r="GB34"/>
  <c r="GC34"/>
  <c r="GD34"/>
  <c r="GE34"/>
  <c r="GF34"/>
  <c r="GG34"/>
  <c r="GH34"/>
  <c r="GI34"/>
  <c r="GJ34"/>
  <c r="GK34"/>
  <c r="GL34"/>
  <c r="GM34"/>
  <c r="GN34"/>
  <c r="FU35"/>
  <c r="FV35"/>
  <c r="FW35"/>
  <c r="FX35"/>
  <c r="FY35"/>
  <c r="FZ35"/>
  <c r="GA35"/>
  <c r="GB35"/>
  <c r="GC35"/>
  <c r="GD35"/>
  <c r="GE35"/>
  <c r="GF35"/>
  <c r="GG35"/>
  <c r="GH35"/>
  <c r="GI35"/>
  <c r="GJ35"/>
  <c r="GK35"/>
  <c r="GL35"/>
  <c r="GM35"/>
  <c r="GN35"/>
  <c r="FU36"/>
  <c r="FV36"/>
  <c r="FW36"/>
  <c r="FX36"/>
  <c r="FY36"/>
  <c r="FZ36"/>
  <c r="GA36"/>
  <c r="GB36"/>
  <c r="GC36"/>
  <c r="GD36"/>
  <c r="GE36"/>
  <c r="GF36"/>
  <c r="GG36"/>
  <c r="GH36"/>
  <c r="GI36"/>
  <c r="GJ36"/>
  <c r="GK36"/>
  <c r="GL36"/>
  <c r="GM36"/>
  <c r="GN36"/>
  <c r="FU37"/>
  <c r="FV37"/>
  <c r="FW37"/>
  <c r="FX37"/>
  <c r="FY37"/>
  <c r="FZ37"/>
  <c r="GA37"/>
  <c r="GB37"/>
  <c r="GC37"/>
  <c r="GD37"/>
  <c r="GE37"/>
  <c r="GF37"/>
  <c r="GG37"/>
  <c r="GH37"/>
  <c r="GI37"/>
  <c r="GJ37"/>
  <c r="GK37"/>
  <c r="GL37"/>
  <c r="GM37"/>
  <c r="GN37"/>
  <c r="FU38"/>
  <c r="FV38"/>
  <c r="FW38"/>
  <c r="FX38"/>
  <c r="FY38"/>
  <c r="FZ38"/>
  <c r="GA38"/>
  <c r="GB38"/>
  <c r="GC38"/>
  <c r="GD38"/>
  <c r="GE38"/>
  <c r="GF38"/>
  <c r="GG38"/>
  <c r="GH38"/>
  <c r="GI38"/>
  <c r="GJ38"/>
  <c r="GK38"/>
  <c r="GL38"/>
  <c r="GM38"/>
  <c r="GN38"/>
  <c r="FU39"/>
  <c r="FV39"/>
  <c r="FW39"/>
  <c r="FX39"/>
  <c r="FY39"/>
  <c r="FZ39"/>
  <c r="GA39"/>
  <c r="GB39"/>
  <c r="GC39"/>
  <c r="GD39"/>
  <c r="GE39"/>
  <c r="GF39"/>
  <c r="GG39"/>
  <c r="GH39"/>
  <c r="GI39"/>
  <c r="GJ39"/>
  <c r="GK39"/>
  <c r="GL39"/>
  <c r="GM39"/>
  <c r="GN39"/>
  <c r="FU40"/>
  <c r="FV40"/>
  <c r="FW40"/>
  <c r="FX40"/>
  <c r="FY40"/>
  <c r="FZ40"/>
  <c r="GA40"/>
  <c r="GB40"/>
  <c r="GC40"/>
  <c r="GD40"/>
  <c r="GE40"/>
  <c r="GF40"/>
  <c r="GG40"/>
  <c r="GH40"/>
  <c r="GI40"/>
  <c r="GJ40"/>
  <c r="GK40"/>
  <c r="GL40"/>
  <c r="GM40"/>
  <c r="GN40"/>
  <c r="FU41"/>
  <c r="FV41"/>
  <c r="FW41"/>
  <c r="FX41"/>
  <c r="FY41"/>
  <c r="FZ41"/>
  <c r="GA41"/>
  <c r="GB41"/>
  <c r="GC41"/>
  <c r="GD41"/>
  <c r="GE41"/>
  <c r="GF41"/>
  <c r="GG41"/>
  <c r="GH41"/>
  <c r="GI41"/>
  <c r="GJ41"/>
  <c r="GK41"/>
  <c r="GL41"/>
  <c r="GM41"/>
  <c r="GN41"/>
  <c r="FU42"/>
  <c r="FV42"/>
  <c r="FW42"/>
  <c r="FX42"/>
  <c r="FY42"/>
  <c r="FZ42"/>
  <c r="GA42"/>
  <c r="GB42"/>
  <c r="GC42"/>
  <c r="GD42"/>
  <c r="GE42"/>
  <c r="GF42"/>
  <c r="GG42"/>
  <c r="GH42"/>
  <c r="GI42"/>
  <c r="GJ42"/>
  <c r="GK42"/>
  <c r="GL42"/>
  <c r="GM42"/>
  <c r="GN42"/>
  <c r="FU43"/>
  <c r="FV43"/>
  <c r="FW43"/>
  <c r="FX43"/>
  <c r="FY43"/>
  <c r="FZ43"/>
  <c r="GA43"/>
  <c r="GB43"/>
  <c r="GC43"/>
  <c r="GD43"/>
  <c r="GE43"/>
  <c r="GF43"/>
  <c r="GG43"/>
  <c r="GH43"/>
  <c r="GI43"/>
  <c r="GJ43"/>
  <c r="GK43"/>
  <c r="GL43"/>
  <c r="GM43"/>
  <c r="GN43"/>
  <c r="FU47"/>
  <c r="FV47"/>
  <c r="FW47"/>
  <c r="FX47"/>
  <c r="FY47"/>
  <c r="FZ47"/>
  <c r="GA47"/>
  <c r="GB47"/>
  <c r="GC47"/>
  <c r="GD47"/>
  <c r="GE47"/>
  <c r="GF47"/>
  <c r="GG47"/>
  <c r="GH47"/>
  <c r="GI47"/>
  <c r="GJ47"/>
  <c r="GK47"/>
  <c r="GL47"/>
  <c r="GM47"/>
  <c r="GN47"/>
  <c r="GJ10"/>
  <c r="GE10"/>
  <c r="FZ10"/>
  <c r="FU10"/>
  <c r="GN10"/>
  <c r="GM10"/>
  <c r="GL10"/>
  <c r="GK10"/>
  <c r="GI10"/>
  <c r="GH10"/>
  <c r="GG10"/>
  <c r="GF10"/>
  <c r="GD10"/>
  <c r="GC10"/>
  <c r="GB10"/>
  <c r="GA10"/>
  <c r="FY10"/>
  <c r="FX10"/>
  <c r="FW10"/>
  <c r="FV10"/>
  <c r="O7" i="15"/>
  <c r="O18"/>
  <c r="O24"/>
  <c r="O28"/>
  <c r="O34"/>
  <c r="O52"/>
  <c r="O65"/>
  <c r="O78"/>
  <c r="O84"/>
  <c r="O95"/>
  <c r="O106"/>
  <c r="O112"/>
  <c r="O117"/>
  <c r="O125"/>
  <c r="J164"/>
  <c r="B524" i="25"/>
  <c r="C524"/>
  <c r="D524"/>
  <c r="E524"/>
  <c r="B525"/>
  <c r="C525"/>
  <c r="D525"/>
  <c r="E525"/>
  <c r="B526"/>
  <c r="C526"/>
  <c r="D526"/>
  <c r="E526"/>
  <c r="B527"/>
  <c r="C527"/>
  <c r="D527"/>
  <c r="E527"/>
  <c r="B528"/>
  <c r="C528"/>
  <c r="D528"/>
  <c r="E528"/>
  <c r="B529"/>
  <c r="C529"/>
  <c r="D529"/>
  <c r="E529"/>
  <c r="B530"/>
  <c r="C530"/>
  <c r="D530"/>
  <c r="E530"/>
  <c r="B531"/>
  <c r="C531"/>
  <c r="D531"/>
  <c r="E531"/>
  <c r="B532"/>
  <c r="C532"/>
  <c r="D532"/>
  <c r="E532"/>
  <c r="B533"/>
  <c r="C533"/>
  <c r="D533"/>
  <c r="E533"/>
  <c r="B534"/>
  <c r="C534"/>
  <c r="D534"/>
  <c r="E534"/>
  <c r="B535"/>
  <c r="C535"/>
  <c r="D535"/>
  <c r="E535"/>
  <c r="I20" i="8" l="1"/>
  <c r="K49"/>
  <c r="G49"/>
  <c r="E20"/>
  <c r="E78"/>
  <c r="C49"/>
  <c r="I78"/>
  <c r="J20"/>
  <c r="F20"/>
  <c r="B49"/>
  <c r="F49"/>
  <c r="J49"/>
  <c r="D78"/>
  <c r="H78"/>
  <c r="D20"/>
  <c r="B78"/>
  <c r="J78"/>
  <c r="H20"/>
  <c r="D49"/>
  <c r="H49"/>
  <c r="F78"/>
  <c r="K20"/>
  <c r="G20"/>
  <c r="C20"/>
  <c r="E49"/>
  <c r="I49"/>
  <c r="C78"/>
  <c r="G78"/>
  <c r="K868" i="46"/>
  <c r="C40" i="8"/>
  <c r="C844" i="46" s="1"/>
  <c r="I833"/>
  <c r="E833"/>
  <c r="J833"/>
  <c r="F833"/>
  <c r="H833"/>
  <c r="D833"/>
  <c r="K833"/>
  <c r="G833"/>
  <c r="L1561"/>
  <c r="M67"/>
  <c r="L243" i="11"/>
  <c r="FW48" i="36"/>
  <c r="J85" s="1"/>
  <c r="M68" i="46"/>
  <c r="A82" i="36"/>
  <c r="E34" i="15"/>
  <c r="E449" i="46"/>
  <c r="E448" s="1"/>
  <c r="P791"/>
  <c r="N782"/>
  <c r="N783"/>
  <c r="B878"/>
  <c r="B884" s="1"/>
  <c r="C876"/>
  <c r="C883"/>
  <c r="C881"/>
  <c r="C877"/>
  <c r="D875"/>
  <c r="C116" i="15"/>
  <c r="A1" i="36"/>
  <c r="T1" s="1"/>
  <c r="A1" i="7"/>
  <c r="A1" i="8"/>
  <c r="M1" s="1"/>
  <c r="A1" i="18"/>
  <c r="A1" i="6"/>
  <c r="A1" i="3"/>
  <c r="S1" s="1"/>
  <c r="A1" i="11"/>
  <c r="A1" i="15"/>
  <c r="W1" s="1"/>
  <c r="J162"/>
  <c r="AQ48" i="36"/>
  <c r="AU48"/>
  <c r="H65" s="1"/>
  <c r="AY48"/>
  <c r="L65" s="1"/>
  <c r="BC48"/>
  <c r="K64" s="1"/>
  <c r="AK48"/>
  <c r="H59" s="1"/>
  <c r="AZ48"/>
  <c r="H64" s="1"/>
  <c r="H66" s="1"/>
  <c r="F37" i="15"/>
  <c r="F451" i="46" s="1"/>
  <c r="B44" i="15"/>
  <c r="S130"/>
  <c r="G130"/>
  <c r="P130"/>
  <c r="P147" s="1"/>
  <c r="P149" s="1"/>
  <c r="P151" s="1"/>
  <c r="M130"/>
  <c r="M147" s="1"/>
  <c r="M149" s="1"/>
  <c r="M151" s="1"/>
  <c r="J130"/>
  <c r="J147" s="1"/>
  <c r="J149" s="1"/>
  <c r="J151" s="1"/>
  <c r="GS48" i="36"/>
  <c r="AM48"/>
  <c r="J59" s="1"/>
  <c r="Z48"/>
  <c r="L56" s="1"/>
  <c r="X48"/>
  <c r="J56" s="1"/>
  <c r="V48"/>
  <c r="H56" s="1"/>
  <c r="AS48"/>
  <c r="CU48"/>
  <c r="GO48"/>
  <c r="BD48"/>
  <c r="L64" s="1"/>
  <c r="BY48"/>
  <c r="H94" s="1"/>
  <c r="AL48"/>
  <c r="I59" s="1"/>
  <c r="AD48"/>
  <c r="K57" s="1"/>
  <c r="AB48"/>
  <c r="I57" s="1"/>
  <c r="AW48"/>
  <c r="J65" s="1"/>
  <c r="BA48"/>
  <c r="I64" s="1"/>
  <c r="GG48"/>
  <c r="J87" s="1"/>
  <c r="CT48"/>
  <c r="CS48"/>
  <c r="CV48"/>
  <c r="AV48"/>
  <c r="I65" s="1"/>
  <c r="CW48"/>
  <c r="GI48"/>
  <c r="L87" s="1"/>
  <c r="FN48"/>
  <c r="K91" s="1"/>
  <c r="FT48"/>
  <c r="L90" s="1"/>
  <c r="FP48"/>
  <c r="H90" s="1"/>
  <c r="EX48"/>
  <c r="AO48"/>
  <c r="L59" s="1"/>
  <c r="Y48"/>
  <c r="K56" s="1"/>
  <c r="K58" s="1"/>
  <c r="W48"/>
  <c r="I56" s="1"/>
  <c r="I58" s="1"/>
  <c r="AX48"/>
  <c r="K65" s="1"/>
  <c r="BB48"/>
  <c r="J64" s="1"/>
  <c r="BG48"/>
  <c r="AN48"/>
  <c r="K59" s="1"/>
  <c r="AE48"/>
  <c r="L57" s="1"/>
  <c r="AC48"/>
  <c r="J57" s="1"/>
  <c r="AA48"/>
  <c r="H57" s="1"/>
  <c r="FY48"/>
  <c r="L85" s="1"/>
  <c r="FB48"/>
  <c r="I89" s="1"/>
  <c r="FH48"/>
  <c r="J92" s="1"/>
  <c r="GH48"/>
  <c r="K87" s="1"/>
  <c r="AT48"/>
  <c r="AP48"/>
  <c r="GF48"/>
  <c r="I87" s="1"/>
  <c r="HF48"/>
  <c r="AR48"/>
  <c r="F113" i="15"/>
  <c r="F115"/>
  <c r="F114"/>
  <c r="D37" i="3"/>
  <c r="GZ48" i="36"/>
  <c r="HL48"/>
  <c r="A3" i="41"/>
  <c r="F35" i="15"/>
  <c r="F449" i="46" s="1"/>
  <c r="L344" i="11"/>
  <c r="EA48" i="36"/>
  <c r="L76" s="1"/>
  <c r="DU48"/>
  <c r="K75" s="1"/>
  <c r="DY48"/>
  <c r="J76" s="1"/>
  <c r="DS48"/>
  <c r="I75" s="1"/>
  <c r="EU48"/>
  <c r="EK48"/>
  <c r="L78" s="1"/>
  <c r="ES48"/>
  <c r="EI48"/>
  <c r="J78" s="1"/>
  <c r="EM48"/>
  <c r="I79" s="1"/>
  <c r="EQ48"/>
  <c r="GC48"/>
  <c r="K86" s="1"/>
  <c r="GM48"/>
  <c r="K88" s="1"/>
  <c r="GE48"/>
  <c r="H87" s="1"/>
  <c r="DD48"/>
  <c r="I72" s="1"/>
  <c r="BM48"/>
  <c r="K69" s="1"/>
  <c r="BR48"/>
  <c r="K68" s="1"/>
  <c r="DW48"/>
  <c r="H76" s="1"/>
  <c r="EO48"/>
  <c r="K79" s="1"/>
  <c r="EG48"/>
  <c r="H78" s="1"/>
  <c r="GA48"/>
  <c r="I86" s="1"/>
  <c r="GK48"/>
  <c r="I88" s="1"/>
  <c r="FU48"/>
  <c r="H85" s="1"/>
  <c r="EZ48"/>
  <c r="F36" i="15"/>
  <c r="F450" i="46" s="1"/>
  <c r="L26" i="3"/>
  <c r="FF48" i="36"/>
  <c r="H92" s="1"/>
  <c r="DH48"/>
  <c r="H73" s="1"/>
  <c r="EC48"/>
  <c r="AJ48"/>
  <c r="AH48"/>
  <c r="AF48"/>
  <c r="GW48"/>
  <c r="GU48"/>
  <c r="EF48"/>
  <c r="DV48"/>
  <c r="L75" s="1"/>
  <c r="EE48"/>
  <c r="DZ48"/>
  <c r="K76" s="1"/>
  <c r="ED48"/>
  <c r="DT48"/>
  <c r="J75" s="1"/>
  <c r="DX48"/>
  <c r="I76" s="1"/>
  <c r="EB48"/>
  <c r="DR48"/>
  <c r="H75" s="1"/>
  <c r="EP48"/>
  <c r="L79" s="1"/>
  <c r="ET48"/>
  <c r="EJ48"/>
  <c r="K78" s="1"/>
  <c r="EN48"/>
  <c r="J79" s="1"/>
  <c r="ER48"/>
  <c r="EH48"/>
  <c r="I78" s="1"/>
  <c r="EL48"/>
  <c r="H79" s="1"/>
  <c r="CM48"/>
  <c r="CK48"/>
  <c r="CI48"/>
  <c r="DN48"/>
  <c r="DI48"/>
  <c r="I73" s="1"/>
  <c r="DM48"/>
  <c r="DC48"/>
  <c r="H72" s="1"/>
  <c r="BJ48"/>
  <c r="H69" s="1"/>
  <c r="BK48"/>
  <c r="I69" s="1"/>
  <c r="BP48"/>
  <c r="I68" s="1"/>
  <c r="A48"/>
  <c r="A7" s="1"/>
  <c r="FR48"/>
  <c r="J90" s="1"/>
  <c r="HH48"/>
  <c r="P147"/>
  <c r="BE48"/>
  <c r="BI48"/>
  <c r="HB48"/>
  <c r="HD48"/>
  <c r="GQ48"/>
  <c r="HJ48"/>
  <c r="FJ48"/>
  <c r="L92" s="1"/>
  <c r="FL48"/>
  <c r="I91" s="1"/>
  <c r="FD48"/>
  <c r="K89" s="1"/>
  <c r="EV48"/>
  <c r="FK48"/>
  <c r="H91" s="1"/>
  <c r="FQ48"/>
  <c r="I90" s="1"/>
  <c r="FC48"/>
  <c r="J89" s="1"/>
  <c r="EY48"/>
  <c r="CJ48"/>
  <c r="AG48"/>
  <c r="HC48"/>
  <c r="GY48"/>
  <c r="HE48"/>
  <c r="HK48"/>
  <c r="GR48"/>
  <c r="GX48"/>
  <c r="GT48"/>
  <c r="DQ48"/>
  <c r="DL48"/>
  <c r="L73" s="1"/>
  <c r="DG48"/>
  <c r="L72" s="1"/>
  <c r="DP48"/>
  <c r="DK48"/>
  <c r="K73" s="1"/>
  <c r="DF48"/>
  <c r="K72" s="1"/>
  <c r="DO48"/>
  <c r="DJ48"/>
  <c r="J73" s="1"/>
  <c r="DE48"/>
  <c r="J72" s="1"/>
  <c r="DB48"/>
  <c r="L99" s="1"/>
  <c r="DA48"/>
  <c r="K99" s="1"/>
  <c r="CZ48"/>
  <c r="J99" s="1"/>
  <c r="CY48"/>
  <c r="I99" s="1"/>
  <c r="CX48"/>
  <c r="H99" s="1"/>
  <c r="BF48"/>
  <c r="BH48"/>
  <c r="BX48"/>
  <c r="L61" s="1"/>
  <c r="BW48"/>
  <c r="K61" s="1"/>
  <c r="BV48"/>
  <c r="J61" s="1"/>
  <c r="BU48"/>
  <c r="I61" s="1"/>
  <c r="BT48"/>
  <c r="H61" s="1"/>
  <c r="BN48"/>
  <c r="L69" s="1"/>
  <c r="BS48"/>
  <c r="L68" s="1"/>
  <c r="FS48"/>
  <c r="K90" s="1"/>
  <c r="FE48"/>
  <c r="L89" s="1"/>
  <c r="FA48"/>
  <c r="H89" s="1"/>
  <c r="EW48"/>
  <c r="L48"/>
  <c r="L49" s="1"/>
  <c r="H104" s="1"/>
  <c r="CL48"/>
  <c r="AI48"/>
  <c r="HA48"/>
  <c r="HG48"/>
  <c r="HM48"/>
  <c r="HI48"/>
  <c r="GP48"/>
  <c r="GV48"/>
  <c r="BO48"/>
  <c r="H68" s="1"/>
  <c r="BL48"/>
  <c r="J69" s="1"/>
  <c r="BQ48"/>
  <c r="J68" s="1"/>
  <c r="GN48"/>
  <c r="L88" s="1"/>
  <c r="GL48"/>
  <c r="J88" s="1"/>
  <c r="GJ48"/>
  <c r="H88" s="1"/>
  <c r="GD48"/>
  <c r="L86" s="1"/>
  <c r="GB48"/>
  <c r="J86" s="1"/>
  <c r="FZ48"/>
  <c r="H86" s="1"/>
  <c r="FX48"/>
  <c r="K85" s="1"/>
  <c r="FV48"/>
  <c r="I85" s="1"/>
  <c r="FO48"/>
  <c r="L91" s="1"/>
  <c r="FM48"/>
  <c r="J91" s="1"/>
  <c r="FI48"/>
  <c r="K92" s="1"/>
  <c r="FG48"/>
  <c r="I92" s="1"/>
  <c r="C28" i="8"/>
  <c r="C832" i="46" s="1"/>
  <c r="B58" i="8"/>
  <c r="C58"/>
  <c r="D58"/>
  <c r="E58"/>
  <c r="F58"/>
  <c r="G58"/>
  <c r="H58"/>
  <c r="I58"/>
  <c r="J58"/>
  <c r="K58"/>
  <c r="B87"/>
  <c r="C87"/>
  <c r="D87"/>
  <c r="E87"/>
  <c r="F87"/>
  <c r="G87"/>
  <c r="H87"/>
  <c r="I87"/>
  <c r="J87"/>
  <c r="K87"/>
  <c r="A58" i="26"/>
  <c r="G58"/>
  <c r="A1" i="25"/>
  <c r="O29" i="7"/>
  <c r="I3" i="29"/>
  <c r="A50" i="25"/>
  <c r="A1" i="29"/>
  <c r="A1" i="26"/>
  <c r="A3" i="37"/>
  <c r="N29" i="7"/>
  <c r="N53" i="46" s="1"/>
  <c r="CR48" i="36"/>
  <c r="L97" s="1"/>
  <c r="CQ48"/>
  <c r="K97" s="1"/>
  <c r="CP48"/>
  <c r="CO48"/>
  <c r="I97" s="1"/>
  <c r="CN48"/>
  <c r="H97" s="1"/>
  <c r="CH48"/>
  <c r="L95" s="1"/>
  <c r="CC48"/>
  <c r="L94" s="1"/>
  <c r="CG48"/>
  <c r="K95" s="1"/>
  <c r="CB48"/>
  <c r="K94" s="1"/>
  <c r="CF48"/>
  <c r="J95" s="1"/>
  <c r="CA48"/>
  <c r="J94" s="1"/>
  <c r="CE48"/>
  <c r="I95" s="1"/>
  <c r="BZ48"/>
  <c r="I94" s="1"/>
  <c r="CD48"/>
  <c r="H95" s="1"/>
  <c r="J97"/>
  <c r="B897" i="46" l="1"/>
  <c r="D40" i="8"/>
  <c r="D844" i="46" s="1"/>
  <c r="E891"/>
  <c r="G862"/>
  <c r="H891"/>
  <c r="J862"/>
  <c r="B862"/>
  <c r="K891"/>
  <c r="G891"/>
  <c r="C891"/>
  <c r="I862"/>
  <c r="E862"/>
  <c r="I891"/>
  <c r="K862"/>
  <c r="C862"/>
  <c r="D891"/>
  <c r="F862"/>
  <c r="J891"/>
  <c r="F891"/>
  <c r="B891"/>
  <c r="H862"/>
  <c r="D862"/>
  <c r="I1523"/>
  <c r="H406"/>
  <c r="O104" i="36"/>
  <c r="H738" i="46"/>
  <c r="O738" s="1"/>
  <c r="L27" i="3"/>
  <c r="L382" i="46"/>
  <c r="L383" s="1"/>
  <c r="N640"/>
  <c r="P640"/>
  <c r="N791"/>
  <c r="P799"/>
  <c r="D876"/>
  <c r="E875"/>
  <c r="D883"/>
  <c r="D881"/>
  <c r="D877"/>
  <c r="C878"/>
  <c r="C897" s="1"/>
  <c r="K330" i="11"/>
  <c r="K1648" i="46" s="1"/>
  <c r="O53"/>
  <c r="I205" i="11"/>
  <c r="L206" s="1"/>
  <c r="P190" s="1"/>
  <c r="L66" i="36"/>
  <c r="K66"/>
  <c r="H58"/>
  <c r="H60" s="1"/>
  <c r="H62" s="1"/>
  <c r="F48" i="6" s="1"/>
  <c r="F957" i="46" s="1"/>
  <c r="I66" i="36"/>
  <c r="J58"/>
  <c r="J60" s="1"/>
  <c r="J62" s="1"/>
  <c r="F50" i="6" s="1"/>
  <c r="F959" i="46" s="1"/>
  <c r="L58" i="36"/>
  <c r="L60" s="1"/>
  <c r="L62" s="1"/>
  <c r="F52" i="6" s="1"/>
  <c r="F961" i="46" s="1"/>
  <c r="M65" i="36"/>
  <c r="J66"/>
  <c r="M59"/>
  <c r="K60"/>
  <c r="K62" s="1"/>
  <c r="F51" i="6" s="1"/>
  <c r="F960" i="46" s="1"/>
  <c r="I60" i="36"/>
  <c r="I62" s="1"/>
  <c r="F49" i="6" s="1"/>
  <c r="F958" i="46" s="1"/>
  <c r="M87" i="36"/>
  <c r="M56"/>
  <c r="M64"/>
  <c r="M57"/>
  <c r="H75" i="46" s="1"/>
  <c r="K77" i="36"/>
  <c r="M89"/>
  <c r="K80"/>
  <c r="M90"/>
  <c r="Q90" s="1"/>
  <c r="L70"/>
  <c r="I77"/>
  <c r="M61"/>
  <c r="M99"/>
  <c r="M91"/>
  <c r="Q91" s="1"/>
  <c r="I84"/>
  <c r="H70"/>
  <c r="M72"/>
  <c r="Q72" s="1"/>
  <c r="M69"/>
  <c r="Q69" s="1"/>
  <c r="M79"/>
  <c r="Q79" s="1"/>
  <c r="M75"/>
  <c r="Q75" s="1"/>
  <c r="L77"/>
  <c r="J70"/>
  <c r="M78"/>
  <c r="Q78" s="1"/>
  <c r="K70"/>
  <c r="F47" i="15"/>
  <c r="H74" i="36"/>
  <c r="M73"/>
  <c r="Q73" s="1"/>
  <c r="J80"/>
  <c r="I80"/>
  <c r="M76"/>
  <c r="Q76" s="1"/>
  <c r="L80"/>
  <c r="J77"/>
  <c r="P157"/>
  <c r="I70"/>
  <c r="B14" i="8"/>
  <c r="H80" i="36"/>
  <c r="K84"/>
  <c r="M68"/>
  <c r="Q68" s="1"/>
  <c r="H77"/>
  <c r="I74"/>
  <c r="H50" i="3"/>
  <c r="O42" s="1"/>
  <c r="M85" i="36"/>
  <c r="J84"/>
  <c r="H84"/>
  <c r="L84"/>
  <c r="M88"/>
  <c r="M86"/>
  <c r="J74"/>
  <c r="L74"/>
  <c r="K74"/>
  <c r="J96"/>
  <c r="J98" s="1"/>
  <c r="J100" s="1"/>
  <c r="K96"/>
  <c r="K98" s="1"/>
  <c r="K100" s="1"/>
  <c r="L96"/>
  <c r="L98" s="1"/>
  <c r="L100" s="1"/>
  <c r="M97"/>
  <c r="M92"/>
  <c r="Q92" s="1"/>
  <c r="D28" i="8"/>
  <c r="D832" i="46" s="1"/>
  <c r="N6" i="36"/>
  <c r="P6"/>
  <c r="M95"/>
  <c r="Q95" s="1"/>
  <c r="H96"/>
  <c r="I96"/>
  <c r="I98" s="1"/>
  <c r="I100" s="1"/>
  <c r="M94"/>
  <c r="Q94" s="1"/>
  <c r="C884" i="46" l="1"/>
  <c r="Q17" i="36"/>
  <c r="Q651" i="46" s="1"/>
  <c r="Q18" i="36"/>
  <c r="Q652" i="46" s="1"/>
  <c r="Q16" i="36"/>
  <c r="Q650" i="46" s="1"/>
  <c r="Q15" i="36"/>
  <c r="Q649" i="46" s="1"/>
  <c r="Q10" i="36"/>
  <c r="Q644" i="46" s="1"/>
  <c r="Q14" i="36"/>
  <c r="Q648" i="46" s="1"/>
  <c r="Q12" i="36"/>
  <c r="Q646" i="46" s="1"/>
  <c r="Q11" i="36"/>
  <c r="Q645" i="46" s="1"/>
  <c r="Q13" i="36"/>
  <c r="Q647" i="46" s="1"/>
  <c r="E40" i="8"/>
  <c r="E844" i="46" s="1"/>
  <c r="Q61" i="36"/>
  <c r="H79" i="46"/>
  <c r="Q89" i="36"/>
  <c r="Q56"/>
  <c r="H76" i="46"/>
  <c r="H74" s="1"/>
  <c r="Q59" i="36"/>
  <c r="H77" i="46"/>
  <c r="Q97" i="36"/>
  <c r="P75" i="46"/>
  <c r="O398"/>
  <c r="O397"/>
  <c r="H407"/>
  <c r="Q64" i="36"/>
  <c r="I76" i="46"/>
  <c r="Q99" i="36"/>
  <c r="P77" i="46"/>
  <c r="Q65" i="36"/>
  <c r="I75" i="46"/>
  <c r="L1524"/>
  <c r="P1508" s="1"/>
  <c r="P1501" s="1"/>
  <c r="I1524"/>
  <c r="O1508" s="1"/>
  <c r="O1501" s="1"/>
  <c r="H959"/>
  <c r="I959"/>
  <c r="H958"/>
  <c r="I958"/>
  <c r="H960"/>
  <c r="I960"/>
  <c r="H961"/>
  <c r="I961"/>
  <c r="H957"/>
  <c r="F962"/>
  <c r="I957"/>
  <c r="D878"/>
  <c r="D884" s="1"/>
  <c r="F875"/>
  <c r="E883"/>
  <c r="E881"/>
  <c r="E876"/>
  <c r="E877"/>
  <c r="I206" i="11"/>
  <c r="O190" s="1"/>
  <c r="F119" i="15"/>
  <c r="K14" i="8"/>
  <c r="I50" i="6"/>
  <c r="B19" i="8"/>
  <c r="F120" i="15"/>
  <c r="M66" i="36"/>
  <c r="Q66" s="1"/>
  <c r="I51" i="7"/>
  <c r="H52"/>
  <c r="M58" i="36"/>
  <c r="H50" i="6"/>
  <c r="H53" i="7"/>
  <c r="I52"/>
  <c r="I52" i="6"/>
  <c r="H52"/>
  <c r="Q57" i="36"/>
  <c r="H51" i="7"/>
  <c r="H50" s="1"/>
  <c r="P53"/>
  <c r="M60" i="36"/>
  <c r="F72" i="8"/>
  <c r="I43"/>
  <c r="M70" i="36"/>
  <c r="Q70" s="1"/>
  <c r="H48" i="6"/>
  <c r="I48"/>
  <c r="F53"/>
  <c r="H51"/>
  <c r="I51"/>
  <c r="H55" i="7"/>
  <c r="M77" i="36"/>
  <c r="M84"/>
  <c r="Q84" s="1"/>
  <c r="M80"/>
  <c r="H49" i="6"/>
  <c r="I49"/>
  <c r="D72" i="8"/>
  <c r="D14"/>
  <c r="B72"/>
  <c r="J43"/>
  <c r="H14"/>
  <c r="E72"/>
  <c r="F43"/>
  <c r="B43"/>
  <c r="G14"/>
  <c r="E43"/>
  <c r="I72"/>
  <c r="C14"/>
  <c r="J72"/>
  <c r="J14"/>
  <c r="C43"/>
  <c r="K43"/>
  <c r="G72"/>
  <c r="B15"/>
  <c r="K73" s="1"/>
  <c r="E14"/>
  <c r="H43"/>
  <c r="H72"/>
  <c r="P51" i="7"/>
  <c r="F14" i="8"/>
  <c r="G43"/>
  <c r="C72"/>
  <c r="K72"/>
  <c r="I14"/>
  <c r="D43"/>
  <c r="O41" i="3"/>
  <c r="O43" s="1"/>
  <c r="H51"/>
  <c r="M74" i="36"/>
  <c r="M62"/>
  <c r="E514" i="46" s="1"/>
  <c r="R13" i="24"/>
  <c r="R12"/>
  <c r="E28" i="8"/>
  <c r="E832" i="46" s="1"/>
  <c r="M96" i="36"/>
  <c r="P74" i="46" s="1"/>
  <c r="H98" i="36"/>
  <c r="F40" i="8" l="1"/>
  <c r="F844" i="46" s="1"/>
  <c r="D897"/>
  <c r="F77" i="8"/>
  <c r="P76" i="46"/>
  <c r="P78" s="1"/>
  <c r="P83" s="1"/>
  <c r="H78"/>
  <c r="H80" s="1"/>
  <c r="O399"/>
  <c r="Q58" i="36"/>
  <c r="K231" i="11"/>
  <c r="K1549" i="46"/>
  <c r="L1562"/>
  <c r="L1563" s="1"/>
  <c r="K1485"/>
  <c r="P92"/>
  <c r="P95"/>
  <c r="P71" i="7"/>
  <c r="P68"/>
  <c r="F536" i="46"/>
  <c r="J457"/>
  <c r="D546"/>
  <c r="L244" i="11"/>
  <c r="L245" s="1"/>
  <c r="K167"/>
  <c r="J157" i="36"/>
  <c r="J159"/>
  <c r="J158"/>
  <c r="N148"/>
  <c r="F45" i="7"/>
  <c r="F69" i="46"/>
  <c r="N157" i="36"/>
  <c r="K1486" i="46"/>
  <c r="K168" i="11"/>
  <c r="F44" i="7"/>
  <c r="F68" i="46"/>
  <c r="F43" i="15"/>
  <c r="K1349" i="46"/>
  <c r="L1350"/>
  <c r="K1350"/>
  <c r="L1349"/>
  <c r="P162"/>
  <c r="P138" i="7"/>
  <c r="P139"/>
  <c r="P163" i="46"/>
  <c r="F457"/>
  <c r="L31" i="11"/>
  <c r="L32"/>
  <c r="E100" i="15"/>
  <c r="I962" i="46"/>
  <c r="H19" i="8"/>
  <c r="F883" i="46"/>
  <c r="F881"/>
  <c r="F877"/>
  <c r="G875"/>
  <c r="F876"/>
  <c r="E878"/>
  <c r="E884" s="1"/>
  <c r="E48" i="8"/>
  <c r="J48"/>
  <c r="I48"/>
  <c r="C77"/>
  <c r="C48"/>
  <c r="H77"/>
  <c r="G19"/>
  <c r="F19"/>
  <c r="D77"/>
  <c r="E19"/>
  <c r="J19"/>
  <c r="J77"/>
  <c r="F48"/>
  <c r="K19"/>
  <c r="B77"/>
  <c r="G77"/>
  <c r="B48"/>
  <c r="G48"/>
  <c r="D19"/>
  <c r="D48"/>
  <c r="K48"/>
  <c r="H48"/>
  <c r="C19"/>
  <c r="I19"/>
  <c r="K77"/>
  <c r="E77"/>
  <c r="I77"/>
  <c r="H54" i="7"/>
  <c r="H56" s="1"/>
  <c r="Q60" i="36"/>
  <c r="K32" i="11"/>
  <c r="K31"/>
  <c r="Q77" i="36"/>
  <c r="Q80"/>
  <c r="I53" i="6"/>
  <c r="P47" s="1"/>
  <c r="P956" i="46" s="1"/>
  <c r="P962" s="1"/>
  <c r="C44" i="8"/>
  <c r="C45" s="1"/>
  <c r="G15"/>
  <c r="G16" s="1"/>
  <c r="J73"/>
  <c r="J74" s="1"/>
  <c r="I73"/>
  <c r="I74" s="1"/>
  <c r="F73"/>
  <c r="F74" s="1"/>
  <c r="E73"/>
  <c r="E74" s="1"/>
  <c r="D44"/>
  <c r="D45" s="1"/>
  <c r="E44"/>
  <c r="E45" s="1"/>
  <c r="O183" i="11"/>
  <c r="U1501" i="46" s="1"/>
  <c r="I15" i="8"/>
  <c r="I16" s="1"/>
  <c r="J44"/>
  <c r="J45" s="1"/>
  <c r="D15"/>
  <c r="D16" s="1"/>
  <c r="B44"/>
  <c r="B45" s="1"/>
  <c r="K15"/>
  <c r="K16" s="1"/>
  <c r="F44"/>
  <c r="F45" s="1"/>
  <c r="J15"/>
  <c r="J16" s="1"/>
  <c r="K44"/>
  <c r="K45" s="1"/>
  <c r="B73"/>
  <c r="B74" s="1"/>
  <c r="P183" i="11"/>
  <c r="C15" i="8"/>
  <c r="C16" s="1"/>
  <c r="D73"/>
  <c r="D74" s="1"/>
  <c r="H15"/>
  <c r="H16" s="1"/>
  <c r="I44"/>
  <c r="I45" s="1"/>
  <c r="G73"/>
  <c r="G74" s="1"/>
  <c r="B16"/>
  <c r="K7" s="1"/>
  <c r="E15"/>
  <c r="E16" s="1"/>
  <c r="H44"/>
  <c r="H45" s="1"/>
  <c r="H73"/>
  <c r="H74" s="1"/>
  <c r="F15"/>
  <c r="F16" s="1"/>
  <c r="G44"/>
  <c r="G45" s="1"/>
  <c r="C73"/>
  <c r="C74" s="1"/>
  <c r="F43" i="7"/>
  <c r="F67" i="46" s="1"/>
  <c r="Q74" i="36"/>
  <c r="K74" i="8"/>
  <c r="Q62" i="36"/>
  <c r="D132" i="15"/>
  <c r="N149" i="36"/>
  <c r="F122" i="15"/>
  <c r="P160" i="36"/>
  <c r="J43" i="15"/>
  <c r="F28" i="8"/>
  <c r="F832" i="46" s="1"/>
  <c r="M98" i="36"/>
  <c r="M566" i="46" s="1"/>
  <c r="M567" s="1"/>
  <c r="M569" s="1"/>
  <c r="H100" i="36"/>
  <c r="M100" s="1"/>
  <c r="P50" i="7"/>
  <c r="P52" s="1"/>
  <c r="P54" s="1"/>
  <c r="P59" s="1"/>
  <c r="Q96" i="36"/>
  <c r="G40" i="8" l="1"/>
  <c r="G844" i="46" s="1"/>
  <c r="E897"/>
  <c r="P30" i="11"/>
  <c r="P352" s="1"/>
  <c r="P356" s="1"/>
  <c r="J566" i="46"/>
  <c r="J567" s="1"/>
  <c r="J569" s="1"/>
  <c r="O1348"/>
  <c r="O1670" s="1"/>
  <c r="O1324" s="1"/>
  <c r="J152" i="15"/>
  <c r="J153" s="1"/>
  <c r="J155" s="1"/>
  <c r="F458" i="46"/>
  <c r="P566"/>
  <c r="P567" s="1"/>
  <c r="P569" s="1"/>
  <c r="J458"/>
  <c r="G546"/>
  <c r="J44" i="15"/>
  <c r="P1348" i="46"/>
  <c r="P1670" s="1"/>
  <c r="P43" i="15"/>
  <c r="P457" i="46"/>
  <c r="P53" i="6"/>
  <c r="J574" i="46"/>
  <c r="F878"/>
  <c r="F884" s="1"/>
  <c r="G883"/>
  <c r="G881"/>
  <c r="G877"/>
  <c r="H875"/>
  <c r="G876"/>
  <c r="K5" i="8"/>
  <c r="O30" i="11"/>
  <c r="J160" i="15"/>
  <c r="Q98" i="36"/>
  <c r="F44" i="15"/>
  <c r="P152"/>
  <c r="P153" s="1"/>
  <c r="P155" s="1"/>
  <c r="M152"/>
  <c r="M153" s="1"/>
  <c r="M155" s="1"/>
  <c r="B21" i="8"/>
  <c r="B35" s="1"/>
  <c r="P165" i="36"/>
  <c r="G28" i="8"/>
  <c r="G832" i="46" s="1"/>
  <c r="Q100" i="36"/>
  <c r="G132" i="15"/>
  <c r="H40" i="8" l="1"/>
  <c r="H844" i="46" s="1"/>
  <c r="F897"/>
  <c r="P1324"/>
  <c r="P1674"/>
  <c r="J570"/>
  <c r="O352" i="11"/>
  <c r="U1348" i="46"/>
  <c r="U1670" s="1"/>
  <c r="U1324" s="1"/>
  <c r="H876"/>
  <c r="H883"/>
  <c r="H881"/>
  <c r="H877"/>
  <c r="I875"/>
  <c r="G878"/>
  <c r="G884" s="1"/>
  <c r="J161" i="15"/>
  <c r="J575" i="46" s="1"/>
  <c r="R30" i="11"/>
  <c r="Q53" i="36"/>
  <c r="J156" i="15"/>
  <c r="B79" i="8"/>
  <c r="B93" s="1"/>
  <c r="J79"/>
  <c r="J93" s="1"/>
  <c r="H79"/>
  <c r="H93" s="1"/>
  <c r="F79"/>
  <c r="F93" s="1"/>
  <c r="D79"/>
  <c r="D93" s="1"/>
  <c r="C79"/>
  <c r="C93" s="1"/>
  <c r="K50"/>
  <c r="K64" s="1"/>
  <c r="I50"/>
  <c r="I64" s="1"/>
  <c r="G50"/>
  <c r="G64" s="1"/>
  <c r="E50"/>
  <c r="E64" s="1"/>
  <c r="C50"/>
  <c r="C64" s="1"/>
  <c r="D21"/>
  <c r="D35" s="1"/>
  <c r="F21"/>
  <c r="F35" s="1"/>
  <c r="H21"/>
  <c r="H35" s="1"/>
  <c r="J21"/>
  <c r="J35" s="1"/>
  <c r="K79"/>
  <c r="K93" s="1"/>
  <c r="G79"/>
  <c r="G93" s="1"/>
  <c r="J50"/>
  <c r="J64" s="1"/>
  <c r="F50"/>
  <c r="F64" s="1"/>
  <c r="E21"/>
  <c r="E35" s="1"/>
  <c r="I79"/>
  <c r="I93" s="1"/>
  <c r="E79"/>
  <c r="E93" s="1"/>
  <c r="B50"/>
  <c r="B64" s="1"/>
  <c r="H50"/>
  <c r="H64" s="1"/>
  <c r="D50"/>
  <c r="D64" s="1"/>
  <c r="C21"/>
  <c r="C35" s="1"/>
  <c r="G21"/>
  <c r="G35" s="1"/>
  <c r="I21"/>
  <c r="I35" s="1"/>
  <c r="K21"/>
  <c r="K35" s="1"/>
  <c r="B22"/>
  <c r="H28"/>
  <c r="H832" i="46" s="1"/>
  <c r="I40" i="8" l="1"/>
  <c r="I844" i="46" s="1"/>
  <c r="G897"/>
  <c r="J577"/>
  <c r="J579" s="1"/>
  <c r="J581" s="1"/>
  <c r="J583" s="1"/>
  <c r="G574"/>
  <c r="J875"/>
  <c r="I881"/>
  <c r="I877"/>
  <c r="I876"/>
  <c r="I883"/>
  <c r="H878"/>
  <c r="H884" s="1"/>
  <c r="P6" i="11"/>
  <c r="O6"/>
  <c r="J163" i="15"/>
  <c r="J165" s="1"/>
  <c r="J167" s="1"/>
  <c r="J169" s="1"/>
  <c r="G160"/>
  <c r="C22" i="8"/>
  <c r="E80"/>
  <c r="J51"/>
  <c r="H22"/>
  <c r="E51"/>
  <c r="C80"/>
  <c r="J80"/>
  <c r="G22"/>
  <c r="B51"/>
  <c r="F51"/>
  <c r="J22"/>
  <c r="C51"/>
  <c r="K51"/>
  <c r="H80"/>
  <c r="I22"/>
  <c r="H51"/>
  <c r="E22"/>
  <c r="K80"/>
  <c r="D22"/>
  <c r="I51"/>
  <c r="F80"/>
  <c r="K22"/>
  <c r="D51"/>
  <c r="I80"/>
  <c r="G80"/>
  <c r="F22"/>
  <c r="G51"/>
  <c r="D80"/>
  <c r="B80"/>
  <c r="I28"/>
  <c r="I832" i="46" s="1"/>
  <c r="J40" i="8" l="1"/>
  <c r="J844" i="46" s="1"/>
  <c r="H897"/>
  <c r="J587"/>
  <c r="M585"/>
  <c r="M171" i="15"/>
  <c r="J173"/>
  <c r="I878" i="46"/>
  <c r="I884" s="1"/>
  <c r="J883"/>
  <c r="J881"/>
  <c r="J877"/>
  <c r="K875"/>
  <c r="J876"/>
  <c r="J28" i="8"/>
  <c r="J832" i="46" s="1"/>
  <c r="K40" i="8" l="1"/>
  <c r="B69" s="1"/>
  <c r="I897" i="46"/>
  <c r="J396"/>
  <c r="L396" s="1"/>
  <c r="J397"/>
  <c r="L397" s="1"/>
  <c r="J40" i="3"/>
  <c r="L40" s="1"/>
  <c r="E99" i="15"/>
  <c r="J6" i="7"/>
  <c r="J41" i="3"/>
  <c r="L41" s="1"/>
  <c r="K876" i="46"/>
  <c r="K883"/>
  <c r="K881"/>
  <c r="K877"/>
  <c r="J878"/>
  <c r="J884" s="1"/>
  <c r="K28" i="8"/>
  <c r="K832" i="46" s="1"/>
  <c r="K844" l="1"/>
  <c r="J897"/>
  <c r="B873"/>
  <c r="C69" i="8"/>
  <c r="K878" i="46"/>
  <c r="K884" s="1"/>
  <c r="B57" i="8"/>
  <c r="B861" i="46" s="1"/>
  <c r="K897" l="1"/>
  <c r="C873"/>
  <c r="D69" i="8"/>
  <c r="C57"/>
  <c r="C861" i="46" s="1"/>
  <c r="D873" l="1"/>
  <c r="E69" i="8"/>
  <c r="D57"/>
  <c r="D861" i="46" s="1"/>
  <c r="E873" l="1"/>
  <c r="F69" i="8"/>
  <c r="E57"/>
  <c r="E861" i="46" s="1"/>
  <c r="F873" l="1"/>
  <c r="G69" i="8"/>
  <c r="F57"/>
  <c r="F861" i="46" s="1"/>
  <c r="G873" l="1"/>
  <c r="H69" i="8"/>
  <c r="G861" i="46"/>
  <c r="H873" l="1"/>
  <c r="I69" i="8"/>
  <c r="H861" i="46"/>
  <c r="I873" l="1"/>
  <c r="J69" i="8"/>
  <c r="I57"/>
  <c r="I861" i="46" s="1"/>
  <c r="J873" l="1"/>
  <c r="K69" i="8"/>
  <c r="J57"/>
  <c r="J861" i="46" s="1"/>
  <c r="K873" l="1"/>
  <c r="B98" i="8"/>
  <c r="K57"/>
  <c r="K861" i="46" s="1"/>
  <c r="B902" l="1"/>
  <c r="C98" i="8"/>
  <c r="B86"/>
  <c r="B890" i="46" s="1"/>
  <c r="C902" l="1"/>
  <c r="D98" i="8"/>
  <c r="C86"/>
  <c r="C890" i="46" s="1"/>
  <c r="D902" l="1"/>
  <c r="E98" i="8"/>
  <c r="D86"/>
  <c r="D890" i="46" s="1"/>
  <c r="E902" l="1"/>
  <c r="F98" i="8"/>
  <c r="E86"/>
  <c r="E890" i="46" s="1"/>
  <c r="F902" l="1"/>
  <c r="G98" i="8"/>
  <c r="F86"/>
  <c r="F890" i="46" s="1"/>
  <c r="G902" l="1"/>
  <c r="H98" i="8"/>
  <c r="G86"/>
  <c r="G890" i="46" s="1"/>
  <c r="H902" l="1"/>
  <c r="I98" i="8"/>
  <c r="H86"/>
  <c r="H890" i="46" s="1"/>
  <c r="I902" l="1"/>
  <c r="J98" i="8"/>
  <c r="I86"/>
  <c r="I890" i="46" s="1"/>
  <c r="J902" l="1"/>
  <c r="K98" i="8"/>
  <c r="K902" i="46" s="1"/>
  <c r="J86" i="8"/>
  <c r="J890" i="46" s="1"/>
  <c r="K86" i="8" l="1"/>
  <c r="K890" i="46" s="1"/>
  <c r="B30" i="8" l="1"/>
  <c r="C23"/>
  <c r="C827" i="46" s="1"/>
  <c r="D23" i="8"/>
  <c r="E23"/>
  <c r="E827" i="46" s="1"/>
  <c r="F23" i="8"/>
  <c r="F827" i="46" s="1"/>
  <c r="G23" i="8"/>
  <c r="G827" i="46" s="1"/>
  <c r="H23" i="8"/>
  <c r="I23"/>
  <c r="I827" i="46" s="1"/>
  <c r="J23" i="8"/>
  <c r="J827" i="46" s="1"/>
  <c r="K23" i="8"/>
  <c r="K827" i="46" s="1"/>
  <c r="D30" i="8"/>
  <c r="B33"/>
  <c r="B52"/>
  <c r="B856" i="46" s="1"/>
  <c r="C52" i="8"/>
  <c r="C856" i="46" s="1"/>
  <c r="D52" i="8"/>
  <c r="D856" i="46" s="1"/>
  <c r="E52" i="8"/>
  <c r="E856" i="46" s="1"/>
  <c r="F52" i="8"/>
  <c r="F856" i="46" s="1"/>
  <c r="G52" i="8"/>
  <c r="G856" i="46" s="1"/>
  <c r="H52" i="8"/>
  <c r="H856" i="46" s="1"/>
  <c r="I52" i="8"/>
  <c r="I856" i="46" s="1"/>
  <c r="J52" i="8"/>
  <c r="J856" i="46" s="1"/>
  <c r="K52" i="8"/>
  <c r="K856" i="46" s="1"/>
  <c r="D59" i="8"/>
  <c r="E59"/>
  <c r="B60"/>
  <c r="C60"/>
  <c r="H61"/>
  <c r="I61"/>
  <c r="B81"/>
  <c r="B885" i="46" s="1"/>
  <c r="C81" i="8"/>
  <c r="C885" i="46" s="1"/>
  <c r="D81" i="8"/>
  <c r="D885" i="46" s="1"/>
  <c r="E81" i="8"/>
  <c r="E885" i="46" s="1"/>
  <c r="F81" i="8"/>
  <c r="F885" i="46" s="1"/>
  <c r="G81" i="8"/>
  <c r="G885" i="46" s="1"/>
  <c r="H81" i="8"/>
  <c r="H885" i="46" s="1"/>
  <c r="I81" i="8"/>
  <c r="I885" i="46" s="1"/>
  <c r="J81" i="8"/>
  <c r="J885" i="46" s="1"/>
  <c r="K81" i="8"/>
  <c r="K885" i="46" s="1"/>
  <c r="D88" i="8"/>
  <c r="E88"/>
  <c r="J893" i="46" l="1"/>
  <c r="J896"/>
  <c r="J894"/>
  <c r="J895"/>
  <c r="J892"/>
  <c r="F893"/>
  <c r="F895"/>
  <c r="F896"/>
  <c r="F894"/>
  <c r="F892"/>
  <c r="B893"/>
  <c r="B895"/>
  <c r="B896"/>
  <c r="B894"/>
  <c r="B892"/>
  <c r="J864"/>
  <c r="J867"/>
  <c r="J863"/>
  <c r="J865"/>
  <c r="J866"/>
  <c r="F864"/>
  <c r="F863"/>
  <c r="F867"/>
  <c r="F865"/>
  <c r="F866"/>
  <c r="B864"/>
  <c r="B863"/>
  <c r="B866"/>
  <c r="B867"/>
  <c r="B865"/>
  <c r="J835"/>
  <c r="J834"/>
  <c r="J836"/>
  <c r="J837"/>
  <c r="J838"/>
  <c r="F835"/>
  <c r="F834"/>
  <c r="F837"/>
  <c r="F838"/>
  <c r="F836"/>
  <c r="K893"/>
  <c r="K895"/>
  <c r="K896"/>
  <c r="K894"/>
  <c r="K892"/>
  <c r="G893"/>
  <c r="G894"/>
  <c r="G895"/>
  <c r="G896"/>
  <c r="G892"/>
  <c r="C893"/>
  <c r="C896"/>
  <c r="C894"/>
  <c r="C895"/>
  <c r="C892"/>
  <c r="K864"/>
  <c r="K866"/>
  <c r="K867"/>
  <c r="K865"/>
  <c r="K863"/>
  <c r="G864"/>
  <c r="G863"/>
  <c r="G866"/>
  <c r="G867"/>
  <c r="G865"/>
  <c r="C864"/>
  <c r="C863"/>
  <c r="C865"/>
  <c r="C866"/>
  <c r="C867"/>
  <c r="K835"/>
  <c r="K834"/>
  <c r="K836"/>
  <c r="K838"/>
  <c r="K837"/>
  <c r="G835"/>
  <c r="G834"/>
  <c r="G836"/>
  <c r="G838"/>
  <c r="G837"/>
  <c r="C835"/>
  <c r="C834"/>
  <c r="C836"/>
  <c r="C838"/>
  <c r="C837"/>
  <c r="H893"/>
  <c r="H896"/>
  <c r="H894"/>
  <c r="H895"/>
  <c r="H892"/>
  <c r="D893"/>
  <c r="D895"/>
  <c r="D896"/>
  <c r="D894"/>
  <c r="D892"/>
  <c r="H864"/>
  <c r="H863"/>
  <c r="H867"/>
  <c r="H865"/>
  <c r="H866"/>
  <c r="D864"/>
  <c r="D863"/>
  <c r="D866"/>
  <c r="D867"/>
  <c r="D865"/>
  <c r="H30" i="8"/>
  <c r="H827" i="46"/>
  <c r="D32" i="8"/>
  <c r="D827" i="46"/>
  <c r="I893"/>
  <c r="I895"/>
  <c r="I896"/>
  <c r="I894"/>
  <c r="I892"/>
  <c r="E893"/>
  <c r="E894"/>
  <c r="E895"/>
  <c r="E896"/>
  <c r="E892"/>
  <c r="I864"/>
  <c r="I863"/>
  <c r="I866"/>
  <c r="I867"/>
  <c r="I865"/>
  <c r="E864"/>
  <c r="E863"/>
  <c r="E865"/>
  <c r="E866"/>
  <c r="E867"/>
  <c r="I835"/>
  <c r="I834"/>
  <c r="I838"/>
  <c r="I837"/>
  <c r="I836"/>
  <c r="E835"/>
  <c r="E834"/>
  <c r="E838"/>
  <c r="E837"/>
  <c r="E836"/>
  <c r="E30" i="8"/>
  <c r="E34"/>
  <c r="D31"/>
  <c r="E32"/>
  <c r="H32"/>
  <c r="E31"/>
  <c r="I32"/>
  <c r="I31"/>
  <c r="D62"/>
  <c r="H31"/>
  <c r="I30"/>
  <c r="D63"/>
  <c r="I62"/>
  <c r="E63"/>
  <c r="H88"/>
  <c r="D89"/>
  <c r="F62"/>
  <c r="E89"/>
  <c r="H34"/>
  <c r="D33"/>
  <c r="H62"/>
  <c r="H33"/>
  <c r="E92"/>
  <c r="D90"/>
  <c r="E90"/>
  <c r="E91"/>
  <c r="E62"/>
  <c r="D92"/>
  <c r="D34"/>
  <c r="D91"/>
  <c r="J59"/>
  <c r="B59"/>
  <c r="F30"/>
  <c r="G59"/>
  <c r="C59"/>
  <c r="K30"/>
  <c r="C30"/>
  <c r="C36"/>
  <c r="C840" i="46" s="1"/>
  <c r="J88" i="8"/>
  <c r="F92"/>
  <c r="B88"/>
  <c r="H59"/>
  <c r="D60"/>
  <c r="H92"/>
  <c r="H91"/>
  <c r="H90"/>
  <c r="H89"/>
  <c r="J62"/>
  <c r="B62"/>
  <c r="J60"/>
  <c r="F59"/>
  <c r="J30"/>
  <c r="K59"/>
  <c r="G30"/>
  <c r="K88"/>
  <c r="G88"/>
  <c r="C88"/>
  <c r="I59"/>
  <c r="E60"/>
  <c r="I33"/>
  <c r="E33"/>
  <c r="I92"/>
  <c r="I91"/>
  <c r="I90"/>
  <c r="I89"/>
  <c r="I88"/>
  <c r="K62"/>
  <c r="G62"/>
  <c r="C62"/>
  <c r="K60"/>
  <c r="I34"/>
  <c r="J91"/>
  <c r="F91"/>
  <c r="B91"/>
  <c r="F60"/>
  <c r="J33"/>
  <c r="F33"/>
  <c r="K91"/>
  <c r="G91"/>
  <c r="C91"/>
  <c r="G60"/>
  <c r="K33"/>
  <c r="G33"/>
  <c r="C33"/>
  <c r="J89"/>
  <c r="F89"/>
  <c r="B89"/>
  <c r="H63"/>
  <c r="D61"/>
  <c r="H60"/>
  <c r="J31"/>
  <c r="F31"/>
  <c r="B31"/>
  <c r="K89"/>
  <c r="G89"/>
  <c r="C89"/>
  <c r="I63"/>
  <c r="E61"/>
  <c r="I60"/>
  <c r="K31"/>
  <c r="G31"/>
  <c r="C31"/>
  <c r="J92"/>
  <c r="B92"/>
  <c r="J90"/>
  <c r="F90"/>
  <c r="B90"/>
  <c r="F88"/>
  <c r="J63"/>
  <c r="F63"/>
  <c r="B63"/>
  <c r="J61"/>
  <c r="F61"/>
  <c r="B61"/>
  <c r="J34"/>
  <c r="F34"/>
  <c r="B34"/>
  <c r="J32"/>
  <c r="F32"/>
  <c r="B32"/>
  <c r="K92"/>
  <c r="G92"/>
  <c r="C92"/>
  <c r="K90"/>
  <c r="G90"/>
  <c r="C90"/>
  <c r="K63"/>
  <c r="G63"/>
  <c r="C63"/>
  <c r="K61"/>
  <c r="G61"/>
  <c r="C61"/>
  <c r="K34"/>
  <c r="G34"/>
  <c r="C34"/>
  <c r="K32"/>
  <c r="G32"/>
  <c r="C32"/>
  <c r="D835" i="46" l="1"/>
  <c r="D834"/>
  <c r="D838"/>
  <c r="D837"/>
  <c r="D836"/>
  <c r="H835"/>
  <c r="H834"/>
  <c r="H838"/>
  <c r="H837"/>
  <c r="H836"/>
  <c r="D36" i="8"/>
  <c r="D840" i="46" s="1"/>
  <c r="E36" i="8" l="1"/>
  <c r="E840" i="46" s="1"/>
  <c r="F36" i="8" l="1"/>
  <c r="F840" i="46" s="1"/>
  <c r="G36" i="8" l="1"/>
  <c r="G840" i="46" s="1"/>
  <c r="H36" i="8" l="1"/>
  <c r="H840" i="46" s="1"/>
  <c r="I36" i="8" l="1"/>
  <c r="I840" i="46" s="1"/>
  <c r="J36" i="8" l="1"/>
  <c r="J840" i="46" s="1"/>
  <c r="K36" i="8" l="1"/>
  <c r="K840" i="46" s="1"/>
  <c r="B65" i="8" l="1"/>
  <c r="B869" i="46" s="1"/>
  <c r="C65" i="8" l="1"/>
  <c r="C869" i="46" s="1"/>
  <c r="D65" i="8" l="1"/>
  <c r="D869" i="46" s="1"/>
  <c r="E65" i="8" l="1"/>
  <c r="E869" i="46" s="1"/>
  <c r="F65" i="8" l="1"/>
  <c r="F869" i="46" s="1"/>
  <c r="G65" i="8" l="1"/>
  <c r="G869" i="46" s="1"/>
  <c r="H65" i="8" l="1"/>
  <c r="H869" i="46" s="1"/>
  <c r="I65" i="8" l="1"/>
  <c r="I869" i="46" s="1"/>
  <c r="J65" i="8" l="1"/>
  <c r="J869" i="46" s="1"/>
  <c r="K65" i="8" l="1"/>
  <c r="K869" i="46" s="1"/>
  <c r="B94" i="8" l="1"/>
  <c r="B898" i="46" s="1"/>
  <c r="C94" i="8" l="1"/>
  <c r="C898" i="46" s="1"/>
  <c r="D94" i="8" l="1"/>
  <c r="D898" i="46" s="1"/>
  <c r="E94" i="8" l="1"/>
  <c r="E898" i="46" s="1"/>
  <c r="F94" i="8" l="1"/>
  <c r="F898" i="46" s="1"/>
  <c r="G94" i="8" l="1"/>
  <c r="G898" i="46" s="1"/>
  <c r="H94" i="8" l="1"/>
  <c r="H898" i="46" s="1"/>
  <c r="I94" i="8" l="1"/>
  <c r="I898" i="46" s="1"/>
  <c r="J94" i="8" l="1"/>
  <c r="J898" i="46" s="1"/>
  <c r="K94" i="8" l="1"/>
  <c r="K898" i="46" s="1"/>
</calcChain>
</file>

<file path=xl/sharedStrings.xml><?xml version="1.0" encoding="utf-8"?>
<sst xmlns="http://schemas.openxmlformats.org/spreadsheetml/2006/main" count="9973" uniqueCount="3556">
  <si>
    <t>Does the unit mix/rents and amenities included in the application match those provided in the market study?</t>
  </si>
  <si>
    <t>List all contiguous Census Tracts:</t>
  </si>
  <si>
    <t>Additional Amenities (describe in space provided below)</t>
  </si>
  <si>
    <t>Additional Amenities</t>
  </si>
  <si>
    <t>LaFayette Housing Authority</t>
  </si>
  <si>
    <t>Ray City</t>
  </si>
  <si>
    <t>LaGrange Development Authority</t>
  </si>
  <si>
    <t>Rayle</t>
  </si>
  <si>
    <t>Lake Oconee Area Development Authority</t>
  </si>
  <si>
    <t>Rebecca</t>
  </si>
  <si>
    <t>Laurens-Treutlen Joint Development Authority</t>
  </si>
  <si>
    <t>Development Authority of Ben Hill County</t>
  </si>
  <si>
    <t>Brunswick</t>
  </si>
  <si>
    <t>Development Authority of Bibb County</t>
  </si>
  <si>
    <t>Buchanan</t>
  </si>
  <si>
    <t>Housing Authority of the City of Fort Oglethorpe, Georgia</t>
  </si>
  <si>
    <t>Chatham-Savannah Authority for the Homeless</t>
  </si>
  <si>
    <t>Barwick</t>
  </si>
  <si>
    <t>Efficiency New Construction CS Units</t>
  </si>
  <si>
    <t>1 BR New Construction CS Units</t>
  </si>
  <si>
    <t>2 BR New Construction CS Units</t>
  </si>
  <si>
    <t>3 BR New Construction CS Units</t>
  </si>
  <si>
    <t>4 BR New Construction CS Units</t>
  </si>
  <si>
    <t>Efficiency CS Acq/Rhb Units</t>
  </si>
  <si>
    <t>1 BR Acq/Rhb CS Units</t>
  </si>
  <si>
    <t>2 BR Acq/Rhb CS Units</t>
  </si>
  <si>
    <t>3 BR Acq/Rhb CS Units</t>
  </si>
  <si>
    <t>4 BR Acq/Rhb CS Units</t>
  </si>
  <si>
    <t>Efficiency Rehab CS Units</t>
  </si>
  <si>
    <t>1 BR Rehab CS Units</t>
  </si>
  <si>
    <t>2 BR Rehab CS Units</t>
  </si>
  <si>
    <t>3 BR Rehab CS Units</t>
  </si>
  <si>
    <t>4 BR Rehab CS Units</t>
  </si>
  <si>
    <t>Total + CS</t>
  </si>
  <si>
    <t>Tot lot (fenced and equipped with a minimum of three pieces of equipment)</t>
  </si>
  <si>
    <t>High-speed internet access (see QAP requirements)</t>
  </si>
  <si>
    <t>Annual Debt Service in Year One</t>
  </si>
  <si>
    <t>Off Site Improvements in Master Plan Communities</t>
  </si>
  <si>
    <t>Development Authority of Telfair County</t>
  </si>
  <si>
    <t>Dahlonega</t>
  </si>
  <si>
    <t>Type of Construction Activity</t>
  </si>
  <si>
    <t>Building Type:</t>
  </si>
  <si>
    <t>Multifamily</t>
  </si>
  <si>
    <t>SF Detached</t>
  </si>
  <si>
    <t>Townhome</t>
  </si>
  <si>
    <t>Housing Authority of the City of Perry, Georgia</t>
  </si>
  <si>
    <t>Housing Authority of the City of Quitman</t>
  </si>
  <si>
    <t>Nahunta</t>
  </si>
  <si>
    <t>Dahlonega Downtown Development Authority</t>
  </si>
  <si>
    <t>Braselton</t>
  </si>
  <si>
    <t>Development Authority of Whitfield County</t>
  </si>
  <si>
    <t>Dooling</t>
  </si>
  <si>
    <t>Development Authority of Wilkinson County</t>
  </si>
  <si>
    <t>Doraville</t>
  </si>
  <si>
    <t>Other (describe here)</t>
  </si>
  <si>
    <t>Other Income (OI)</t>
  </si>
  <si>
    <t>OI Not Subject to Mgt Fee</t>
  </si>
  <si>
    <t>Downtown Development Authority of the City of Norcross</t>
  </si>
  <si>
    <t>Glenwood</t>
  </si>
  <si>
    <t>Development Authority of Brooks County, Georgia</t>
  </si>
  <si>
    <t>Buckhead</t>
  </si>
  <si>
    <t>Development Authority of Bulloch County</t>
  </si>
  <si>
    <t>Buena Vista</t>
  </si>
  <si>
    <t>Development Authority of Burke County</t>
  </si>
  <si>
    <t>Buford</t>
  </si>
  <si>
    <t>Mitchell County Development Authority</t>
  </si>
  <si>
    <t>Richmond Hill</t>
  </si>
  <si>
    <t>Montezuma Downtown Development Authority</t>
  </si>
  <si>
    <t>Riddleville</t>
  </si>
  <si>
    <t>Montgomery County Development Authority</t>
  </si>
  <si>
    <t>Rincon</t>
  </si>
  <si>
    <t>Moultrie-Colquitt County Development Authority</t>
  </si>
  <si>
    <t>Ringgold</t>
  </si>
  <si>
    <t>Nashville Downtown Development Authority</t>
  </si>
  <si>
    <t>Urban Redevelopment Authority of the City of Suwanee</t>
  </si>
  <si>
    <t>Hazlehurst Downtown Development Authority</t>
  </si>
  <si>
    <t>Jeffersonville</t>
  </si>
  <si>
    <t>Loan Type</t>
  </si>
  <si>
    <t>Housing Authority of the City of Adel, Georgia</t>
  </si>
  <si>
    <t>LaGrange</t>
  </si>
  <si>
    <t>Housing Authority of the City of Alamo</t>
  </si>
  <si>
    <t>Lake Park</t>
  </si>
  <si>
    <t>DCA COMMENTS - DCA USE ONLY</t>
  </si>
  <si>
    <t>Please Note:</t>
  </si>
  <si>
    <t>Climax</t>
  </si>
  <si>
    <t>Development Authority of Jefferson County</t>
  </si>
  <si>
    <t>Development Authority of Jefferson, Georgia</t>
  </si>
  <si>
    <t>Development Authority of Jenkins County</t>
  </si>
  <si>
    <t>Cobbtown</t>
  </si>
  <si>
    <t>Development Authority of Johnson County, Georgia</t>
  </si>
  <si>
    <t>Cochran</t>
  </si>
  <si>
    <t>Marion County Development Authority</t>
  </si>
  <si>
    <t>Rest Haven</t>
  </si>
  <si>
    <t>I.  OPERATING ASSUMPTIONS</t>
  </si>
  <si>
    <t>II.  OPERATING PRO FORMA</t>
  </si>
  <si>
    <t>Nonprofit Sponsor</t>
  </si>
  <si>
    <t>Value</t>
  </si>
  <si>
    <t>CDP Name</t>
  </si>
  <si>
    <t>CDP</t>
  </si>
  <si>
    <t>CDP County</t>
  </si>
  <si>
    <t>Check applicable utilities and enter provider name:</t>
  </si>
  <si>
    <t>7)</t>
  </si>
  <si>
    <t>This project is designated as:</t>
  </si>
  <si>
    <t>4% Acquisition Basis</t>
  </si>
  <si>
    <t>TOTAL COST</t>
  </si>
  <si>
    <t>PRE-DEVELOPMENT COSTS</t>
  </si>
  <si>
    <t>Ware Co.</t>
  </si>
  <si>
    <t>Warren</t>
  </si>
  <si>
    <t>Warren Co.</t>
  </si>
  <si>
    <t>Washington</t>
  </si>
  <si>
    <t>Washington Co.</t>
  </si>
  <si>
    <t>Wayne</t>
  </si>
  <si>
    <t>Wayne Co.</t>
  </si>
  <si>
    <t>Webster</t>
  </si>
  <si>
    <t>Webster Co.</t>
  </si>
  <si>
    <t>Wheeler</t>
  </si>
  <si>
    <t>Wheeler Co.</t>
  </si>
  <si>
    <t>White</t>
  </si>
  <si>
    <t>White Co.</t>
  </si>
  <si>
    <t>Public sewer</t>
  </si>
  <si>
    <t>Efficiency 60% SF</t>
  </si>
  <si>
    <t>50% AMI</t>
  </si>
  <si>
    <t>Housing Authority of the City of Cleveland, Ga.</t>
  </si>
  <si>
    <t>Loganville</t>
  </si>
  <si>
    <t>Gwinnett</t>
  </si>
  <si>
    <t>Habersham</t>
  </si>
  <si>
    <t>Habersham Co.</t>
  </si>
  <si>
    <t>Exterior envelope wall systems, including the rim (band) joist spaces, to be insulated</t>
  </si>
  <si>
    <t>ARI rated SEER 14 cooling equipment with sensible heat ratio less than 0.75</t>
  </si>
  <si>
    <t>Locate HVAC ductwork in conditioned spaces</t>
  </si>
  <si>
    <t>Installation of at least two plumbing fixture types having lower flow rates than NEPA standards</t>
  </si>
  <si>
    <t>II. Interest Credit / USDA Annual Guaranty Fee</t>
  </si>
  <si>
    <t>Efficiency Mkt Units</t>
  </si>
  <si>
    <t>Efficiency Mkt SF</t>
  </si>
  <si>
    <t>Efficiency 30% SF</t>
  </si>
  <si>
    <t>Efficiency 50% SF</t>
  </si>
  <si>
    <t>Downtown Development Authority of Hartwell, Georgia</t>
  </si>
  <si>
    <t>Operating Expense Growth Rate</t>
  </si>
  <si>
    <t>Replacement Reserve Annual Payment Growth Rate</t>
  </si>
  <si>
    <t>Operating Reserve Annual Payment Growth Rate</t>
  </si>
  <si>
    <t>Base</t>
  </si>
  <si>
    <t>Moreland</t>
  </si>
  <si>
    <t>Housing Authority of the City of Milledgeville and Sparta</t>
  </si>
  <si>
    <t>Housing Authority of the City of Millen</t>
  </si>
  <si>
    <t>Morganton</t>
  </si>
  <si>
    <t>Housing Authority of the City of Monroe, GA</t>
  </si>
  <si>
    <t>Morrow</t>
  </si>
  <si>
    <t>Amount of federal grant(s) used to finance qualifying development costs</t>
  </si>
  <si>
    <t>Monthly Net Rent</t>
  </si>
  <si>
    <t>If an identity of interest exists between the buyer and seller, did the seller purchase this property within the past three (3) years?</t>
  </si>
  <si>
    <t>Does documentation include:</t>
  </si>
  <si>
    <t>Letters of support from local government officials?</t>
  </si>
  <si>
    <t>Buildings more than two story construction have interior furnished gathering areas in several locations in the lobbies and/or corridors</t>
  </si>
  <si>
    <t>Insurance**</t>
  </si>
  <si>
    <r>
      <t xml:space="preserve">The Census Tract for the property is characterized as [Choose either </t>
    </r>
    <r>
      <rPr>
        <i/>
        <sz val="8"/>
        <rFont val="Arial"/>
        <family val="2"/>
      </rPr>
      <t>Minority concentration</t>
    </r>
    <r>
      <rPr>
        <sz val="8"/>
        <rFont val="Arial"/>
        <family val="2"/>
      </rPr>
      <t xml:space="preserve"> (50% or more minority), </t>
    </r>
    <r>
      <rPr>
        <i/>
        <sz val="8"/>
        <rFont val="Arial"/>
        <family val="2"/>
      </rPr>
      <t>Racially mixed</t>
    </r>
    <r>
      <rPr>
        <sz val="8"/>
        <rFont val="Arial"/>
        <family val="2"/>
      </rPr>
      <t xml:space="preserve"> (25% - 49% minority), or </t>
    </r>
    <r>
      <rPr>
        <i/>
        <sz val="8"/>
        <rFont val="Arial"/>
        <family val="2"/>
      </rPr>
      <t>Non-minority</t>
    </r>
    <r>
      <rPr>
        <sz val="8"/>
        <rFont val="Arial"/>
        <family val="2"/>
      </rPr>
      <t xml:space="preserve"> (less than 25% minority)]:</t>
    </r>
  </si>
  <si>
    <t>Brownfield?</t>
  </si>
  <si>
    <t>Form of site control:</t>
  </si>
  <si>
    <t>Was a Noise Assessment performed?</t>
  </si>
  <si>
    <t>Gas</t>
  </si>
  <si>
    <t>HVAC</t>
  </si>
  <si>
    <t>Development Authority of the City of Roswell</t>
  </si>
  <si>
    <t>Development Authority of the City of Vienna</t>
  </si>
  <si>
    <t>Dearing</t>
  </si>
  <si>
    <t>Baldwin Co.</t>
  </si>
  <si>
    <t>Charlton</t>
  </si>
  <si>
    <t>Charlton Co.</t>
  </si>
  <si>
    <t>Chatham</t>
  </si>
  <si>
    <t>Chattahoochee</t>
  </si>
  <si>
    <t>Columbus</t>
  </si>
  <si>
    <t>Chattooga</t>
  </si>
  <si>
    <t>Chattooga Co.</t>
  </si>
  <si>
    <t>Cherokee</t>
  </si>
  <si>
    <t>Clarke</t>
  </si>
  <si>
    <t>Athens</t>
  </si>
  <si>
    <t>Schley-Sumter-Macon Counties Joint Development Authority</t>
  </si>
  <si>
    <t>Sardis</t>
  </si>
  <si>
    <t>Freestanding shelters</t>
  </si>
  <si>
    <t>Preservation of existing trees and vegetation</t>
  </si>
  <si>
    <t>Bdrms</t>
  </si>
  <si>
    <t>Nbr of</t>
  </si>
  <si>
    <t>Baths</t>
  </si>
  <si>
    <t>Equity Gap Calculation</t>
  </si>
  <si>
    <t>Lowndes</t>
  </si>
  <si>
    <t>Lumpkin</t>
  </si>
  <si>
    <t>Lumpkin Co.</t>
  </si>
  <si>
    <t>Macon Co.</t>
  </si>
  <si>
    <t>Madison</t>
  </si>
  <si>
    <t>Atkinson County-Coffee County Joint Development Authority</t>
  </si>
  <si>
    <t>Allenhurst</t>
  </si>
  <si>
    <t>Atlanta Development Authority</t>
  </si>
  <si>
    <t>Allentown</t>
  </si>
  <si>
    <t>Montgomery</t>
  </si>
  <si>
    <t>Montgomery Co.</t>
  </si>
  <si>
    <t>Gordon Downtown Development Authority</t>
  </si>
  <si>
    <t>Iron City</t>
  </si>
  <si>
    <t>Downtown Development Authority of Barnesville</t>
  </si>
  <si>
    <t>Edgehill</t>
  </si>
  <si>
    <t>Downtown Development Authority of Baxley</t>
  </si>
  <si>
    <t>Zoning/Site Plan Fees</t>
  </si>
  <si>
    <t>Subtotal</t>
  </si>
  <si>
    <r>
      <t xml:space="preserve">Total OI </t>
    </r>
    <r>
      <rPr>
        <b/>
        <sz val="9"/>
        <rFont val="Arial"/>
        <family val="2"/>
      </rPr>
      <t>NOT</t>
    </r>
    <r>
      <rPr>
        <sz val="9"/>
        <rFont val="Arial"/>
        <family val="2"/>
      </rPr>
      <t xml:space="preserve"> in Mgt Fee</t>
    </r>
  </si>
  <si>
    <t>Crisp Co.</t>
  </si>
  <si>
    <t>Dade</t>
  </si>
  <si>
    <t>Dawson</t>
  </si>
  <si>
    <t>Decatur</t>
  </si>
  <si>
    <t>Decatur Co.</t>
  </si>
  <si>
    <t>Dekalb</t>
  </si>
  <si>
    <t>Dodge</t>
  </si>
  <si>
    <t>Tenant-Paid Utility Allowances by Unit Size (# Bdrms)</t>
  </si>
  <si>
    <t>&lt;Select&gt;</t>
  </si>
  <si>
    <t>Efficiency New Construction NSP 120% Units</t>
  </si>
  <si>
    <t>1 BR New Construction NSP 120% Units</t>
  </si>
  <si>
    <t>2 BR New Construction NSP 120% Units</t>
  </si>
  <si>
    <t>3 BR New Construction NSP 120% Units</t>
  </si>
  <si>
    <t>4 BR New Construction NSP 120% Units</t>
  </si>
  <si>
    <t>Efficiency NSP 120% Acq/Rhb Units</t>
  </si>
  <si>
    <t>1 BR Acq/Rhb NSP 120% Units</t>
  </si>
  <si>
    <t>2 BR Acq/Rhb NSP 120% Units</t>
  </si>
  <si>
    <t>3 BR Acq/Rhb NSP 120% Units</t>
  </si>
  <si>
    <t>4 BR Acq/Rhb NSP 120% Units</t>
  </si>
  <si>
    <t>Efficiency Rehab NSP 120% Units</t>
  </si>
  <si>
    <t>1 BR Rehab NSP 120% Units</t>
  </si>
  <si>
    <t>2 BR Rehab NSP 120% Units</t>
  </si>
  <si>
    <t>3 BR Rehab NSP 120% Units</t>
  </si>
  <si>
    <t>4 BR Rehab NSP 120% Units</t>
  </si>
  <si>
    <t>SUSTAINABLE DEVELOPMENTS</t>
  </si>
  <si>
    <t>I. Data Input</t>
  </si>
  <si>
    <t>9.</t>
  </si>
  <si>
    <t>10.</t>
  </si>
  <si>
    <t>11.</t>
  </si>
  <si>
    <t>Downtown Development Authority of Smyrna</t>
  </si>
  <si>
    <t>Forest Park</t>
  </si>
  <si>
    <t>Stephens County, GA</t>
  </si>
  <si>
    <t>Efficiency LI Acq/Rhb Units</t>
  </si>
  <si>
    <t>1 BR Acq/Rhb LI Units</t>
  </si>
  <si>
    <t>2 BR Acq/Rhb LI Units</t>
  </si>
  <si>
    <r>
      <t xml:space="preserve">ANCILLARY AND OTHER INCOME  </t>
    </r>
    <r>
      <rPr>
        <i/>
        <sz val="10"/>
        <rFont val="Arial"/>
        <family val="2"/>
      </rPr>
      <t>(annual amounts)</t>
    </r>
  </si>
  <si>
    <t>2.)</t>
  </si>
  <si>
    <t>Fairmount</t>
  </si>
  <si>
    <t>Deferred Devlpr Fee</t>
  </si>
  <si>
    <t xml:space="preserve">Complete built-in fire sprinkler system in every unit and the community center, including an exterior audio and visual alarm system  </t>
  </si>
  <si>
    <t>Attractively fenced community gardens</t>
  </si>
  <si>
    <t>Downtown Development Authority of the City of Atlanta</t>
  </si>
  <si>
    <t>Fort Oglethorpe</t>
  </si>
  <si>
    <t>Downtown Development Authority of the City of Baconton</t>
  </si>
  <si>
    <t>Fort Valley</t>
  </si>
  <si>
    <t>Downtown Development Authority of the City of Buford</t>
  </si>
  <si>
    <t>12.</t>
  </si>
  <si>
    <t>13.</t>
  </si>
  <si>
    <t>Development Authority of Dougherty County</t>
  </si>
  <si>
    <t>Cecil</t>
  </si>
  <si>
    <t>Development Authority of Douglas County</t>
  </si>
  <si>
    <t>Gilmer County, GA</t>
  </si>
  <si>
    <t>Glascock County, GA</t>
  </si>
  <si>
    <t>Gordon County, GA</t>
  </si>
  <si>
    <t>Other Type (specify)</t>
  </si>
  <si>
    <t xml:space="preserve"> </t>
  </si>
  <si>
    <t>Housing Authority of the City of Conyers</t>
  </si>
  <si>
    <t>Porterdale</t>
  </si>
  <si>
    <t>Housing Authority of the City of Forsyth</t>
  </si>
  <si>
    <t>Martin</t>
  </si>
  <si>
    <t>Housing Authority of the City of Fort Gaines</t>
  </si>
  <si>
    <t>Housing Authority of the City of College Park</t>
  </si>
  <si>
    <t>Lone Oak</t>
  </si>
  <si>
    <t>Marketing</t>
  </si>
  <si>
    <t>Total Square Footage</t>
  </si>
  <si>
    <t>Number of Unrestricted (Market) Units</t>
  </si>
  <si>
    <t>Historic Tax Credits (Residential Portion Only)</t>
  </si>
  <si>
    <t>Landscaping and Site Design Features</t>
  </si>
  <si>
    <t>Applicant's comments regarding this section of scoring:</t>
  </si>
  <si>
    <t>DCA</t>
  </si>
  <si>
    <t>Housing Authority of the City of Glenwood</t>
  </si>
  <si>
    <t>McDonough</t>
  </si>
  <si>
    <t>Housing Authority of the City of Grantville</t>
  </si>
  <si>
    <t>McIntyre</t>
  </si>
  <si>
    <t>Joint Development Authority of Franklin, Hart and Stephens Counties</t>
  </si>
  <si>
    <t>Plainville</t>
  </si>
  <si>
    <t>Subtract Non-LIHTC (excluding deferred fee) Source of Funds</t>
  </si>
  <si>
    <t>Jefferson County, GA</t>
  </si>
  <si>
    <t>Jenkins County, GA</t>
  </si>
  <si>
    <t>Johnson County, GA</t>
  </si>
  <si>
    <t>Lamar County, GA HUD Metro FMR Area</t>
  </si>
  <si>
    <t>Laurens County, GA</t>
  </si>
  <si>
    <t>Hinesville-Fort Stewart, GA HUD Metro FMR Area</t>
  </si>
  <si>
    <t>Property Mgt Fee Growth Rate (choose one):</t>
  </si>
  <si>
    <t>New Construction Basis</t>
  </si>
  <si>
    <t>Rehabilitation Basis</t>
  </si>
  <si>
    <t>Amortizable or Non-Depreciable Basis</t>
  </si>
  <si>
    <t>Housing Authority of City of Danielsville</t>
  </si>
  <si>
    <t>Joint Development Authority of Hazlehurst, Lumber City and Telfair County</t>
  </si>
  <si>
    <t>DCA's Comments / Approval Conditions:</t>
  </si>
  <si>
    <t>Rehab</t>
  </si>
  <si>
    <t>Joint Development Authority of Carroll, Haralson, Polk, Heard and Troup Counties</t>
  </si>
  <si>
    <t>Pitts</t>
  </si>
  <si>
    <t>Partnership Organization Fees</t>
  </si>
  <si>
    <t>Bridge Loan Fee and Bridge Loan Interest</t>
  </si>
  <si>
    <t>Tax Credit Legal Opinion</t>
  </si>
  <si>
    <t>DEVELOPER'S FEE</t>
  </si>
  <si>
    <t>DEVELOPER</t>
  </si>
  <si>
    <t>CO-DEVELOPER 1</t>
  </si>
  <si>
    <t>DEVELOPMENT CONSULTANT</t>
  </si>
  <si>
    <t>OTHER PROJECT TEAM MEMBERS</t>
  </si>
  <si>
    <t>OWNERSHIP CONSULTANT</t>
  </si>
  <si>
    <t>GENERAL CONTRACTOR</t>
  </si>
  <si>
    <t>MANAGEMENT COMPANY</t>
  </si>
  <si>
    <t>ATTORNEY</t>
  </si>
  <si>
    <t>ACCOUNTANT</t>
  </si>
  <si>
    <t>ARCHITECT</t>
  </si>
  <si>
    <t>VIII.</t>
  </si>
  <si>
    <t>Warwick</t>
  </si>
  <si>
    <t>Watkinsville</t>
  </si>
  <si>
    <t>Waverly Hall</t>
  </si>
  <si>
    <t>Waycross</t>
  </si>
  <si>
    <t>Waynesboro</t>
  </si>
  <si>
    <t>West Point</t>
  </si>
  <si>
    <t>Weston</t>
  </si>
  <si>
    <t>Whigham</t>
  </si>
  <si>
    <t>Edison</t>
  </si>
  <si>
    <t>Names of Projects in which an Owner, Developer and Consultant(s) and each of its principals has a direct or indirect Ownership interest:</t>
  </si>
  <si>
    <t>Unrestricted</t>
  </si>
  <si>
    <t>Development Authority of Appling County</t>
  </si>
  <si>
    <t>Bremen</t>
  </si>
  <si>
    <r>
      <t xml:space="preserve">Applicants certify that all selected services will meet QAP policies.  </t>
    </r>
    <r>
      <rPr>
        <b/>
        <u/>
        <sz val="8"/>
        <rFont val="Arial"/>
        <family val="2"/>
      </rPr>
      <t>Does Applicant agree?</t>
    </r>
  </si>
  <si>
    <t>Other service approved by DCA</t>
  </si>
  <si>
    <t>Fort Valley Downtown Development Authority</t>
  </si>
  <si>
    <t>Homeland</t>
  </si>
  <si>
    <t>Fulton County/City of Atlanta Land Bank Authority, Inc.</t>
  </si>
  <si>
    <t>Homer</t>
  </si>
  <si>
    <t>Sustainable Building Certification</t>
  </si>
  <si>
    <t>Hall</t>
  </si>
  <si>
    <t>Hancock</t>
  </si>
  <si>
    <t>Hancock Co.</t>
  </si>
  <si>
    <t>Haralson</t>
  </si>
  <si>
    <t>Harris</t>
  </si>
  <si>
    <t>Hart</t>
  </si>
  <si>
    <t>Hart Co.</t>
  </si>
  <si>
    <t>Heard</t>
  </si>
  <si>
    <t>Henry</t>
  </si>
  <si>
    <t>Houston</t>
  </si>
  <si>
    <t>Irwin</t>
  </si>
  <si>
    <t>Irwin Co.</t>
  </si>
  <si>
    <t>Jackson</t>
  </si>
  <si>
    <t>Jackson Co.</t>
  </si>
  <si>
    <t>Jasper</t>
  </si>
  <si>
    <t>Jeff Davis</t>
  </si>
  <si>
    <t>Jeff Davis Co.</t>
  </si>
  <si>
    <t>Jefferson</t>
  </si>
  <si>
    <t>Jefferson Co.</t>
  </si>
  <si>
    <t>Jenkins</t>
  </si>
  <si>
    <t>Jenkins Co.</t>
  </si>
  <si>
    <t>Johnson</t>
  </si>
  <si>
    <t>Johnson Co.</t>
  </si>
  <si>
    <t>Development Authority of the City of Dalton</t>
  </si>
  <si>
    <t>Dalton</t>
  </si>
  <si>
    <t>Development Authority of the City of Folkston and Charlton County</t>
  </si>
  <si>
    <t>Damascus</t>
  </si>
  <si>
    <t>Development Authority of the City of Homeland</t>
  </si>
  <si>
    <t>Danielsville</t>
  </si>
  <si>
    <t>Development Authority of the City of Jasper</t>
  </si>
  <si>
    <t>Danville</t>
  </si>
  <si>
    <t>Development Authority of the City of Jeffersonville and Twiggs County</t>
  </si>
  <si>
    <t>Darien</t>
  </si>
  <si>
    <t>Development Authority of the City of Marietta</t>
  </si>
  <si>
    <t>Dasher</t>
  </si>
  <si>
    <t>Acquisition/Rehabilitation</t>
  </si>
  <si>
    <t>Substantial Rehabilitation</t>
  </si>
  <si>
    <t>For Acquisition/Rehabilitation, date of original construction:</t>
  </si>
  <si>
    <r>
      <t xml:space="preserve">TAX CREDIT REQUEST - </t>
    </r>
    <r>
      <rPr>
        <sz val="10"/>
        <rFont val="Arial Narrow"/>
        <family val="2"/>
      </rPr>
      <t>Cannot exceed Tax Credit Project Maximum, but may be lower:</t>
    </r>
  </si>
  <si>
    <t>(See note below)</t>
  </si>
  <si>
    <t>Development Authority of Butts County</t>
  </si>
  <si>
    <t>Butler</t>
  </si>
  <si>
    <t>Development Authority of Carroll County</t>
  </si>
  <si>
    <t>Byromville</t>
  </si>
  <si>
    <t>Development Authority of Cartersville</t>
  </si>
  <si>
    <t>Byron</t>
  </si>
  <si>
    <t>Marion</t>
  </si>
  <si>
    <t>% of (Construction Hard Costs, exclusive of Contingency and Contractor Svcs)</t>
  </si>
  <si>
    <t>Townhome Units</t>
  </si>
  <si>
    <t>1-Story Units</t>
  </si>
  <si>
    <t>2-Story Units</t>
  </si>
  <si>
    <t>2-Story Wlkp Units</t>
  </si>
  <si>
    <t>X.</t>
  </si>
  <si>
    <t>XI.</t>
  </si>
  <si>
    <t>XII.</t>
  </si>
  <si>
    <t>Adaptive Reuse</t>
  </si>
  <si>
    <t>Historic Rehab</t>
  </si>
  <si>
    <t>Henry County Development Authority</t>
  </si>
  <si>
    <t>Berrien County Development Authority</t>
  </si>
  <si>
    <t>Andersonville</t>
  </si>
  <si>
    <t>Boston Downtown Development Authority</t>
  </si>
  <si>
    <t>Downtown Development Authority of the City of Tifton</t>
  </si>
  <si>
    <t>Grovetown</t>
  </si>
  <si>
    <t>Downtown Development Authority of the City of Unadilla</t>
  </si>
  <si>
    <t>Gum Branch</t>
  </si>
  <si>
    <t>Downtown Development Authority of the City of Vienna</t>
  </si>
  <si>
    <t>Guyton</t>
  </si>
  <si>
    <t>Marietta</t>
  </si>
  <si>
    <t>Housing Authority of the City of Fitzgerald</t>
  </si>
  <si>
    <t>Marshallville</t>
  </si>
  <si>
    <t>Doerun</t>
  </si>
  <si>
    <t>Development Authority of White County</t>
  </si>
  <si>
    <t>Donalsonville</t>
  </si>
  <si>
    <t>Type of</t>
  </si>
  <si>
    <t>Activity</t>
  </si>
  <si>
    <t>Number of 50% Units</t>
  </si>
  <si>
    <t>3 BR 120% NSP Units</t>
  </si>
  <si>
    <t>4 BR 120% NSP Units</t>
  </si>
  <si>
    <t>Effic 120% NSP SF</t>
  </si>
  <si>
    <t>1 BR 120% NSP SF</t>
  </si>
  <si>
    <t>2 BR 120% NSP SF</t>
  </si>
  <si>
    <t>3 BR 120% NSP SF</t>
  </si>
  <si>
    <t>4 BR 120% NSP SF</t>
  </si>
  <si>
    <t>Housing Authority of the City of Roswell</t>
  </si>
  <si>
    <t>Newborn</t>
  </si>
  <si>
    <t>Housing Authority of the City of Royston</t>
  </si>
  <si>
    <t>Newington</t>
  </si>
  <si>
    <t>Housing Authority of the City of Sandersville</t>
  </si>
  <si>
    <t>Newnan</t>
  </si>
  <si>
    <t>Housing Authority of the City of Senoia</t>
  </si>
  <si>
    <t>(choose only one)</t>
  </si>
  <si>
    <t>Kingston Downtown Development Authority</t>
  </si>
  <si>
    <t>Ranger</t>
  </si>
  <si>
    <t>Grady County, GA</t>
  </si>
  <si>
    <t>Greene County, GA</t>
  </si>
  <si>
    <t>Habersham County, GA</t>
  </si>
  <si>
    <t>Gainesville, GA MSA</t>
  </si>
  <si>
    <t>Hancock County, GA</t>
  </si>
  <si>
    <t>Haralson County, GA HUD Metro FMR Area</t>
  </si>
  <si>
    <t>Hart County, GA</t>
  </si>
  <si>
    <t>Warner Robins, GA MSA</t>
  </si>
  <si>
    <t>Emanuel-Johnson County Development Authority</t>
  </si>
  <si>
    <t>Higgston</t>
  </si>
  <si>
    <t>Etowah Area Consolidated Housing Authority</t>
  </si>
  <si>
    <t>Fairburn Housing Authority</t>
  </si>
  <si>
    <t>Hiltonia</t>
  </si>
  <si>
    <t>Amount of Federal Tax Credits in All Applications:</t>
  </si>
  <si>
    <t>Byron Downtown Development Authority</t>
  </si>
  <si>
    <t>Byron Redevelopment Authority</t>
  </si>
  <si>
    <t>Downtown Development Authority of Hampton</t>
  </si>
  <si>
    <t>Fairburn</t>
  </si>
  <si>
    <t>Wilkes County, GA</t>
  </si>
  <si>
    <t>Wilkinson County, GA</t>
  </si>
  <si>
    <t>N</t>
  </si>
  <si>
    <t>Y</t>
  </si>
  <si>
    <t>FMR MSA Name</t>
  </si>
  <si>
    <t>IX.</t>
  </si>
  <si>
    <t>TOTAL POSSIBLE SCORE</t>
  </si>
  <si>
    <t>(1 pt subtracted each)</t>
  </si>
  <si>
    <t>Jones</t>
  </si>
  <si>
    <t>Lamar</t>
  </si>
  <si>
    <t>Existing Structures</t>
  </si>
  <si>
    <t>Downtown Waycross Development Authority</t>
  </si>
  <si>
    <t>1 BR Rehab LI Units</t>
  </si>
  <si>
    <t>2 BR Rehab LI Units</t>
  </si>
  <si>
    <t>3 BR Rehab LI Units</t>
  </si>
  <si>
    <t>4 BR Rehab LI Units</t>
  </si>
  <si>
    <t>Efficiency New Construction Mkt Units</t>
  </si>
  <si>
    <t>1 BR New Construction Mkt Units</t>
  </si>
  <si>
    <t>2 BR New Construction Mkt Units</t>
  </si>
  <si>
    <t>3 BR New Construction Mkt Units</t>
  </si>
  <si>
    <t>4 BR New Construction Mkt Units</t>
  </si>
  <si>
    <t>X</t>
  </si>
  <si>
    <t>NOTE TO APPLICANTS: If the numbers compiled in this Summary do not appear to match what was entered in the Rent Chart above, please verify that all applicable columns were completed in the rows used in the Rent Chart above.</t>
  </si>
  <si>
    <r>
      <t>Blue-shaded cells are unlocked for your use and</t>
    </r>
    <r>
      <rPr>
        <b/>
        <sz val="9"/>
        <rFont val="Arial Narrow"/>
        <family val="2"/>
      </rPr>
      <t xml:space="preserve"> do not contain</t>
    </r>
    <r>
      <rPr>
        <sz val="9"/>
        <rFont val="Arial Narrow"/>
        <family val="2"/>
      </rPr>
      <t xml:space="preserve"> references/formulas.</t>
    </r>
  </si>
  <si>
    <r>
      <t>Green-shaded cells are unlocked for your use and</t>
    </r>
    <r>
      <rPr>
        <b/>
        <sz val="9"/>
        <rFont val="Arial Narrow"/>
        <family val="2"/>
      </rPr>
      <t xml:space="preserve"> do contain</t>
    </r>
    <r>
      <rPr>
        <sz val="9"/>
        <rFont val="Arial Narrow"/>
        <family val="2"/>
      </rPr>
      <t xml:space="preserve"> references/formulas that can be overwritten.</t>
    </r>
  </si>
  <si>
    <t>Augusta, Georgia Landbank Authority</t>
  </si>
  <si>
    <t>Alma</t>
  </si>
  <si>
    <t>Bacon County Development Authority</t>
  </si>
  <si>
    <t>Alpharetta</t>
  </si>
  <si>
    <t>Banks/Habersham Counties Joint Development Authority</t>
  </si>
  <si>
    <t>Alston</t>
  </si>
  <si>
    <t>Barnesville Housing Authority</t>
  </si>
  <si>
    <t>Alto</t>
  </si>
  <si>
    <t>QCT?</t>
  </si>
  <si>
    <t>DDA?</t>
  </si>
  <si>
    <t>West Point Lake Development Authority</t>
  </si>
  <si>
    <t>Taylorsville</t>
  </si>
  <si>
    <t>Eatonton</t>
  </si>
  <si>
    <t>Seminole County, GA</t>
  </si>
  <si>
    <t>Market Study</t>
  </si>
  <si>
    <t>Acquisition Legal Fees (if existing structures)</t>
  </si>
  <si>
    <r>
      <t xml:space="preserve">Constructed and Rehabilitation Construction Hard Costs - </t>
    </r>
    <r>
      <rPr>
        <sz val="8"/>
        <rFont val="Arial"/>
        <family val="2"/>
      </rPr>
      <t>are the following minimum review standards for rehabilitation projects met or exceeded by this project?</t>
    </r>
  </si>
  <si>
    <t>Standard Design Options for All Projects</t>
  </si>
  <si>
    <t>Major Bldg Component Materials &amp; Upgrades</t>
  </si>
  <si>
    <t>Adairsville Development Authority</t>
  </si>
  <si>
    <t>Adel</t>
  </si>
  <si>
    <t>Does it include the “as is” value, "as built/as complete" (encumbered), "as built/ as complete" (unencumbered) values of the proposed subject property and tax credit value?</t>
  </si>
  <si>
    <t>Enter desired per unit amount:</t>
  </si>
  <si>
    <t>Housing Authority of the City of Macon, Georgia</t>
  </si>
  <si>
    <t>Housing Authority of the City of Madison, GA</t>
  </si>
  <si>
    <t>Montezuma</t>
  </si>
  <si>
    <t>Air Conditioning</t>
  </si>
  <si>
    <t>Front-End Analysis Fee</t>
  </si>
  <si>
    <t>Is Zoning in place at the time of this application submission?</t>
  </si>
  <si>
    <t>Housing Authority of Cobb County</t>
  </si>
  <si>
    <t>Housing Authority of Columbus, Georgia</t>
  </si>
  <si>
    <t>Kennesaw</t>
  </si>
  <si>
    <t>Housing Authority of Fulton County</t>
  </si>
  <si>
    <t>Keysville</t>
  </si>
  <si>
    <t>Housing Authority of Gwinnett County</t>
  </si>
  <si>
    <t>Kingsland</t>
  </si>
  <si>
    <t>PROFESSIONAL SERVICES</t>
  </si>
  <si>
    <t>Architectural Fee - Design</t>
  </si>
  <si>
    <t>Architectural Fee - Supervision</t>
  </si>
  <si>
    <t>Engineering</t>
  </si>
  <si>
    <t>Real Estate Attorney</t>
  </si>
  <si>
    <t>Housing Authority of the City of Hahira, Georgia</t>
  </si>
  <si>
    <t>Meigs</t>
  </si>
  <si>
    <t>Ludowici</t>
  </si>
  <si>
    <t>Equipped play court (basketball, volleyball, shuffleboard or tennis) as appropriate</t>
  </si>
  <si>
    <t>GA-</t>
  </si>
  <si>
    <t>DCA Front End Analysis Fee (HOME, when ID of Interest)</t>
  </si>
  <si>
    <t>0 BR</t>
  </si>
  <si>
    <t>Environmental Report(s)</t>
  </si>
  <si>
    <t>Soil Borings</t>
  </si>
  <si>
    <t>Principal Amount</t>
  </si>
  <si>
    <t>Acquisition Basis</t>
  </si>
  <si>
    <t>Has Applicant/PE completed the HOME and HUD Environmental Questionnaire?</t>
  </si>
  <si>
    <t>Fayette County Development Authority</t>
  </si>
  <si>
    <t>Hiram</t>
  </si>
  <si>
    <t>Is there is an identity of interest between the buyer and seller of the project?</t>
  </si>
  <si>
    <t>West Point Development Authority</t>
  </si>
  <si>
    <t>Efficiency Rehab LI Units</t>
  </si>
  <si>
    <t>Efficiency PHA Oper Sub 30% Units</t>
  </si>
  <si>
    <t>1 BR PHA Oper Sub 30% Units</t>
  </si>
  <si>
    <t>2 BR PHA Oper Sub 30% Units</t>
  </si>
  <si>
    <t>3 BR PHA Oper Sub 30% Units</t>
  </si>
  <si>
    <t>4 BR PHA Oper Sub 30% Units</t>
  </si>
  <si>
    <t>The Development Authority of the City of Camilla</t>
  </si>
  <si>
    <t>Social Circle</t>
  </si>
  <si>
    <t>7.</t>
  </si>
  <si>
    <t>8.</t>
  </si>
  <si>
    <t>USDA Spread</t>
  </si>
  <si>
    <t>(aka Interest Assistance Rate in USDA Handbook)</t>
  </si>
  <si>
    <t>see UCL</t>
  </si>
  <si>
    <t>LIHTC</t>
  </si>
  <si>
    <t>Nbr</t>
  </si>
  <si>
    <t>Gordon County - Floyd County Development Authority</t>
  </si>
  <si>
    <t>Ila</t>
  </si>
  <si>
    <t>8)</t>
  </si>
  <si>
    <t>9)</t>
  </si>
  <si>
    <t>10)</t>
  </si>
  <si>
    <t>Is there a Waiver Approval Letter From DCA included in this application for this criterion as it pertains to single-family detached Rural projects?</t>
  </si>
  <si>
    <t>DCA Utility Region for project:</t>
  </si>
  <si>
    <t>TC Equity</t>
  </si>
  <si>
    <t>Equity Check</t>
  </si>
  <si>
    <t>+ / -</t>
  </si>
  <si>
    <t>LIHTC Allocation Processing Fee</t>
  </si>
  <si>
    <t>% of Total Units</t>
  </si>
  <si>
    <t>Metter</t>
  </si>
  <si>
    <t>Housing Authority of the City of Hogansville</t>
  </si>
  <si>
    <t>Midville</t>
  </si>
  <si>
    <t>Housing Authority of the City of Jasper</t>
  </si>
  <si>
    <t>Midway</t>
  </si>
  <si>
    <t>Housing Authority of the City of Jefferson</t>
  </si>
  <si>
    <t>Milan</t>
  </si>
  <si>
    <t>Housing Authority of the City of Jesup</t>
  </si>
  <si>
    <t>Milledgeville</t>
  </si>
  <si>
    <t>VI.</t>
  </si>
  <si>
    <t>Invstmt Earnings: T-E Bonds</t>
  </si>
  <si>
    <t>Building</t>
  </si>
  <si>
    <t>Property Tax Abatement</t>
  </si>
  <si>
    <t>UNIT SUMMARY</t>
  </si>
  <si>
    <t>1BR</t>
  </si>
  <si>
    <t>2BR</t>
  </si>
  <si>
    <t>3BR</t>
  </si>
  <si>
    <t>4BR</t>
  </si>
  <si>
    <t>Total</t>
  </si>
  <si>
    <t>Structure</t>
  </si>
  <si>
    <t>Housing Authority of the City of Lakeland, Georgia</t>
  </si>
  <si>
    <t>Millen</t>
  </si>
  <si>
    <t>Housing Authority of the City of Lavonia</t>
  </si>
  <si>
    <t>Milner</t>
  </si>
  <si>
    <t>No. of</t>
  </si>
  <si>
    <t>Cumming</t>
  </si>
  <si>
    <t>Development Authority of Seminole County and Donalsonville</t>
  </si>
  <si>
    <t>Cusseta</t>
  </si>
  <si>
    <t>FHA Insured Mortgage</t>
  </si>
  <si>
    <t>Historic Rehab Credits</t>
  </si>
  <si>
    <t>CDBG</t>
  </si>
  <si>
    <t>Issuer:</t>
  </si>
  <si>
    <t>Inducement Date:</t>
  </si>
  <si>
    <t>If an appraisal is included, indicate Appraiser's Name and answer the following questions:</t>
  </si>
  <si>
    <t>Appraiser's Name:</t>
  </si>
  <si>
    <t>Efficiency PBRA 30% Units</t>
  </si>
  <si>
    <t>1 BR PBRA 30% Units</t>
  </si>
  <si>
    <t>On site laundry type:</t>
  </si>
  <si>
    <t>Housing Authority of the City of West Point</t>
  </si>
  <si>
    <t>Oxford</t>
  </si>
  <si>
    <t>Housing Authority of the City of Winder</t>
  </si>
  <si>
    <t>Palmetto</t>
  </si>
  <si>
    <t>Housing Authority of the City of Woodbury, Georgia</t>
  </si>
  <si>
    <t>Parrott</t>
  </si>
  <si>
    <t>Duplex</t>
  </si>
  <si>
    <t>Manufactured home</t>
  </si>
  <si>
    <t>FINAL THRESHOLD DETERMINATION (DCA Use Only)</t>
  </si>
  <si>
    <t>Efficiency</t>
  </si>
  <si>
    <t>Resources will be utilized if the project is selected for funding by DCA</t>
  </si>
  <si>
    <t>Loans are for both construction and permanent financing phases</t>
  </si>
  <si>
    <t xml:space="preserve">Loans are for a minimum period of ten years and reflect interest rates at or below AFR. </t>
  </si>
  <si>
    <t>Downtown Development Authority of Monticello, Georgia</t>
  </si>
  <si>
    <t>Flovilla</t>
  </si>
  <si>
    <t>III.  Applicant Comments &amp; Clarifications</t>
  </si>
  <si>
    <t>APPLICANT COMMENTS AND CLARIFICATIONS</t>
  </si>
  <si>
    <t>Downtown Development Authority of the City of Thomson</t>
  </si>
  <si>
    <t>Griffin</t>
  </si>
  <si>
    <t>Social and recreational programs planned and overseen by project mgr</t>
  </si>
  <si>
    <t>Commitment or award documentation meets the terms and conditions as applicable specified in Appendix I, Threshold Criteria, Section I (I).</t>
  </si>
  <si>
    <t>MSA/NonMSA:</t>
  </si>
  <si>
    <t>2 BR PBRA 30% Units</t>
  </si>
  <si>
    <t>3 BR PBRA 30% Units</t>
  </si>
  <si>
    <t>4 BR PBRA 30% Units</t>
  </si>
  <si>
    <t>Efficiency PBRA 50% Units</t>
  </si>
  <si>
    <t>1 BR PBRA 50% Units</t>
  </si>
  <si>
    <t>2 BR PBRA 50% Units</t>
  </si>
  <si>
    <t>3 BR PBRA 50% Units</t>
  </si>
  <si>
    <t>4 BR PBRA 50% Units</t>
  </si>
  <si>
    <t>Efficiency PBRA 60% Units</t>
  </si>
  <si>
    <t>1 BR PBRA 60% Units</t>
  </si>
  <si>
    <t>Housing Authority of the City of Lithonia, Georgia</t>
  </si>
  <si>
    <t>Housing Authority of the City of Loganville, GA</t>
  </si>
  <si>
    <t>Housing Authority of the City of Nahunta</t>
  </si>
  <si>
    <t>Equipped Computer Center (must have high-speed internet access for every computer, and one computer and printer for every 25 units)</t>
  </si>
  <si>
    <t>Washers and dryers are installed and maintained in every unit at no additional cost to tenants</t>
  </si>
  <si>
    <t>Furnished Exercise/Fitness Center</t>
  </si>
  <si>
    <t>1 BR Acq/Rhb Mkt Units</t>
  </si>
  <si>
    <t>2 BR Acq/Rhb Mkt Units</t>
  </si>
  <si>
    <t>3 BR Acq/Rhb Mkt Units</t>
  </si>
  <si>
    <t>4 BR Acq/Rhb Mkt Units</t>
  </si>
  <si>
    <t>k)</t>
  </si>
  <si>
    <t>A)</t>
  </si>
  <si>
    <t>See QAP Scoring for further requirements. Applicants must complete Desirable/Undesirable Certification form.</t>
  </si>
  <si>
    <t>Downtown Development Authority of the City of Warrenton</t>
  </si>
  <si>
    <t>Development Authority of Peach County</t>
  </si>
  <si>
    <t>Development Authority of Peachtree City</t>
  </si>
  <si>
    <t>Cornelia</t>
  </si>
  <si>
    <t>Development Authority of Pike County</t>
  </si>
  <si>
    <t>Covington</t>
  </si>
  <si>
    <t>Development Authority of Polk County</t>
  </si>
  <si>
    <t>Development Authority of Rabun County</t>
  </si>
  <si>
    <t>Development Authority of Richmond County</t>
  </si>
  <si>
    <t>Crawfordville</t>
  </si>
  <si>
    <t>Development Authority of Rockdale County</t>
  </si>
  <si>
    <t>Culloden</t>
  </si>
  <si>
    <t>Development Authority of Screven County</t>
  </si>
  <si>
    <t>Paid By (check one)</t>
  </si>
  <si>
    <t>OTHER COSTS</t>
  </si>
  <si>
    <t>Relocation</t>
  </si>
  <si>
    <t>+</t>
  </si>
  <si>
    <t>Lavonia</t>
  </si>
  <si>
    <t>Expenses less Mgt Fee</t>
  </si>
  <si>
    <t>Number of Public Housing Units reserved and rented to public housing tenants:</t>
  </si>
  <si>
    <t>I.</t>
  </si>
  <si>
    <t>Project Name</t>
  </si>
  <si>
    <t>City</t>
  </si>
  <si>
    <t>County</t>
  </si>
  <si>
    <t>Athens-Clarke County, GA MSA</t>
  </si>
  <si>
    <t>Clay County, GA</t>
  </si>
  <si>
    <t>Clinch County, GA</t>
  </si>
  <si>
    <t>Coffee County, GA</t>
  </si>
  <si>
    <t>Colquitt County, GA</t>
  </si>
  <si>
    <t>Cook County, GA</t>
  </si>
  <si>
    <t>Crisp County, GA</t>
  </si>
  <si>
    <t>Decatur County, GA</t>
  </si>
  <si>
    <t>DeKalb</t>
  </si>
  <si>
    <t>Brooklet</t>
  </si>
  <si>
    <t>Cadwell</t>
  </si>
  <si>
    <t>Hazlehurst</t>
  </si>
  <si>
    <t>Lake City</t>
  </si>
  <si>
    <t>Development Authority for the City of Savannah</t>
  </si>
  <si>
    <t>Braswell</t>
  </si>
  <si>
    <t>Public water</t>
  </si>
  <si>
    <t>Date of Utility Allowances</t>
  </si>
  <si>
    <t>Political Jurisdiction</t>
  </si>
  <si>
    <t>Name of Chief Elected Official</t>
  </si>
  <si>
    <t>Acquisition</t>
  </si>
  <si>
    <t>Participant</t>
  </si>
  <si>
    <t>Deferred Developer Fees</t>
  </si>
  <si>
    <t>Tenant</t>
  </si>
  <si>
    <r>
      <t>NOT</t>
    </r>
    <r>
      <rPr>
        <i/>
        <sz val="10"/>
        <color indexed="10"/>
        <rFont val="Arial"/>
        <family val="2"/>
      </rPr>
      <t xml:space="preserve"> Included in Mgt Fee:</t>
    </r>
  </si>
  <si>
    <t>I am responsible for all calculations and figures relating to the determination of the eligible basis of the building(s).  I understand and agree that the amount of the credit is allocated by reference to the figures that I submit as to eligible and qualified basis.  I understand that the actual amount of credit allocated may vary somewhat from the amount initially reserved or committed due to (a) the determination by the Georgia Department of Community Affairs ("DCA") as to the amount of credit necessary for the financial feasibility of the project and its viability as a qualified low-income housing project; (b) revisions in the calculations of eligible and qualified basis as finally determined; (c) fluctuations in the prevailing credit percentage; and (d) availability of the credit.</t>
  </si>
  <si>
    <t>Off Site Improvement, Amenity and Facility Investment</t>
  </si>
  <si>
    <t>Urban Redevelopment Agency of the City of Canton</t>
  </si>
  <si>
    <t>Sumner</t>
  </si>
  <si>
    <t>Urban Redevelopment Agency of the City of Dallas</t>
  </si>
  <si>
    <t>Urban Redevelopment Agency of the City of Duluth</t>
  </si>
  <si>
    <t>Housing Authority of the City of Harlem, Georgia</t>
  </si>
  <si>
    <t>Irwin County, GA</t>
  </si>
  <si>
    <t>Jackson County, GA</t>
  </si>
  <si>
    <t>Jeff Davis County, GA</t>
  </si>
  <si>
    <t>NONPROFIT SPONSOR</t>
  </si>
  <si>
    <t>DEVELOPER(S)</t>
  </si>
  <si>
    <t>Developer</t>
  </si>
  <si>
    <t>(Enter phone numbers without using hyphens, parentheses, etc - ex: 1234567890)</t>
  </si>
  <si>
    <t>Evans Co.</t>
  </si>
  <si>
    <t>Fannin</t>
  </si>
  <si>
    <t>Fannin Co.</t>
  </si>
  <si>
    <t>Fayette</t>
  </si>
  <si>
    <t>Floyd</t>
  </si>
  <si>
    <t>Forsyth</t>
  </si>
  <si>
    <t>Franklin</t>
  </si>
  <si>
    <t>Franklin Co.</t>
  </si>
  <si>
    <t>Gilmer</t>
  </si>
  <si>
    <t>Gilmer Co.</t>
  </si>
  <si>
    <t>Glascock</t>
  </si>
  <si>
    <t>Glascock Co.</t>
  </si>
  <si>
    <t>Glynn</t>
  </si>
  <si>
    <t>Gordon</t>
  </si>
  <si>
    <t>Gordon Co.</t>
  </si>
  <si>
    <t>Grady</t>
  </si>
  <si>
    <t>Grady Co.</t>
  </si>
  <si>
    <t>Greene</t>
  </si>
  <si>
    <t>Greene Co.</t>
  </si>
  <si>
    <t>Downtown Development Authority of Moultrie</t>
  </si>
  <si>
    <t>Flowery Branch</t>
  </si>
  <si>
    <t>Development Authority of Forsyth County</t>
  </si>
  <si>
    <t>Chickamauga</t>
  </si>
  <si>
    <t>Downtown Development Authority of Millen, Georgia</t>
  </si>
  <si>
    <t>Operating Deficit Reserve:</t>
  </si>
  <si>
    <t>Downtown Development Authority of the City of Newnan, Georgia</t>
  </si>
  <si>
    <t>Glennville</t>
  </si>
  <si>
    <t>Owner agrees that they must refrain from undertaking any activities that could have an adverse effect on the subject property?</t>
  </si>
  <si>
    <t>Name of Entity with site control:</t>
  </si>
  <si>
    <t>I understand and agree that neither DCA nor any of its individual directors, employees, members, officers, or agents assume any responsibility or make any representations or warranties with respect to: (i) the amount or availability of credit for the project; or (ii) the financial feasibility of the project.</t>
  </si>
  <si>
    <t>Consolidated Housing Authority of Talbot County, Georgia</t>
  </si>
  <si>
    <t>Bowdon</t>
  </si>
  <si>
    <t>Menlo</t>
  </si>
  <si>
    <t>Housing Authority of the City of Hartwell</t>
  </si>
  <si>
    <t>Housing Authority of the City of Hinesville, Ga</t>
  </si>
  <si>
    <t>Chattahoochee Hill Country</t>
  </si>
  <si>
    <t>De Soto</t>
  </si>
  <si>
    <t>Dunwoody</t>
  </si>
  <si>
    <t>Johns Creek</t>
  </si>
  <si>
    <t>Milton</t>
  </si>
  <si>
    <t>Long County, GA HUD Metro FMR Area</t>
  </si>
  <si>
    <t>Lumpkin County, GA</t>
  </si>
  <si>
    <t>Macon County, GA</t>
  </si>
  <si>
    <t>Meriwether County, GA HUD Metro FMR Area</t>
  </si>
  <si>
    <t>Miller County, GA</t>
  </si>
  <si>
    <t>Mitchell County, GA</t>
  </si>
  <si>
    <t>Monroe County, GA HUD Metro FMR Area</t>
  </si>
  <si>
    <t>Montgomery County, GA</t>
  </si>
  <si>
    <t>Morgan County, GA</t>
  </si>
  <si>
    <t>State legal opinions included in application using boxes provided.</t>
  </si>
  <si>
    <t>[Date]</t>
  </si>
  <si>
    <t>Housing Authority of the City of Oakwood, Georgia</t>
  </si>
  <si>
    <t>Mount Zion</t>
  </si>
  <si>
    <t>Housing Authority of the City of Ocilla, Ga</t>
  </si>
  <si>
    <t>Mountain City</t>
  </si>
  <si>
    <t>Re:  Application for Low-Income Housing Tax Credit and/or HOME Funding</t>
  </si>
  <si>
    <t>City of Stockbridge, Georgia Downtown Development Authority</t>
  </si>
  <si>
    <t>Bluffton</t>
  </si>
  <si>
    <t>City of Sugar Hill Downtown Development Authority</t>
  </si>
  <si>
    <t>Blythe</t>
  </si>
  <si>
    <t>City of Sylvania Downtown Development Authority</t>
  </si>
  <si>
    <t>Bogart</t>
  </si>
  <si>
    <t>City of Washington Downtown Development Authority</t>
  </si>
  <si>
    <t>Housing Authority of the City of Lawrenceville, GA</t>
  </si>
  <si>
    <t>Downtown Development Authority for the City of Warner Robins</t>
  </si>
  <si>
    <t>Duluth</t>
  </si>
  <si>
    <t>If yes, then state the applicable financial assistance/funding:</t>
  </si>
  <si>
    <r>
      <t>Type of Construction</t>
    </r>
    <r>
      <rPr>
        <sz val="10"/>
        <rFont val="Arial Narrow"/>
        <family val="2"/>
      </rPr>
      <t>:</t>
    </r>
  </si>
  <si>
    <r>
      <t xml:space="preserve">HUD funded affordable </t>
    </r>
    <r>
      <rPr>
        <b/>
        <u/>
        <sz val="10"/>
        <rFont val="Arial Narrow"/>
        <family val="2"/>
      </rPr>
      <t>non</t>
    </r>
    <r>
      <rPr>
        <sz val="10"/>
        <rFont val="Arial Narrow"/>
        <family val="2"/>
      </rPr>
      <t>public housing project</t>
    </r>
  </si>
  <si>
    <t>Southface Energy Institute's Earth Craft House construction and certification</t>
  </si>
  <si>
    <t>US Green Building Council's LEED For Homes construction and certification</t>
  </si>
  <si>
    <t>SUMMARY OF DCA UNDERWRITING ASSUMPTIONS</t>
  </si>
  <si>
    <t>CONSTRUCTION PERIOD FINANCING</t>
  </si>
  <si>
    <t>Construction Period Real Estate Tax</t>
  </si>
  <si>
    <t>PERMANENT FINANCING FEES</t>
  </si>
  <si>
    <t>DCA-RELATED COSTS</t>
  </si>
  <si>
    <t xml:space="preserve">Financial and Other Adjustments </t>
  </si>
  <si>
    <t>Northwest Georgia Housing Authority</t>
  </si>
  <si>
    <t>Riverside</t>
  </si>
  <si>
    <t>Northwest Georgia Joint Development Authority</t>
  </si>
  <si>
    <t>Camden Co.</t>
  </si>
  <si>
    <t>Candler</t>
  </si>
  <si>
    <t>Candler Co.</t>
  </si>
  <si>
    <t>Carroll</t>
  </si>
  <si>
    <t>Taylor County Development Authority</t>
  </si>
  <si>
    <t>Shiloh</t>
  </si>
  <si>
    <t>State Senate</t>
  </si>
  <si>
    <t>State House</t>
  </si>
  <si>
    <t>If on boundary, other district:</t>
  </si>
  <si>
    <t>Projected Place-In-Service Date</t>
  </si>
  <si>
    <t>II.</t>
  </si>
  <si>
    <t>Other:</t>
  </si>
  <si>
    <t>III.</t>
  </si>
  <si>
    <t>Joint Development Authority of Jeff Davis County, Hazlehurst and Denton, Georgia</t>
  </si>
  <si>
    <t>Portal</t>
  </si>
  <si>
    <t>Joint Development Authority of Metropolitan Atlanta</t>
  </si>
  <si>
    <t>Cuthbert</t>
  </si>
  <si>
    <t>Development Authority of Talbot County</t>
  </si>
  <si>
    <t>Dacula</t>
  </si>
  <si>
    <t>C.</t>
  </si>
  <si>
    <t>Federal Limited Partner</t>
  </si>
  <si>
    <t>State Limited Partner</t>
  </si>
  <si>
    <t>Does the Applicant anticipate displacing or relocating any tenants?</t>
  </si>
  <si>
    <t>LIHTC Compliance Monitoring Fee</t>
  </si>
  <si>
    <t>Mount Airy</t>
  </si>
  <si>
    <t>Mount Vernon</t>
  </si>
  <si>
    <t>1 BR 60% Units</t>
  </si>
  <si>
    <t>2 BR 60% Units</t>
  </si>
  <si>
    <t>3 BR 60% Units</t>
  </si>
  <si>
    <t>4 BR 60% Units</t>
  </si>
  <si>
    <t>DCA Loan / LIHTC Application Fee</t>
  </si>
  <si>
    <t>Hard Costs</t>
  </si>
  <si>
    <t>If yes, expiration year:</t>
  </si>
  <si>
    <t>Fed Tax ID:</t>
  </si>
  <si>
    <t>DCA HOME Cash Resrv.</t>
  </si>
  <si>
    <t>Atlanta-Sandy Springs-Marietta</t>
  </si>
  <si>
    <t>Augusta-Richmond Co.</t>
  </si>
  <si>
    <t>Haralson Co.</t>
  </si>
  <si>
    <t>Lamar Co.</t>
  </si>
  <si>
    <t>Hinesville-Fort Stewart</t>
  </si>
  <si>
    <t>Meriwether Co.</t>
  </si>
  <si>
    <t>Oper Exp Coverage Ratio</t>
  </si>
  <si>
    <t>Southwest Georgia Joint Development Authority</t>
  </si>
  <si>
    <t>VII.</t>
  </si>
  <si>
    <t>Maximum is project-specific</t>
  </si>
  <si>
    <t>Guidebook Met?</t>
  </si>
  <si>
    <t>DCA Pre-approved?</t>
  </si>
  <si>
    <t>a. Powder-based stovetop fire suppression canisters installed above the range cook top, OR</t>
  </si>
  <si>
    <t>Northeast Georgia Housing Authority</t>
  </si>
  <si>
    <t>Riverdale</t>
  </si>
  <si>
    <t>Calhoun Downtown Development Authority</t>
  </si>
  <si>
    <t>Attapulgus</t>
  </si>
  <si>
    <t>Camden County Joint Development Authority</t>
  </si>
  <si>
    <t>Downtown Development Authority of Snellville, Georgia</t>
  </si>
  <si>
    <t>Downtown Development Authority of Social Circle</t>
  </si>
  <si>
    <t>D/S Other Source</t>
  </si>
  <si>
    <t>DCR Other Source</t>
  </si>
  <si>
    <t>Other Source Balance</t>
  </si>
  <si>
    <t>Asset Management Fee Amount</t>
  </si>
  <si>
    <t>Downtown Development Authority of the City of Canton, Georgia</t>
  </si>
  <si>
    <t>Downtown Development Authority of the City of Dallas, Georgia</t>
  </si>
  <si>
    <t>Franklin Springs</t>
  </si>
  <si>
    <t>Downtown Development Authority of the City of Darien</t>
  </si>
  <si>
    <t>Coweta County Development Authority</t>
  </si>
  <si>
    <t>Development Authority of Tift County</t>
  </si>
  <si>
    <t>Deepstep</t>
  </si>
  <si>
    <t>Development Authority of Union County</t>
  </si>
  <si>
    <t>Demorest</t>
  </si>
  <si>
    <t>Development Authority of Vidalia</t>
  </si>
  <si>
    <t>Denton</t>
  </si>
  <si>
    <t>Nbr of Units Equipped:</t>
  </si>
  <si>
    <t>Number Occupied</t>
  </si>
  <si>
    <t>Utility</t>
  </si>
  <si>
    <t>Allowance</t>
  </si>
  <si>
    <t>PERMANENT FINANCING</t>
  </si>
  <si>
    <t>State, Local, or Private Grant</t>
  </si>
  <si>
    <t>Federal Housing Credit Equity</t>
  </si>
  <si>
    <t>State Housing Credit Equity</t>
  </si>
  <si>
    <t>Assumed Family Size Adjustments</t>
  </si>
  <si>
    <t>Adj</t>
  </si>
  <si>
    <t>AFS</t>
  </si>
  <si>
    <t># Bdrms</t>
  </si>
  <si>
    <t>Applicable QAP:</t>
  </si>
  <si>
    <t>Efficiency PBRA SF</t>
  </si>
  <si>
    <t>1 BR PBRA SF</t>
  </si>
  <si>
    <t>2 BR PBRA SF</t>
  </si>
  <si>
    <t>3 BR PBRA SF</t>
  </si>
  <si>
    <t>4 BR PBRA SF</t>
  </si>
  <si>
    <t>ANNUAL TOTAL</t>
  </si>
  <si>
    <t>Sandy Springs</t>
  </si>
  <si>
    <t>St. Marys</t>
  </si>
  <si>
    <t>Sunny Side</t>
  </si>
  <si>
    <t>Tunnell Hill</t>
  </si>
  <si>
    <t>Housing Authority of the City of Cedartown, Ga.</t>
  </si>
  <si>
    <t>Housing Authority of the City of Clarkesville, Ga.</t>
  </si>
  <si>
    <t>Lithonia</t>
  </si>
  <si>
    <t>Housing Authority of the City of Clarkston</t>
  </si>
  <si>
    <t>Housing Authority of the City of Clayton, Georgia</t>
  </si>
  <si>
    <t>Locust Grove</t>
  </si>
  <si>
    <t>Bibb City</t>
  </si>
  <si>
    <t>Corinth</t>
  </si>
  <si>
    <t>Linwood</t>
  </si>
  <si>
    <t>Lithia Springs</t>
  </si>
  <si>
    <t>Mineral Bluff</t>
  </si>
  <si>
    <t>Naylor</t>
  </si>
  <si>
    <t>Omaha</t>
  </si>
  <si>
    <t>Russell</t>
  </si>
  <si>
    <t>The Rock</t>
  </si>
  <si>
    <t>Wrightsville</t>
  </si>
  <si>
    <t>Yatesville</t>
  </si>
  <si>
    <t>Young Harris</t>
  </si>
  <si>
    <t>Zebulon</t>
  </si>
  <si>
    <t>AL</t>
  </si>
  <si>
    <t>AK</t>
  </si>
  <si>
    <t>AZ</t>
  </si>
  <si>
    <t>AR</t>
  </si>
  <si>
    <t>CA</t>
  </si>
  <si>
    <t>CO</t>
  </si>
  <si>
    <t>CT</t>
  </si>
  <si>
    <t>DE</t>
  </si>
  <si>
    <t>DC</t>
  </si>
  <si>
    <t>FL</t>
  </si>
  <si>
    <t>GA</t>
  </si>
  <si>
    <t>HI</t>
  </si>
  <si>
    <t>ID</t>
  </si>
  <si>
    <t>IL</t>
  </si>
  <si>
    <t>IN</t>
  </si>
  <si>
    <t>IA</t>
  </si>
  <si>
    <t>KS</t>
  </si>
  <si>
    <t>KY</t>
  </si>
  <si>
    <t>LA</t>
  </si>
  <si>
    <t>ME</t>
  </si>
  <si>
    <t>MD</t>
  </si>
  <si>
    <t>MA</t>
  </si>
  <si>
    <t>MI</t>
  </si>
  <si>
    <t>MN</t>
  </si>
  <si>
    <t>MS</t>
  </si>
  <si>
    <t>Downtown Marietta Development Authority</t>
  </si>
  <si>
    <t>Harrison</t>
  </si>
  <si>
    <t>Downtown Savannah Authority</t>
  </si>
  <si>
    <t>Hartwell</t>
  </si>
  <si>
    <t>Downtown Statesboro Development Authority</t>
  </si>
  <si>
    <t>Redecorating</t>
  </si>
  <si>
    <t xml:space="preserve">  20% of HOME-Assisted Units at 50% of AMI</t>
  </si>
  <si>
    <t>40% of Units at 60% of AMI</t>
  </si>
  <si>
    <t>Taylor Co.</t>
  </si>
  <si>
    <t>Telfair</t>
  </si>
  <si>
    <t>Telfair Co.</t>
  </si>
  <si>
    <t>Douglas</t>
  </si>
  <si>
    <t>Early</t>
  </si>
  <si>
    <t>Early Co.</t>
  </si>
  <si>
    <t>Echols</t>
  </si>
  <si>
    <t>Effingham</t>
  </si>
  <si>
    <t>Elbert</t>
  </si>
  <si>
    <t>Elbert Co.</t>
  </si>
  <si>
    <t>Efficiency PHA Oper Sub 50% Units</t>
  </si>
  <si>
    <t>1 BR PHA Oper Sub 50% Units</t>
  </si>
  <si>
    <t>2 BR PHA Oper Sub 50% Units</t>
  </si>
  <si>
    <t>3 BR PHA Oper Sub 50% Units</t>
  </si>
  <si>
    <t>4 BR PHA Oper Sub 50% Units</t>
  </si>
  <si>
    <t>Efficiency PHA Oper Sub 60% Units</t>
  </si>
  <si>
    <t>1 BR PHA Oper Sub 60% Units</t>
  </si>
  <si>
    <t>2 BR PHA Oper Sub 60% Units</t>
  </si>
  <si>
    <t>3 BR PHA Oper Sub 60% Units</t>
  </si>
  <si>
    <t>4 BR PHA Oper Sub 60% Units</t>
  </si>
  <si>
    <t>PHA Operating Subsidy-Assisted</t>
  </si>
  <si>
    <t>(Includes manager units that are income restricted)</t>
  </si>
  <si>
    <t>Development Authority of Lumpkin County</t>
  </si>
  <si>
    <t>Development Authority of Macon County</t>
  </si>
  <si>
    <t>Comer</t>
  </si>
  <si>
    <t>Development Authority of McDuffie County</t>
  </si>
  <si>
    <t>Commerce</t>
  </si>
  <si>
    <t>Development Authority of McDuffie County and the City of Thomson</t>
  </si>
  <si>
    <t>Concord</t>
  </si>
  <si>
    <t>Downtown Development Authority of the City of Greensboro</t>
  </si>
  <si>
    <t>Garfield</t>
  </si>
  <si>
    <t>DEVELOPMENT BUDGET</t>
  </si>
  <si>
    <t>Downtown Development Authority of the City of LaFayette</t>
  </si>
  <si>
    <t>Geneva</t>
  </si>
  <si>
    <t>Downtown Development Authority of the City of LaGrange</t>
  </si>
  <si>
    <t>Georgetown</t>
  </si>
  <si>
    <t>Downtown Development Authority of the City of Locust Grove</t>
  </si>
  <si>
    <t>Gibson</t>
  </si>
  <si>
    <t>Downtown Development Authority of the City of Monroe</t>
  </si>
  <si>
    <t>Gillsville</t>
  </si>
  <si>
    <t>Downtown Development Authority of the City of Morrow, Georgia</t>
  </si>
  <si>
    <t>Girard</t>
  </si>
  <si>
    <t>1 BR 30% SF</t>
  </si>
  <si>
    <t>2 BR 30% SF</t>
  </si>
  <si>
    <t>3 BR 30% SF</t>
  </si>
  <si>
    <t>4 BR 30% SF</t>
  </si>
  <si>
    <t>1 BR Mkt SF</t>
  </si>
  <si>
    <t>2 BR Mkt SF</t>
  </si>
  <si>
    <t>3 BR Mkt SF</t>
  </si>
  <si>
    <t>4 BR Mkt SF</t>
  </si>
  <si>
    <t>Efficiency 60% Units</t>
  </si>
  <si>
    <t>Efficiency 50% Units</t>
  </si>
  <si>
    <t>Efficiency 30% Units</t>
  </si>
  <si>
    <t>APPLICANT/OWNER</t>
  </si>
  <si>
    <t>Printed Name</t>
  </si>
  <si>
    <t>Signature</t>
  </si>
  <si>
    <t>Date</t>
  </si>
  <si>
    <t>[SEAL]</t>
  </si>
  <si>
    <t>(Select an energy standard from options provided here)</t>
  </si>
  <si>
    <t>Total OI in Mgt Fee</t>
  </si>
  <si>
    <t>Real Estate Taxes (Gross)*</t>
  </si>
  <si>
    <t>Annual Debt Service at Effective Rate</t>
  </si>
  <si>
    <t>2 BR PBRA 60% Units</t>
  </si>
  <si>
    <t>3 BR PBRA 60% Units</t>
  </si>
  <si>
    <t>4 BR PBRA 60% Units</t>
  </si>
  <si>
    <t>PBRA-Assisted</t>
  </si>
  <si>
    <t>Applicant Response</t>
  </si>
  <si>
    <t>Thomasville Downtown Development Authority</t>
  </si>
  <si>
    <t>Stillmore</t>
  </si>
  <si>
    <t>Tift County Development Authority</t>
  </si>
  <si>
    <t>Stockbridge</t>
  </si>
  <si>
    <t>Tift-Turner-Worth-Cook Joint Development Authority</t>
  </si>
  <si>
    <t>Roberta</t>
  </si>
  <si>
    <t>Gainesville and Hall County Development Authority</t>
  </si>
  <si>
    <t>Homerville</t>
  </si>
  <si>
    <t>Southeast Georgia Regional Development Authority</t>
  </si>
  <si>
    <t>Adairsville</t>
  </si>
  <si>
    <t>Applicant agrees and understands that it may be charged for all fees and costs incurred by DCA in the inspection of funded properties during and after construction and in the enforcement of DCA regulations and policies.</t>
  </si>
  <si>
    <t xml:space="preserve">ARI rated furnace (90% AFUE) or heat pump (HSPF 8.0 for both HP 2 ton and HP 1.5 ton units) </t>
  </si>
  <si>
    <t>LIHTC Allocation Fee</t>
  </si>
  <si>
    <t>LIHTC Fee</t>
  </si>
  <si>
    <t>Percent of Credit Request</t>
  </si>
  <si>
    <t>4% LIHTC IRS Form 8609 Fee</t>
  </si>
  <si>
    <t>Compliance Monitoring Fee</t>
  </si>
  <si>
    <t>Dodge Co.</t>
  </si>
  <si>
    <t>Dooly</t>
  </si>
  <si>
    <t>Dooly Co.</t>
  </si>
  <si>
    <t>Dougherty</t>
  </si>
  <si>
    <t>NOTE:  If this section is completed, then Applicant must also complete the "Additional HUD Requirements" section in the Threshold Criteria tab.</t>
  </si>
  <si>
    <t>Efficiency Common Space SF</t>
  </si>
  <si>
    <t>1 BR Common Space SF</t>
  </si>
  <si>
    <t>2 BR Common Space SF</t>
  </si>
  <si>
    <t>3 BR Common Space SF</t>
  </si>
  <si>
    <t>Downtown Development Authority of the City of Perry</t>
  </si>
  <si>
    <t>Good Hope</t>
  </si>
  <si>
    <t>If Yes, indicate DCA Project Nbr and Project Name of that phase:</t>
  </si>
  <si>
    <t>Was the community originally designed as one development with different phases?</t>
  </si>
  <si>
    <t>Are any other phases for this project also submitted during the current funding round?</t>
  </si>
  <si>
    <t>Was site control over the entire site (including all phases) in place when the initial phase was closed?</t>
  </si>
  <si>
    <t>Housing Authority of the City of Augusta, Georgia</t>
  </si>
  <si>
    <t>Lawrenceville</t>
  </si>
  <si>
    <t>Housing Authority of the City of Bainbridge</t>
  </si>
  <si>
    <t>Leary</t>
  </si>
  <si>
    <t>LESSER OF % of Construction Hard Costs</t>
  </si>
  <si>
    <t>N/A</t>
  </si>
  <si>
    <t>Rehabilitation</t>
  </si>
  <si>
    <t>Acq / Rehab</t>
  </si>
  <si>
    <t>Acq portion</t>
  </si>
  <si>
    <t>Rhb portion</t>
  </si>
  <si>
    <t>% of Existing Structures acquisition cost (including Acquisition Legal Fees)</t>
  </si>
  <si>
    <t>% of (TDC - budgeted DF - Demo - uw Land)</t>
  </si>
  <si>
    <t>% of (TDC - budgeted DF - uw Land - Acq Lgl Fees - Existing Structures)</t>
  </si>
  <si>
    <t>% DF to bldg acq</t>
  </si>
  <si>
    <t>% of (TDC - budgeted DF - uw Land)</t>
  </si>
  <si>
    <t>Project Narrative</t>
  </si>
  <si>
    <t>Downtown Development Authority of the City of Royston</t>
  </si>
  <si>
    <t>Gray</t>
  </si>
  <si>
    <t>Downtown Development Authority of the City of Senoia</t>
  </si>
  <si>
    <t>Grayson</t>
  </si>
  <si>
    <t>Downtown Development Authority of the City of Smithville</t>
  </si>
  <si>
    <t>Greensboro</t>
  </si>
  <si>
    <t>Downtown Development Authority of the City of Tallapoosa</t>
  </si>
  <si>
    <t>Greenville</t>
  </si>
  <si>
    <t>Screven County Development Authority</t>
  </si>
  <si>
    <t>Smyrna Housing Authority</t>
  </si>
  <si>
    <t>Sasser</t>
  </si>
  <si>
    <t>Social Circle Development Authority</t>
  </si>
  <si>
    <t>Downtown Development Authority of Maysville</t>
  </si>
  <si>
    <t>Flemington</t>
  </si>
  <si>
    <t>Housing Authority of the City of McDonough</t>
  </si>
  <si>
    <t>Montrose</t>
  </si>
  <si>
    <t>Housing Authority of the City of Menlo, Georgia</t>
  </si>
  <si>
    <t>Housing Authority of the City of Metter</t>
  </si>
  <si>
    <t>Downtown Development Authority of the City of Rome</t>
  </si>
  <si>
    <t>Downtown Development Authority of the City of Rossville</t>
  </si>
  <si>
    <t>Graham</t>
  </si>
  <si>
    <t>Downtown Development Authority of the City of Roswell</t>
  </si>
  <si>
    <t>Grantville</t>
  </si>
  <si>
    <t>Extermination</t>
  </si>
  <si>
    <t>Maintenance Supplies</t>
  </si>
  <si>
    <t>Elevator Maintenance</t>
  </si>
  <si>
    <t>Central Savannah River Area Unified Development Authority</t>
  </si>
  <si>
    <t>Barnesville</t>
  </si>
  <si>
    <t>Downtown Development Authority of the Mayor and City Council of Americus</t>
  </si>
  <si>
    <t>Hamilton</t>
  </si>
  <si>
    <t>Downtown Development Authority of Toccoa</t>
  </si>
  <si>
    <t>Hampton</t>
  </si>
  <si>
    <t>Downtown Development Authority of Woodbury</t>
  </si>
  <si>
    <t>Hapeville</t>
  </si>
  <si>
    <t>(Select an amenity from options provided here)</t>
  </si>
  <si>
    <t>Unit Amenities</t>
  </si>
  <si>
    <t>Site Amenities</t>
  </si>
  <si>
    <t>DEEPER TARGETING / RENT AND INCOME RESTRICTIONS</t>
  </si>
  <si>
    <t>Ancillary Income</t>
  </si>
  <si>
    <t>Operating Subsidy</t>
  </si>
  <si>
    <t>TOTAL</t>
  </si>
  <si>
    <t>ANNUAL OPERATING EXPENSE BUDGET</t>
  </si>
  <si>
    <t>Total Utility Allowance by Unit Size</t>
  </si>
  <si>
    <t>Office Street Address</t>
  </si>
  <si>
    <t>Cartersville</t>
  </si>
  <si>
    <t>Development Authority of Dawson County</t>
  </si>
  <si>
    <t>Development Authority of DeKalb County</t>
  </si>
  <si>
    <t>Cave Spring</t>
  </si>
  <si>
    <t>MIP</t>
  </si>
  <si>
    <t>Joint Development Authority of Northeast Georgia</t>
  </si>
  <si>
    <t>Poulan</t>
  </si>
  <si>
    <t>Joint Development Authority of Winder-Barrow County</t>
  </si>
  <si>
    <t>Nelson</t>
  </si>
  <si>
    <t>IV.  DCA Comments</t>
  </si>
  <si>
    <t>Emanuel County Development Authority</t>
  </si>
  <si>
    <t>Hiawassee</t>
  </si>
  <si>
    <t>Name of CHDO:</t>
  </si>
  <si>
    <t>AMI</t>
  </si>
  <si>
    <t>Athens-Clarke County</t>
  </si>
  <si>
    <t>Butts Co.</t>
  </si>
  <si>
    <t>Hinesville - Fort Stewart</t>
  </si>
  <si>
    <t>Ben Hill Co.</t>
  </si>
  <si>
    <t>Income</t>
  </si>
  <si>
    <t>% of AMI</t>
  </si>
  <si>
    <t>Affordable to:</t>
  </si>
  <si>
    <t>Oglethorpe Development Authority</t>
  </si>
  <si>
    <t>Okefenokee Area Development Authority</t>
  </si>
  <si>
    <t>Rockmart</t>
  </si>
  <si>
    <t>Palmetto Housing Authority</t>
  </si>
  <si>
    <r>
      <t>Green-shaded cells are unlocked for your use and</t>
    </r>
    <r>
      <rPr>
        <b/>
        <sz val="9"/>
        <rFont val="Arial Narrow"/>
        <family val="2"/>
      </rPr>
      <t xml:space="preserve"> contain</t>
    </r>
    <r>
      <rPr>
        <sz val="9"/>
        <rFont val="Arial Narrow"/>
        <family val="2"/>
      </rPr>
      <t xml:space="preserve"> references/formulas that </t>
    </r>
    <r>
      <rPr>
        <b/>
        <sz val="9"/>
        <rFont val="Arial Narrow"/>
        <family val="2"/>
      </rPr>
      <t>may</t>
    </r>
    <r>
      <rPr>
        <sz val="9"/>
        <rFont val="Arial Narrow"/>
        <family val="2"/>
      </rPr>
      <t xml:space="preserve"> be overwritten if needed.</t>
    </r>
  </si>
  <si>
    <t>Fort Stewart</t>
  </si>
  <si>
    <t>Gresham Park</t>
  </si>
  <si>
    <t>Gumlog</t>
  </si>
  <si>
    <t>Hannahs Mill</t>
  </si>
  <si>
    <t>Hilltop</t>
  </si>
  <si>
    <t>Indian Springs</t>
  </si>
  <si>
    <t>Irondale</t>
  </si>
  <si>
    <t>Isle of Hope</t>
  </si>
  <si>
    <t>Kings Bay Base</t>
  </si>
  <si>
    <t>Lakeview</t>
  </si>
  <si>
    <t>Lakeview Estates</t>
  </si>
  <si>
    <t>Lincoln Park</t>
  </si>
  <si>
    <t>Mableton</t>
  </si>
  <si>
    <t>Midway-Hardwick</t>
  </si>
  <si>
    <t>Moody AFB</t>
  </si>
  <si>
    <t>North Atlanta</t>
  </si>
  <si>
    <t>North Decatur</t>
  </si>
  <si>
    <t>North Druid Hills</t>
  </si>
  <si>
    <t>Panthersville</t>
  </si>
  <si>
    <t>Phillipsburg</t>
  </si>
  <si>
    <t>Putney</t>
  </si>
  <si>
    <t>Raoul</t>
  </si>
  <si>
    <t>Redan</t>
  </si>
  <si>
    <t>Reed Creek</t>
  </si>
  <si>
    <t>Robins AFB</t>
  </si>
  <si>
    <t>St. Simons</t>
  </si>
  <si>
    <t>Salem</t>
  </si>
  <si>
    <t>Scottdale</t>
  </si>
  <si>
    <t>Shannon</t>
  </si>
  <si>
    <t>Skidaway Island</t>
  </si>
  <si>
    <t>Sunnyside</t>
  </si>
  <si>
    <t>Sunset Village</t>
  </si>
  <si>
    <t>Tucker</t>
  </si>
  <si>
    <t>Unionville</t>
  </si>
  <si>
    <t>Vinings</t>
  </si>
  <si>
    <t>Whitemarsh Island</t>
  </si>
  <si>
    <t>Wilmington Island</t>
  </si>
  <si>
    <t>&lt;&lt;Select attractive features&gt;&gt;</t>
  </si>
  <si>
    <t>&lt;&lt;Select materials&gt;&gt;</t>
  </si>
  <si>
    <t>&lt;&lt;Select landscaping or site design feature&gt;&gt;</t>
  </si>
  <si>
    <t>Housing Authority of the City of Fort Valley</t>
  </si>
  <si>
    <t>Maxeys</t>
  </si>
  <si>
    <t>Housing Authority of the City of Gainesville</t>
  </si>
  <si>
    <t>Maysville</t>
  </si>
  <si>
    <t>Housing Authority of the City of Glennville</t>
  </si>
  <si>
    <t>McCaysville</t>
  </si>
  <si>
    <t>Peach</t>
  </si>
  <si>
    <t>Peach Co.</t>
  </si>
  <si>
    <t>Pickens</t>
  </si>
  <si>
    <t>Pierce</t>
  </si>
  <si>
    <t>Pierce Co.</t>
  </si>
  <si>
    <t>Pike</t>
  </si>
  <si>
    <t>Polk</t>
  </si>
  <si>
    <t>Polk Co.</t>
  </si>
  <si>
    <t>Pulaski</t>
  </si>
  <si>
    <t>Pulaski Co.</t>
  </si>
  <si>
    <t>Putnam</t>
  </si>
  <si>
    <t>Putnam Co.</t>
  </si>
  <si>
    <t>Quitman</t>
  </si>
  <si>
    <t>Quitman Co.</t>
  </si>
  <si>
    <t>Rabun</t>
  </si>
  <si>
    <t>Rabun Co.</t>
  </si>
  <si>
    <t>Randolph</t>
  </si>
  <si>
    <t>Randolph Co.</t>
  </si>
  <si>
    <t>Richmond</t>
  </si>
  <si>
    <t>Rockdale</t>
  </si>
  <si>
    <t>Schley</t>
  </si>
  <si>
    <t>Jakin</t>
  </si>
  <si>
    <t>Hawkinsville Downtown Development Authority</t>
  </si>
  <si>
    <t>Hawkinsville Housing Authority</t>
  </si>
  <si>
    <t>Property Mgmt</t>
  </si>
  <si>
    <t>Talbotton</t>
  </si>
  <si>
    <t>Villa Rica Downtown Development Authority</t>
  </si>
  <si>
    <t>Talking Rock</t>
  </si>
  <si>
    <t>Site Demolition</t>
  </si>
  <si>
    <t>LAND IMPROVEMENTS</t>
  </si>
  <si>
    <t>Site Construction (On-site)</t>
  </si>
  <si>
    <t>Site Construction (Off-site)</t>
  </si>
  <si>
    <t>STRUCTURES</t>
  </si>
  <si>
    <t>Residential Structures - New Construction</t>
  </si>
  <si>
    <t>Residential Structures - Rehab</t>
  </si>
  <si>
    <t>CONSTRUCTION CONTINGENCY</t>
  </si>
  <si>
    <t>Total Common Area Square Footage from Nonresidential areas</t>
  </si>
  <si>
    <t>Green Building Consultant Fee</t>
  </si>
  <si>
    <t>Green Building Program Certification Fee (LEED or Earthcraft)</t>
  </si>
  <si>
    <t>Accessibility Inspections and Plan Review</t>
  </si>
  <si>
    <t>Construction Materials Testing</t>
  </si>
  <si>
    <t>Exterior Wall Finishes (select one)</t>
  </si>
  <si>
    <t>Major Bldg Component Materials &amp; Upgrades  (select one)</t>
  </si>
  <si>
    <t>Rehab of bldgs w/out existing brick/stone over 40% (&amp; ineligible for historic credits) will replace &amp; upgrade existing exterior finish surfaces on all wall faces w/brick or product w/40 yr warranty</t>
  </si>
  <si>
    <t>Rehab of bldgs eligible for historic preservation credits will maintain or replace w/matching materials, the existing/original exterior finish surfaces</t>
  </si>
  <si>
    <t>Addition of decorative elements</t>
  </si>
  <si>
    <t>Name of Project</t>
  </si>
  <si>
    <t>Kingsland Downtown Development Authority</t>
  </si>
  <si>
    <t>Units:</t>
  </si>
  <si>
    <t>Square Footage:</t>
  </si>
  <si>
    <t>Low-Income</t>
  </si>
  <si>
    <t>Total Residential</t>
  </si>
  <si>
    <t>Downtown Development Authority of Adel, Georgia</t>
  </si>
  <si>
    <t>East Dublin</t>
  </si>
  <si>
    <t>Downtown Development Authority of Albany, Georgia</t>
  </si>
  <si>
    <t>East Ellijay</t>
  </si>
  <si>
    <t>Downtown Development Authority of Augusta-Richmond County</t>
  </si>
  <si>
    <t>East Point</t>
  </si>
  <si>
    <t>Habersham County Development Authority</t>
  </si>
  <si>
    <t>Jacksonville</t>
  </si>
  <si>
    <t>Hapeville Development Authority</t>
  </si>
  <si>
    <t>4 BR Mkt Units</t>
  </si>
  <si>
    <t>60% AMI</t>
  </si>
  <si>
    <t>MSA?</t>
  </si>
  <si>
    <t>1 BR 60% SF</t>
  </si>
  <si>
    <t>2 BR 60% SF</t>
  </si>
  <si>
    <t>Payment and Performance bonds</t>
  </si>
  <si>
    <t>All Historic Rehab</t>
  </si>
  <si>
    <t>The Downtown Development Authority of Bainbridge, Georgia</t>
  </si>
  <si>
    <t>Sparta</t>
  </si>
  <si>
    <t>Development Authority of St. Marys</t>
  </si>
  <si>
    <t>FMR MSA</t>
  </si>
  <si>
    <t>Appling County, GA</t>
  </si>
  <si>
    <t>Atkinson County, GA</t>
  </si>
  <si>
    <t>Bacon County, GA</t>
  </si>
  <si>
    <t>Albany, GA MSA</t>
  </si>
  <si>
    <t>Baldwin County, GA</t>
  </si>
  <si>
    <t>Furnished Children’s Activity center (must have furnishings, TV, educational media and recreational equipment)</t>
  </si>
  <si>
    <t>Asset Mgmt</t>
  </si>
  <si>
    <t>Cash Flow</t>
  </si>
  <si>
    <t>Tift County, GA</t>
  </si>
  <si>
    <t>Toombs County, GA</t>
  </si>
  <si>
    <t>Towns County, GA</t>
  </si>
  <si>
    <t>Treutlen County, GA</t>
  </si>
  <si>
    <t>Troup County, GA</t>
  </si>
  <si>
    <t>Turner County, GA</t>
  </si>
  <si>
    <t>Union County, GA</t>
  </si>
  <si>
    <t>Upson County, GA</t>
  </si>
  <si>
    <t>Ware County, GA</t>
  </si>
  <si>
    <t>Warren County, GA</t>
  </si>
  <si>
    <t>Washington County, GA</t>
  </si>
  <si>
    <t>Wayne County, GA</t>
  </si>
  <si>
    <t>Webster County, GA</t>
  </si>
  <si>
    <t>Patterson</t>
  </si>
  <si>
    <t>Ocmulgee Regional Joint Development Authority</t>
  </si>
  <si>
    <t>Rochelle</t>
  </si>
  <si>
    <t>2) Meetings</t>
  </si>
  <si>
    <t>3) Written Notifications</t>
  </si>
  <si>
    <t>Pooler</t>
  </si>
  <si>
    <t>Joint Development Authority of Jasper, Morgan, Newton, and Walton Counties</t>
  </si>
  <si>
    <t>Port Wentworth</t>
  </si>
  <si>
    <t>Baseball Field</t>
  </si>
  <si>
    <t>Putting Green</t>
  </si>
  <si>
    <t>Movie Theater</t>
  </si>
  <si>
    <t>TAX EXEMPT BOND FINANCED PROJECT</t>
  </si>
  <si>
    <t>ADDITIONAL PROJECT INFORMATION</t>
  </si>
  <si>
    <t>TENANCY CHARACTERISTICS</t>
  </si>
  <si>
    <t>&lt;Select Community of Opportunity&gt;</t>
  </si>
  <si>
    <t>Is there a Pre-Approval Form from DCA included in this application for this criterion?</t>
  </si>
  <si>
    <t>Covered pavilion w/ picnic/barbecue facilities</t>
  </si>
  <si>
    <t>Equipped walking path w/exercise stations or sitting areas</t>
  </si>
  <si>
    <t>Annual Operating Expenses</t>
  </si>
  <si>
    <t>Urban</t>
  </si>
  <si>
    <t>Replacement Reserve Pymt</t>
  </si>
  <si>
    <t>New</t>
  </si>
  <si>
    <t>All Single Family</t>
  </si>
  <si>
    <t>Development Costs</t>
  </si>
  <si>
    <t>Pre-Development Costs</t>
  </si>
  <si>
    <t>Tax Credit Application Fee</t>
  </si>
  <si>
    <t>Per Project - For Profit or Joint Venture</t>
  </si>
  <si>
    <t>Per Project - Nonprofit</t>
  </si>
  <si>
    <t>DCA Loan Application Fee</t>
  </si>
  <si>
    <t>Reserves</t>
  </si>
  <si>
    <t>NOI</t>
  </si>
  <si>
    <t>DDF</t>
  </si>
  <si>
    <t>Front Loading washers in Community Laundry</t>
  </si>
  <si>
    <t>Atlanta</t>
  </si>
  <si>
    <t>Fulton</t>
  </si>
  <si>
    <t>County Name</t>
  </si>
  <si>
    <t>Utility Region</t>
  </si>
  <si>
    <t>(Non)Metropolitan SA</t>
  </si>
  <si>
    <t>Appling</t>
  </si>
  <si>
    <t>South</t>
  </si>
  <si>
    <t>Appling Co.</t>
  </si>
  <si>
    <t>3 BR 60% SF</t>
  </si>
  <si>
    <t>4 BR 60% SF</t>
  </si>
  <si>
    <t>1 BR 50% SF</t>
  </si>
  <si>
    <t>2 BR 50% SF</t>
  </si>
  <si>
    <t>3 BR 50% SF</t>
  </si>
  <si>
    <t>4 BR 50% SF</t>
  </si>
  <si>
    <t>Funston</t>
  </si>
  <si>
    <t>Downtown Development Authority of the City of Decatur</t>
  </si>
  <si>
    <t>Gainesville</t>
  </si>
  <si>
    <t>Downtown Development Authority of the City of Douglasville</t>
  </si>
  <si>
    <t>Garden City</t>
  </si>
  <si>
    <t>4.</t>
  </si>
  <si>
    <t>5.</t>
  </si>
  <si>
    <t>TOTALS:</t>
  </si>
  <si>
    <t>Development Authority of Jones County</t>
  </si>
  <si>
    <t>Cohutta</t>
  </si>
  <si>
    <t>Development Authority of LaFayette</t>
  </si>
  <si>
    <t>Colbert</t>
  </si>
  <si>
    <t>Development Authority of LaGrange</t>
  </si>
  <si>
    <t>Coleman</t>
  </si>
  <si>
    <t>Development Authority of Lanier County</t>
  </si>
  <si>
    <t>College Park</t>
  </si>
  <si>
    <t>Development Authority of Lawrenceville, GA</t>
  </si>
  <si>
    <t>Collins</t>
  </si>
  <si>
    <t>Development Authority of Lee County</t>
  </si>
  <si>
    <t>DDF Balance</t>
  </si>
  <si>
    <t>various</t>
  </si>
  <si>
    <t>Support Services Salaries &amp; Benefits</t>
  </si>
  <si>
    <t>Housing Authority of Lee County</t>
  </si>
  <si>
    <t>Kingston</t>
  </si>
  <si>
    <t>Housing Authority of Savannah</t>
  </si>
  <si>
    <t>Kite</t>
  </si>
  <si>
    <t>Replacement Reserve</t>
  </si>
  <si>
    <t>Furniture, Fixtures and Equipment</t>
  </si>
  <si>
    <t>Development Authority of Gwinnett County</t>
  </si>
  <si>
    <t>Clarkston</t>
  </si>
  <si>
    <t>Development Authority of Haralson County</t>
  </si>
  <si>
    <t>Claxton</t>
  </si>
  <si>
    <t>Development Authority of Harris County</t>
  </si>
  <si>
    <t>Development Authority of Heard County</t>
  </si>
  <si>
    <t>Clermont</t>
  </si>
  <si>
    <t>Development Authority of Houston County</t>
  </si>
  <si>
    <t>Row size may be increased.</t>
  </si>
  <si>
    <t>Elevators are installed for access to all units above the ground floor.</t>
  </si>
  <si>
    <t xml:space="preserve">Per Owner Per Round </t>
  </si>
  <si>
    <t>Unit Cost Limit - both LIHTC and HOME</t>
  </si>
  <si>
    <t>Historic Rehab Projects</t>
  </si>
  <si>
    <t>Butts County, GA HUD Metro FMR Area</t>
  </si>
  <si>
    <t>Calhoun County, GA</t>
  </si>
  <si>
    <t>Camden County, GA</t>
  </si>
  <si>
    <t>Is the subject property located in a:</t>
  </si>
  <si>
    <t>100 year flood plain / floodway?</t>
  </si>
  <si>
    <t>Wetlands?</t>
  </si>
  <si>
    <t>Development Authority of Early County</t>
  </si>
  <si>
    <t>Housing Authority of the City of Marietta</t>
  </si>
  <si>
    <t>Monticello</t>
  </si>
  <si>
    <t>Temple Downtown Development Authority</t>
  </si>
  <si>
    <t>Siloam</t>
  </si>
  <si>
    <t>Type of rehab (choose one):</t>
  </si>
  <si>
    <t>LOCAL GOVERNMENT FEES</t>
  </si>
  <si>
    <t>Building Permits</t>
  </si>
  <si>
    <t>Impact Fees</t>
  </si>
  <si>
    <t>Water Tap Fees</t>
  </si>
  <si>
    <t>Sewer Tap Fees</t>
  </si>
  <si>
    <t>Permanent Loan Fees</t>
  </si>
  <si>
    <t>Permanent Loan Legal Fees</t>
  </si>
  <si>
    <t>Title and Recording Fees</t>
  </si>
  <si>
    <t>As-Built Survey</t>
  </si>
  <si>
    <t>Bond Issuance Premium</t>
  </si>
  <si>
    <t>Area</t>
  </si>
  <si>
    <t>Rent Limit</t>
  </si>
  <si>
    <t>Lilly</t>
  </si>
  <si>
    <t>Housing Authority of the City of Canton</t>
  </si>
  <si>
    <t>Lincolnton</t>
  </si>
  <si>
    <t>Zip Codes</t>
  </si>
  <si>
    <t>http://zip4.usps.com/zip4/welcome.jsp</t>
  </si>
  <si>
    <r>
      <t xml:space="preserve">Zip+4 </t>
    </r>
    <r>
      <rPr>
        <b/>
        <sz val="10"/>
        <color indexed="10"/>
        <rFont val="Arial Narrow"/>
        <family val="2"/>
      </rPr>
      <t>*</t>
    </r>
  </si>
  <si>
    <r>
      <t>*</t>
    </r>
    <r>
      <rPr>
        <b/>
        <sz val="10"/>
        <rFont val="Arial Narrow"/>
        <family val="2"/>
      </rPr>
      <t xml:space="preserve"> Must be verified by applicant using following websites:</t>
    </r>
  </si>
  <si>
    <t>HOME Consent?</t>
  </si>
  <si>
    <t>DCA HOME (amount from Consent Form)</t>
  </si>
  <si>
    <t>Is all additional environmental documentation required for a HOME application included?</t>
  </si>
  <si>
    <t>b. If No, was a DCA Architectural Standards waiver granted?</t>
  </si>
  <si>
    <t>Divide Equity Gap by 10</t>
  </si>
  <si>
    <t xml:space="preserve">Annual Equity Required </t>
  </si>
  <si>
    <t>Federal</t>
  </si>
  <si>
    <t>=</t>
  </si>
  <si>
    <t>On-Site Staff Costs</t>
  </si>
  <si>
    <t>On-Site Office Costs</t>
  </si>
  <si>
    <t>Professional Services</t>
  </si>
  <si>
    <t>Maintenance Expenses</t>
  </si>
  <si>
    <t>Interest</t>
  </si>
  <si>
    <t>Term</t>
  </si>
  <si>
    <t>Type</t>
  </si>
  <si>
    <t xml:space="preserve"> Name of Financing Entity</t>
  </si>
  <si>
    <t>Total Construction Financing:</t>
  </si>
  <si>
    <t>Total Construction Period Costs from Development Budget:</t>
  </si>
  <si>
    <t>Amort.</t>
  </si>
  <si>
    <t>Housing Authority of the City of Hampton, Georgia</t>
  </si>
  <si>
    <t>MONTHLY TOTAL</t>
  </si>
  <si>
    <t>Santa Claus</t>
  </si>
  <si>
    <t>Is an appraisal included in this application submission?</t>
  </si>
  <si>
    <t>Suwanee Downtown Development Authority</t>
  </si>
  <si>
    <t>Sharon</t>
  </si>
  <si>
    <t>Tallapoosa Development Authority</t>
  </si>
  <si>
    <t>Sharpsburg</t>
  </si>
  <si>
    <t>START-UP AND RESERVES</t>
  </si>
  <si>
    <t>Banks</t>
  </si>
  <si>
    <t>North</t>
  </si>
  <si>
    <t>Banks Co.</t>
  </si>
  <si>
    <t>Barrow</t>
  </si>
  <si>
    <t>Bartow</t>
  </si>
  <si>
    <t>Ben Hill</t>
  </si>
  <si>
    <t>Ben Hill Co</t>
  </si>
  <si>
    <t>Berrien</t>
  </si>
  <si>
    <t>Berrien Co.</t>
  </si>
  <si>
    <t>Bibb</t>
  </si>
  <si>
    <t>Macon</t>
  </si>
  <si>
    <t>Bleckley</t>
  </si>
  <si>
    <t>Bleckley Co.</t>
  </si>
  <si>
    <t>Brantley</t>
  </si>
  <si>
    <t>Brooks</t>
  </si>
  <si>
    <t>Bryan</t>
  </si>
  <si>
    <t>Savannah</t>
  </si>
  <si>
    <t>Bulloch</t>
  </si>
  <si>
    <t>Bulloch Co.</t>
  </si>
  <si>
    <t>Burke</t>
  </si>
  <si>
    <t>Augusta</t>
  </si>
  <si>
    <t>Butts</t>
  </si>
  <si>
    <t>Calhoun</t>
  </si>
  <si>
    <t>Calhoun Co.</t>
  </si>
  <si>
    <t>Camden</t>
  </si>
  <si>
    <t>Middle</t>
  </si>
  <si>
    <t>Elbert County, GA</t>
  </si>
  <si>
    <t>Emanuel County, GA</t>
  </si>
  <si>
    <t>Evans County, GA</t>
  </si>
  <si>
    <t>Fannin County, GA</t>
  </si>
  <si>
    <t>Rome, GA MSA</t>
  </si>
  <si>
    <t>Franklin County, GA</t>
  </si>
  <si>
    <t>MO</t>
  </si>
  <si>
    <t>MT</t>
  </si>
  <si>
    <t>NE</t>
  </si>
  <si>
    <t>NV</t>
  </si>
  <si>
    <t>NH</t>
  </si>
  <si>
    <t>NJ</t>
  </si>
  <si>
    <t>NM</t>
  </si>
  <si>
    <t>NY</t>
  </si>
  <si>
    <t>NC</t>
  </si>
  <si>
    <t>ND</t>
  </si>
  <si>
    <t>OH</t>
  </si>
  <si>
    <t>OK</t>
  </si>
  <si>
    <t>OR</t>
  </si>
  <si>
    <t>PA</t>
  </si>
  <si>
    <t>RI</t>
  </si>
  <si>
    <t>SC</t>
  </si>
  <si>
    <t>SD</t>
  </si>
  <si>
    <t>TN</t>
  </si>
  <si>
    <t>TX</t>
  </si>
  <si>
    <t>UT</t>
  </si>
  <si>
    <t>VT</t>
  </si>
  <si>
    <t>VA</t>
  </si>
  <si>
    <t>WA</t>
  </si>
  <si>
    <t>WV</t>
  </si>
  <si>
    <t>WI</t>
  </si>
  <si>
    <t>WY</t>
  </si>
  <si>
    <t>Maintenance Salaries &amp; Benefits</t>
  </si>
  <si>
    <t>Electricity</t>
  </si>
  <si>
    <t>Natural Gas</t>
  </si>
  <si>
    <t>Water &amp; Sewer</t>
  </si>
  <si>
    <t>Trash Collection</t>
  </si>
  <si>
    <t>Office Supplies &amp; Postage</t>
  </si>
  <si>
    <t>Telephone</t>
  </si>
  <si>
    <t>Travel</t>
  </si>
  <si>
    <t>Utilities</t>
  </si>
  <si>
    <t>Taxes and Insurance</t>
  </si>
  <si>
    <t>On-Site Security</t>
  </si>
  <si>
    <t>Contracted Guard</t>
  </si>
  <si>
    <t>Electronic Alarm System</t>
  </si>
  <si>
    <r>
      <t>Management Fee:</t>
    </r>
    <r>
      <rPr>
        <sz val="9"/>
        <color indexed="10"/>
        <rFont val="Arial"/>
        <family val="2"/>
      </rPr>
      <t/>
    </r>
  </si>
  <si>
    <t>Applicant agrees to provide the following required Standard Site Amenities in conformance with the DCA Amenities Guidebook (select one in each category):</t>
  </si>
  <si>
    <t>Applicant agrees to provide the following required Unit Amenities:</t>
  </si>
  <si>
    <t>Combustion equipment isolated in a sealed combustion closet that is vented from outside building envelope</t>
  </si>
  <si>
    <t>If "Yes",  what are the contributing factors in decreasing order of magnitude?</t>
  </si>
  <si>
    <t>(With EPA/EPD Documentation)</t>
  </si>
  <si>
    <t>Annual P &amp; I</t>
  </si>
  <si>
    <t>Monthly P &amp; I</t>
  </si>
  <si>
    <t>Loan Term (yrs)</t>
  </si>
  <si>
    <t>Amortization Pd (yrs)</t>
  </si>
  <si>
    <t>Development of green space on a master plan development site</t>
  </si>
  <si>
    <t>Development of walking trails on a master plan development site</t>
  </si>
  <si>
    <t>Construction of sidewalks and streetscape adjacent to the property</t>
  </si>
  <si>
    <t>Construction of on-site access road req'd for property access</t>
  </si>
  <si>
    <t>Construction of off-site access road req'd for property access</t>
  </si>
  <si>
    <t>Housing Authority of the City of Crawfordville</t>
  </si>
  <si>
    <t>Lula</t>
  </si>
  <si>
    <t>Housing Authority of the City of Cumming</t>
  </si>
  <si>
    <t>Lumber City</t>
  </si>
  <si>
    <t>Housing Authority of the City of Cuthbert, GA</t>
  </si>
  <si>
    <t>Housing Authority of the City of Dahlonega</t>
  </si>
  <si>
    <t>Luthersville</t>
  </si>
  <si>
    <t>Housing Authority of the City of Dawson</t>
  </si>
  <si>
    <t>Lyerly</t>
  </si>
  <si>
    <t>Housing Authority of the City of Decatur, Georgia</t>
  </si>
  <si>
    <t>per unit</t>
  </si>
  <si>
    <t>waived?</t>
  </si>
  <si>
    <t>14.</t>
  </si>
  <si>
    <t>Are all site related amenities required and selected in this application indicated on the Conceptual Site Development Plan?</t>
  </si>
  <si>
    <t>3.)</t>
  </si>
  <si>
    <t>4.)</t>
  </si>
  <si>
    <t>5.)</t>
  </si>
  <si>
    <t>6.)</t>
  </si>
  <si>
    <t xml:space="preserve">1.) </t>
  </si>
  <si>
    <t>7.)</t>
  </si>
  <si>
    <t>Historic Credit Equity</t>
  </si>
  <si>
    <t>Mobility Impaired</t>
  </si>
  <si>
    <t xml:space="preserve">Number of Applications Submitted: </t>
  </si>
  <si>
    <t>Swainsboro</t>
  </si>
  <si>
    <t>Urban Residential Finance Authority of the City of Atlanta, Georgia</t>
  </si>
  <si>
    <t>Is Contract Addendum included in Application?</t>
  </si>
  <si>
    <t>Downtown Development Authority of the City of Warwick</t>
  </si>
  <si>
    <t>Hagan</t>
  </si>
  <si>
    <t>Ancillary Income Limit</t>
  </si>
  <si>
    <t># of PBRA Units</t>
  </si>
  <si>
    <t>Substantial Rehab Only</t>
  </si>
  <si>
    <t>Total Square Footage from Units</t>
  </si>
  <si>
    <t>Stewart County, GA</t>
  </si>
  <si>
    <t>Sumter County, GA</t>
  </si>
  <si>
    <t>Talbot County, GA</t>
  </si>
  <si>
    <t>Total Basis Method Tax Credit Calculation</t>
  </si>
  <si>
    <t>Total Gap Method Tax Credit Calculation</t>
  </si>
  <si>
    <t>TAX CREDIT CALCULATION - BASIS METHOD</t>
  </si>
  <si>
    <t>TAX CREDIT CALCULATION - GAP METHOD</t>
  </si>
  <si>
    <t>Has the property been:</t>
  </si>
  <si>
    <t>Rezoned?</t>
  </si>
  <si>
    <t>Subdivided?</t>
  </si>
  <si>
    <t>Modified?</t>
  </si>
  <si>
    <t>Low Inc</t>
  </si>
  <si>
    <t>Efficiency New Construction LI Units</t>
  </si>
  <si>
    <t>1 BR New Construction LI Units</t>
  </si>
  <si>
    <t>2 BR New Construction LI Units</t>
  </si>
  <si>
    <t>3 BR New Construction LI Units</t>
  </si>
  <si>
    <t>4 BR New Construction LI Units</t>
  </si>
  <si>
    <t>Owner/Developer</t>
  </si>
  <si>
    <t>Norcross</t>
  </si>
  <si>
    <t>Pendergrass</t>
  </si>
  <si>
    <t>Jackson Housing Authority</t>
  </si>
  <si>
    <t>Perry</t>
  </si>
  <si>
    <t>Jenkins County Development Authority</t>
  </si>
  <si>
    <t>Pine Lake</t>
  </si>
  <si>
    <t>Exterior wall faces will have an excess of 40% brick or stone on each total wall surface</t>
  </si>
  <si>
    <t xml:space="preserve"> --&gt; If Yes, indicate Yr 1 Mgt Fee Amt:</t>
  </si>
  <si>
    <t>Other Income (OI) by Year:</t>
  </si>
  <si>
    <t>B1)</t>
  </si>
  <si>
    <t>Housing Authority of the County of Atkinson, Georgia</t>
  </si>
  <si>
    <t>Pavo</t>
  </si>
  <si>
    <t>Housing Authority of the County of DeKalb, Georgia</t>
  </si>
  <si>
    <t>Housing Authority of the County of Harris</t>
  </si>
  <si>
    <t>Peachtree City</t>
  </si>
  <si>
    <t>Lanier</t>
  </si>
  <si>
    <t>Laurens</t>
  </si>
  <si>
    <t>Laurens Co.</t>
  </si>
  <si>
    <t>Lee</t>
  </si>
  <si>
    <t>Liberty</t>
  </si>
  <si>
    <t>Lincoln</t>
  </si>
  <si>
    <t>Lincoln Co.</t>
  </si>
  <si>
    <t>Long</t>
  </si>
  <si>
    <t>Long Co.</t>
  </si>
  <si>
    <t>3+ Story Units</t>
  </si>
  <si>
    <t>0 BR MF Units</t>
  </si>
  <si>
    <t>Savannah, GA MSA</t>
  </si>
  <si>
    <t>Surrency</t>
  </si>
  <si>
    <t>I certify that all Federal, State and local subsidies have been disclosed and revealed.</t>
  </si>
  <si>
    <t>In addition, Applicant understands:</t>
  </si>
  <si>
    <t>•</t>
  </si>
  <si>
    <t>If Yes, is the waiver request accompanied by an engineering report confirming the availability of water and the percolation of the soil?</t>
  </si>
  <si>
    <t>Sparta-Hancock County Development Authority</t>
  </si>
  <si>
    <t>Senoia</t>
  </si>
  <si>
    <t>St. Marys Downtown Development Authority</t>
  </si>
  <si>
    <t>Shady Dale</t>
  </si>
  <si>
    <t>Stephens County Development Authority</t>
  </si>
  <si>
    <t>APPLICANT CONTACT FOR APPLICATION REVIEW</t>
  </si>
  <si>
    <t>PROJECT LOCATION</t>
  </si>
  <si>
    <t>PROJECT DESCRIPTION</t>
  </si>
  <si>
    <t>Total Existing Units</t>
  </si>
  <si>
    <t>Unit</t>
  </si>
  <si>
    <t>Count</t>
  </si>
  <si>
    <t>Rent</t>
  </si>
  <si>
    <t>3 BR Rehab Mkt Units</t>
  </si>
  <si>
    <t>4 BR Rehab Mkt Units</t>
  </si>
  <si>
    <t xml:space="preserve">Community Development Block Grant (CDBG) program funds </t>
  </si>
  <si>
    <t>Federal Home Loan Bank Affordable Housing Program (AHP)</t>
  </si>
  <si>
    <t>Beltline Grant</t>
  </si>
  <si>
    <t>Housing Opportunity Bonds</t>
  </si>
  <si>
    <t>HUD 202 or 811 program funds</t>
  </si>
  <si>
    <t>If Yes, applicant will need to check with the source of these funds to determine if this project will trigger the Uniform Relocation Act or 104(d).</t>
  </si>
  <si>
    <r>
      <t>Enter Final Federal and State Equity Factors (</t>
    </r>
    <r>
      <rPr>
        <b/>
        <sz val="10"/>
        <rFont val="Arial Narrow"/>
        <family val="2"/>
      </rPr>
      <t>not</t>
    </r>
    <r>
      <rPr>
        <sz val="10"/>
        <rFont val="Arial Narrow"/>
        <family val="2"/>
      </rPr>
      <t xml:space="preserve"> </t>
    </r>
    <r>
      <rPr>
        <b/>
        <sz val="10"/>
        <rFont val="Arial Narrow"/>
        <family val="2"/>
      </rPr>
      <t>including GP contribution</t>
    </r>
    <r>
      <rPr>
        <sz val="10"/>
        <rFont val="Arial Narrow"/>
        <family val="2"/>
      </rPr>
      <t>)</t>
    </r>
  </si>
  <si>
    <t>Eligible Basis Adjustment (DDA/QCT Location or State Designated Boost)</t>
  </si>
  <si>
    <t>A1)</t>
  </si>
  <si>
    <t>A2)</t>
  </si>
  <si>
    <t>A3)</t>
  </si>
  <si>
    <t>b. Electronically controlled solid cover plates over stove top burners</t>
  </si>
  <si>
    <t>Housing Authority of the City of Baxley</t>
  </si>
  <si>
    <t>Housing Authority of the City of Blackshear</t>
  </si>
  <si>
    <t>Leesburg</t>
  </si>
  <si>
    <t>Housing Authority of the City of Blakely, Georgia</t>
  </si>
  <si>
    <t>Lenox</t>
  </si>
  <si>
    <t>Housing Authority of the City of Buford, Georgia</t>
  </si>
  <si>
    <t>Leslie</t>
  </si>
  <si>
    <t>Housing Authority of the City of Cairo, Georgia</t>
  </si>
  <si>
    <t>[This document is to be submitted with Application]</t>
  </si>
  <si>
    <t>APPLICATION CERTIFICATION FORM LETTER</t>
  </si>
  <si>
    <t>[to be submitted under Applicant's letterhead]</t>
  </si>
  <si>
    <t>(Excluding MIP)</t>
  </si>
  <si>
    <t>Monthly Debt Service at Effective Rate</t>
  </si>
  <si>
    <t>GICH Communities</t>
  </si>
  <si>
    <t>Signature Communities</t>
  </si>
  <si>
    <t>Communities of Opportunity</t>
  </si>
  <si>
    <t>Camden County</t>
  </si>
  <si>
    <t>Remerton/Valdosta</t>
  </si>
  <si>
    <t>N/a</t>
  </si>
  <si>
    <t>Housing Authority of the City of Colquitt</t>
  </si>
  <si>
    <t>Lookout Mountain</t>
  </si>
  <si>
    <t>Effective Interest Rate</t>
  </si>
  <si>
    <t>Housing Authority of the City of Cave Spring</t>
  </si>
  <si>
    <t>Louisville</t>
  </si>
  <si>
    <t>Housing Authority of the City of Cornelia, Ga.</t>
  </si>
  <si>
    <t>Lovejoy</t>
  </si>
  <si>
    <t>Housing Authority of the City of Covington</t>
  </si>
  <si>
    <t>Reynolds</t>
  </si>
  <si>
    <t>Middle Georgia Regional Development Authority</t>
  </si>
  <si>
    <t>Rhine</t>
  </si>
  <si>
    <t>Milledgeville MainStreet/The Downtown Development Authority of the City of Milledgeville</t>
  </si>
  <si>
    <t>Riceboro</t>
  </si>
  <si>
    <t>Miller County Development Authority</t>
  </si>
  <si>
    <t>Richland</t>
  </si>
  <si>
    <t>Catoosa</t>
  </si>
  <si>
    <t>Chattanooga</t>
  </si>
  <si>
    <t>Abbeville Housing Authority</t>
  </si>
  <si>
    <t>Acworth</t>
  </si>
  <si>
    <t>Acworth Downtown Development Authority</t>
  </si>
  <si>
    <t>Surplus/(Shortage) of Permanent funds to development costs:</t>
  </si>
  <si>
    <t>Substantial replanting of trees and integrated vegetation</t>
  </si>
  <si>
    <t>Is proposed project part of a local public housing replacement program?</t>
  </si>
  <si>
    <t>CO-DEVELOPER 2</t>
  </si>
  <si>
    <t>Contractor</t>
  </si>
  <si>
    <t>Per Unit</t>
  </si>
  <si>
    <t>The Housing Authority of the City of Atlanta, Georgia</t>
  </si>
  <si>
    <t>The Housing Authority of the City of Brunswick, Georgia</t>
  </si>
  <si>
    <t>Stapleton</t>
  </si>
  <si>
    <t>DCA HOME Projects Minimum Set-Aside Requirement (Rent &amp; Income)</t>
  </si>
  <si>
    <t>HUD funded affordable public housing project</t>
  </si>
  <si>
    <t>Rent-Up Reserves</t>
  </si>
  <si>
    <t>DCA HOME Loan Pre-Application Fee</t>
  </si>
  <si>
    <t>FHA Risk Share</t>
  </si>
  <si>
    <t>Is a Phase II Environmental Report included?</t>
  </si>
  <si>
    <t>White Plains</t>
  </si>
  <si>
    <t>Whitesburg</t>
  </si>
  <si>
    <t>Willacoochee</t>
  </si>
  <si>
    <t>Williamson</t>
  </si>
  <si>
    <t>Winder</t>
  </si>
  <si>
    <t>Winterville</t>
  </si>
  <si>
    <t>Woodbine</t>
  </si>
  <si>
    <t>Woodbury</t>
  </si>
  <si>
    <t>Woodland</t>
  </si>
  <si>
    <t>Woodstock</t>
  </si>
  <si>
    <t>5)</t>
  </si>
  <si>
    <t>6)</t>
  </si>
  <si>
    <t>PCB's?</t>
  </si>
  <si>
    <t>Mold?</t>
  </si>
  <si>
    <t>Radon?</t>
  </si>
  <si>
    <t>Downtown Development Authority of the City of Dawson</t>
  </si>
  <si>
    <t>Joint Development Authority of Baker, Dougherty, Terrell, and Lee Counties</t>
  </si>
  <si>
    <t>Pine Mountain</t>
  </si>
  <si>
    <t>Joint Development Authority of Bartow County and Pickens County</t>
  </si>
  <si>
    <t>In USDA Rural Area?</t>
  </si>
  <si>
    <t>Development Authority of Clayton County</t>
  </si>
  <si>
    <t>Camilla</t>
  </si>
  <si>
    <t>Development Authority of Cobb County</t>
  </si>
  <si>
    <t>Canon</t>
  </si>
  <si>
    <t>Development Authority of Columbia County</t>
  </si>
  <si>
    <t>Canton</t>
  </si>
  <si>
    <t>Development Authority of Columbus, Georgia</t>
  </si>
  <si>
    <t>Carl</t>
  </si>
  <si>
    <t>Development Authority of Conyers, Georgia</t>
  </si>
  <si>
    <t>Carlton</t>
  </si>
  <si>
    <t>Housing Authority of the City of Doerun, Georgia</t>
  </si>
  <si>
    <t>Housing Authority of the City of Dublin, Georgia</t>
  </si>
  <si>
    <t>Housing Authority of the City of East Point, Georgia</t>
  </si>
  <si>
    <t>Housing Authority of the City of Eastman</t>
  </si>
  <si>
    <t>Manassas</t>
  </si>
  <si>
    <t>Housing Authority of the City of Eatonton</t>
  </si>
  <si>
    <t>Manchester</t>
  </si>
  <si>
    <t>Housing Authority of the City of Edison, GA.</t>
  </si>
  <si>
    <t>Housing Authority of the City of Ellaville</t>
  </si>
  <si>
    <t>Mansfield</t>
  </si>
  <si>
    <t>Housing Authority of the City of Ellijay, Georgia</t>
  </si>
  <si>
    <t>Development Authority of the Unified Government of Athens-Clarke County, Georgia</t>
  </si>
  <si>
    <t>Housing Authority of the County of Houston, Georgia</t>
  </si>
  <si>
    <t>Pearson</t>
  </si>
  <si>
    <t>Housing Authority of the City of Shellman</t>
  </si>
  <si>
    <t>Nicholls</t>
  </si>
  <si>
    <t>Housing Authority of the City of Social Circle, GA</t>
  </si>
  <si>
    <t>Nicholson</t>
  </si>
  <si>
    <t>Housing Authority of the City of Soperton</t>
  </si>
  <si>
    <t>Kitchen range hood ventilation to be ducted to the exterior and equipped with a damper</t>
  </si>
  <si>
    <t>Additional Required Project Amenities for 4% Tax Credit Projects</t>
  </si>
  <si>
    <t>Retention pond / fountain</t>
  </si>
  <si>
    <t>Mortgage A</t>
  </si>
  <si>
    <t>Mortgage B</t>
  </si>
  <si>
    <t>Mortgage C</t>
  </si>
  <si>
    <t>Downtown Development Authority of the City of Zebulon</t>
  </si>
  <si>
    <t>Hahira</t>
  </si>
  <si>
    <t>Electric</t>
  </si>
  <si>
    <t>Cooking</t>
  </si>
  <si>
    <t>Hot Water</t>
  </si>
  <si>
    <t>Lights</t>
  </si>
  <si>
    <t>Fuel</t>
  </si>
  <si>
    <t>Activities Supplies / Overhead Cost</t>
  </si>
  <si>
    <t>Other</t>
  </si>
  <si>
    <t>Legal</t>
  </si>
  <si>
    <t>Advertising</t>
  </si>
  <si>
    <t>Contracted Repairs</t>
  </si>
  <si>
    <t>General Repairs</t>
  </si>
  <si>
    <t>Grounds Maintenance</t>
  </si>
  <si>
    <t>Martinez</t>
  </si>
  <si>
    <t>Select City first</t>
  </si>
  <si>
    <t>Waivers and/or Pre-Approvals - have the following waivers and/or pre-approvals been approved by DCA?</t>
  </si>
  <si>
    <t>Qualification Determination?</t>
  </si>
  <si>
    <t>LIHTC Fee (both 4% and 9%)</t>
  </si>
  <si>
    <t>Putnam Development Authority</t>
  </si>
  <si>
    <t>Randolph County Development Authority</t>
  </si>
  <si>
    <t>Royston</t>
  </si>
  <si>
    <t>Redevelopment Authority of Clayton County</t>
  </si>
  <si>
    <t>Rochelle Housing Authority</t>
  </si>
  <si>
    <t>Rutledge</t>
  </si>
  <si>
    <t>Rockmart Development Authority</t>
  </si>
  <si>
    <t>Rome-Floyd County Development Authority</t>
  </si>
  <si>
    <t>Sale City</t>
  </si>
  <si>
    <t>Sandersville Downtown Development Authority</t>
  </si>
  <si>
    <t>(Applicants start with 10 pts.  Any points entered will be subtracted from score value)</t>
  </si>
  <si>
    <t>The Housing Authority of the City of Washington</t>
  </si>
  <si>
    <t>Statham</t>
  </si>
  <si>
    <t>Thomaston Downtown Development Authority</t>
  </si>
  <si>
    <t>Effic 120% NSP Units</t>
  </si>
  <si>
    <t>Toomsboro</t>
  </si>
  <si>
    <t>Trenton</t>
  </si>
  <si>
    <t>Housing Authority of the City of Greensboro, Georgia</t>
  </si>
  <si>
    <t>McRae</t>
  </si>
  <si>
    <t>EPA Energy Star Program construction and certification:</t>
  </si>
  <si>
    <t>Term (In Months)</t>
  </si>
  <si>
    <t>Miller</t>
  </si>
  <si>
    <t>Miller Co.</t>
  </si>
  <si>
    <t>Mitchell</t>
  </si>
  <si>
    <t>Mitchell Co.</t>
  </si>
  <si>
    <t>Monroe</t>
  </si>
  <si>
    <t>Americus / Sumter County</t>
  </si>
  <si>
    <t>Berrien County</t>
  </si>
  <si>
    <t>Gray / Jones County</t>
  </si>
  <si>
    <t>Hall County</t>
  </si>
  <si>
    <t>Sandersville / Tennille / Washington County</t>
  </si>
  <si>
    <t>Thomson / McDuffie County</t>
  </si>
  <si>
    <t>a. 100% of the units are accessible and adaptable, as defined by the Fair Housing Amendments Act of1988</t>
  </si>
  <si>
    <t>Housing Authority of the City of Warner Robins, Georgia</t>
  </si>
  <si>
    <t>Housing Authority of the City of Warrenton</t>
  </si>
  <si>
    <t>Oliver</t>
  </si>
  <si>
    <t>Housing Authority of the City of Waycross</t>
  </si>
  <si>
    <t>Flint Area Consolidated Housing Authority</t>
  </si>
  <si>
    <t>Hogansville</t>
  </si>
  <si>
    <t>Fort Oglethorpe Downtown Development Authority</t>
  </si>
  <si>
    <t>Holly Springs</t>
  </si>
  <si>
    <t>(Select a unit amenity from options provided here)</t>
  </si>
  <si>
    <t>Installed call system in all units, including a buzzer and light to the exterior</t>
  </si>
  <si>
    <t>Equipped soccer field</t>
  </si>
  <si>
    <t>Tennis court</t>
  </si>
  <si>
    <t>Retention pond/Fountain</t>
  </si>
  <si>
    <t>Equipped playground</t>
  </si>
  <si>
    <t>Covered pavilion with picnic/barbecue facilities</t>
  </si>
  <si>
    <t>Furnished Children’s Activity center</t>
  </si>
  <si>
    <t>Furnished Library</t>
  </si>
  <si>
    <t>Equipped Computer Center</t>
  </si>
  <si>
    <t>Furnished sitting areas by elevators</t>
  </si>
  <si>
    <t>Swimming Pool</t>
  </si>
  <si>
    <t>Complete built-in fire sprinkler system</t>
  </si>
  <si>
    <t>Hist Desig</t>
  </si>
  <si>
    <t>(Effective Interest Assistance Rate in USDA Handbook)</t>
  </si>
  <si>
    <t>(per annum)</t>
  </si>
  <si>
    <t>Terrell</t>
  </si>
  <si>
    <t>Thomas</t>
  </si>
  <si>
    <t>Thomas Co.</t>
  </si>
  <si>
    <t>Tift</t>
  </si>
  <si>
    <t>AWARD LIMITATIONS FOR CURRENT DCA COMPETITIVE ROUND</t>
  </si>
  <si>
    <t>For DCA determination:</t>
  </si>
  <si>
    <t>Does the proposed market area appear to be overestimated, creating the likelihood that the demand for the project is weaker than projected?</t>
  </si>
  <si>
    <t>15.</t>
  </si>
  <si>
    <t>DCA COMMUNITY INITIATIVES</t>
  </si>
  <si>
    <t>16.</t>
  </si>
  <si>
    <t>17.</t>
  </si>
  <si>
    <t>18.</t>
  </si>
  <si>
    <t>SUPERIOR PROJECT CONCEPT AND DESIGN</t>
  </si>
  <si>
    <t>19.</t>
  </si>
  <si>
    <t>COMPLIANCE / PERFORMANCE</t>
  </si>
  <si>
    <t>Downtown Development Authority of Hinesville, Georgia</t>
  </si>
  <si>
    <t>Fargo</t>
  </si>
  <si>
    <t>Downtown Development Authority of Woodstock</t>
  </si>
  <si>
    <t>Downtown Development Authority, City of Forest Park</t>
  </si>
  <si>
    <t>Downtown LaGrange Development Authority</t>
  </si>
  <si>
    <t>Harlem</t>
  </si>
  <si>
    <t>Chattanooga, TN-GA MSA</t>
  </si>
  <si>
    <t>Charlton County, GA</t>
  </si>
  <si>
    <t>Columbus, GA-AL MSA</t>
  </si>
  <si>
    <t>Chattooga County, GA</t>
  </si>
  <si>
    <t>Joint Development Authority of Fannin County, Towns County and Union County</t>
  </si>
  <si>
    <t>Plains</t>
  </si>
  <si>
    <t>Trion</t>
  </si>
  <si>
    <t>Turin</t>
  </si>
  <si>
    <t>Twin City</t>
  </si>
  <si>
    <t>Ty Ty</t>
  </si>
  <si>
    <t>Tybee Island</t>
  </si>
  <si>
    <t>Tyrone</t>
  </si>
  <si>
    <t>Unadilla</t>
  </si>
  <si>
    <t>Union City</t>
  </si>
  <si>
    <t>Union Point</t>
  </si>
  <si>
    <t>Uvalda</t>
  </si>
  <si>
    <t>Valdosta</t>
  </si>
  <si>
    <t>Varnell</t>
  </si>
  <si>
    <t>Vernonburg</t>
  </si>
  <si>
    <t>Vidalia</t>
  </si>
  <si>
    <t>Vidette</t>
  </si>
  <si>
    <t>Vienna</t>
  </si>
  <si>
    <t>Villa Rica</t>
  </si>
  <si>
    <t>Waco</t>
  </si>
  <si>
    <t>Wadley</t>
  </si>
  <si>
    <t>Waleska</t>
  </si>
  <si>
    <t>Walnut Grove</t>
  </si>
  <si>
    <t>Walthourville</t>
  </si>
  <si>
    <t>Warm Springs</t>
  </si>
  <si>
    <t>Warner Robins</t>
  </si>
  <si>
    <t>Warrenton</t>
  </si>
  <si>
    <t>Candler County, GA</t>
  </si>
  <si>
    <t>Original GHFA/DCA Project Number</t>
  </si>
  <si>
    <t>Subsequent Allocation</t>
  </si>
  <si>
    <t>Type:</t>
  </si>
  <si>
    <t>Identity of Interest</t>
  </si>
  <si>
    <t>Enter "1" for each item</t>
  </si>
  <si>
    <t>LIHTC (auto-filled based on later entries)</t>
  </si>
  <si>
    <t>HUD Mortgage Insurance Premium</t>
  </si>
  <si>
    <t>II. HUD Mortgage Insurance Premium / Debt Service</t>
  </si>
  <si>
    <t xml:space="preserve">     Percent of Effective Gross Income</t>
  </si>
  <si>
    <t>Ext.</t>
  </si>
  <si>
    <t>Office Phone</t>
  </si>
  <si>
    <t>Direct Line</t>
  </si>
  <si>
    <t>Dublin-Laurens County Development Authority</t>
  </si>
  <si>
    <t>Helen</t>
  </si>
  <si>
    <t>Arts &amp; Crafts / Activity Center</t>
  </si>
  <si>
    <t>Shuffleboard Court</t>
  </si>
  <si>
    <t>XIII.</t>
  </si>
  <si>
    <t>Category</t>
  </si>
  <si>
    <t>Specification</t>
  </si>
  <si>
    <t>Scale</t>
  </si>
  <si>
    <t>Minumum</t>
  </si>
  <si>
    <t>Maximum</t>
  </si>
  <si>
    <t>Funding Limits</t>
  </si>
  <si>
    <t xml:space="preserve">Per Project </t>
  </si>
  <si>
    <t>n/a</t>
  </si>
  <si>
    <t>c.</t>
  </si>
  <si>
    <t>E.</t>
  </si>
  <si>
    <t>F.</t>
  </si>
  <si>
    <t>1)</t>
  </si>
  <si>
    <t>2)</t>
  </si>
  <si>
    <t>3)</t>
  </si>
  <si>
    <t>Is a copy of the State CHDO pre-qualification/renewal letter included in the Application?</t>
  </si>
  <si>
    <t>Hawkinsville</t>
  </si>
  <si>
    <t>Downtown Development Authority of the City of Richland, Georgia</t>
  </si>
  <si>
    <t>Development Authority of Coweta County</t>
  </si>
  <si>
    <t>Carnesville</t>
  </si>
  <si>
    <t>Development Authority of Crawford County</t>
  </si>
  <si>
    <t>Carrollton</t>
  </si>
  <si>
    <t>Development Authority of Crisp County</t>
  </si>
  <si>
    <t>Title of Principal</t>
  </si>
  <si>
    <t>Downtown Development Authority of Holly Springs</t>
  </si>
  <si>
    <t>Berlin</t>
  </si>
  <si>
    <t>Powder Springs</t>
  </si>
  <si>
    <t>Recreation of existing or missing known historic decorative elements</t>
  </si>
  <si>
    <t>Addition of or the redesign of existing covered entries</t>
  </si>
  <si>
    <t>If HUD approval has been previously granted, has the HUD Form 4128 been included?</t>
  </si>
  <si>
    <t>Jersey</t>
  </si>
  <si>
    <t>Housing Authority of City of Carrollton</t>
  </si>
  <si>
    <t>Jesup</t>
  </si>
  <si>
    <t>Is there a Tenant Ownership Plan?</t>
  </si>
  <si>
    <t>Cedartown</t>
  </si>
  <si>
    <t>No Identity of Interest</t>
  </si>
  <si>
    <t>Operating Deficit Reserve</t>
  </si>
  <si>
    <t>Mths of Year 1 Debt Service (out of 12)</t>
  </si>
  <si>
    <t>Mths of Year 1 O&amp;M Expense (out of 12)</t>
  </si>
  <si>
    <t>Final Inspection Fee</t>
  </si>
  <si>
    <t>Per Project</t>
  </si>
  <si>
    <t>Proforma Operating Forecast</t>
  </si>
  <si>
    <t>Revenue Growth Rate</t>
  </si>
  <si>
    <t>Per Operation Year</t>
  </si>
  <si>
    <t>V&amp;C Loss Rate (Non-PBRA/USDA)</t>
  </si>
  <si>
    <t>V&amp;C Loss Rate (PBRA/USDA)</t>
  </si>
  <si>
    <t>Port Wentworth Downtown Development Authority</t>
  </si>
  <si>
    <t>Roopville</t>
  </si>
  <si>
    <t>&lt;&lt;Select&gt;&gt;</t>
  </si>
  <si>
    <t>If Other, specify:</t>
  </si>
  <si>
    <t>City of Cairo Development Authority</t>
  </si>
  <si>
    <t>Bethlehem</t>
  </si>
  <si>
    <t>City of Claxton Downtown Development Authority</t>
  </si>
  <si>
    <t>Between</t>
  </si>
  <si>
    <t>Atkinson</t>
  </si>
  <si>
    <t>Atkinson Co.</t>
  </si>
  <si>
    <t>Bacon</t>
  </si>
  <si>
    <t>Bacon Co.</t>
  </si>
  <si>
    <t>Baker</t>
  </si>
  <si>
    <t>Albany</t>
  </si>
  <si>
    <t>Baldwin</t>
  </si>
  <si>
    <t>Quitman County, GA</t>
  </si>
  <si>
    <t>Rabun County, GA</t>
  </si>
  <si>
    <t>Randolph County, GA</t>
  </si>
  <si>
    <t>Schley County, GA</t>
  </si>
  <si>
    <t>Screven County, GA</t>
  </si>
  <si>
    <t>Energy Standards</t>
  </si>
  <si>
    <t>Total Basis</t>
  </si>
  <si>
    <t>% Existing Occupied</t>
  </si>
  <si>
    <t>IV.</t>
  </si>
  <si>
    <t>Total Units</t>
  </si>
  <si>
    <t>V.</t>
  </si>
  <si>
    <t>% of Total Residential Units</t>
  </si>
  <si>
    <t>Local PHA</t>
  </si>
  <si>
    <t>Contact</t>
  </si>
  <si>
    <t>Street Address</t>
  </si>
  <si>
    <t>State</t>
  </si>
  <si>
    <t>Email</t>
  </si>
  <si>
    <t>Area Code / Phone</t>
  </si>
  <si>
    <t>Fax</t>
  </si>
  <si>
    <t>Direct line</t>
  </si>
  <si>
    <t>Tax Exempt Bonds</t>
  </si>
  <si>
    <t>Taxable Bonds</t>
  </si>
  <si>
    <t>Vidalia Development Authority</t>
  </si>
  <si>
    <t>Are 100% of units HUD PBRA?</t>
  </si>
  <si>
    <t>*Elderly allowances cannot be used except at properties that have 100% HUD PBRA and satisfy the DCA definition of "elderly"</t>
  </si>
  <si>
    <t>Int Rate</t>
  </si>
  <si>
    <t>Operating Expense?</t>
  </si>
  <si>
    <t>Semi-monthly classes conducted on site</t>
  </si>
  <si>
    <t>Housing Authority of the City of Vienna</t>
  </si>
  <si>
    <t>Offerman</t>
  </si>
  <si>
    <t>3 BR Acq/Rhb LI Units</t>
  </si>
  <si>
    <t>4 BR Acq/Rhb LI Units</t>
  </si>
  <si>
    <t>Efficiency Acq/Rhb Mkt Units</t>
  </si>
  <si>
    <t>Kennesaw Development Authority</t>
  </si>
  <si>
    <t>Preston</t>
  </si>
  <si>
    <t>Kennesaw Downtown Development Authority</t>
  </si>
  <si>
    <t>Kingsland Development Authority</t>
  </si>
  <si>
    <t>Housing Authority City of Sylvester, GA</t>
  </si>
  <si>
    <t>North High Shoals</t>
  </si>
  <si>
    <t>&lt;&lt;Select Fuel &gt;&gt;</t>
  </si>
  <si>
    <t>Large open playing fields (of at least 5,000 square feet) (Family projects only)</t>
  </si>
  <si>
    <t>Number of 60% Units</t>
  </si>
  <si>
    <t>PHA Units</t>
  </si>
  <si>
    <t>Banks County, GA</t>
  </si>
  <si>
    <t>Downtown Development Authority of Bremen</t>
  </si>
  <si>
    <t>Elberton</t>
  </si>
  <si>
    <t>Downtown Development Authority of Brunswick</t>
  </si>
  <si>
    <t>Ellaville</t>
  </si>
  <si>
    <t>Housing Authority of the City of Swainsboro</t>
  </si>
  <si>
    <t>Norwood</t>
  </si>
  <si>
    <t>Housing Authority of the City of Sylvania</t>
  </si>
  <si>
    <t>Nunez</t>
  </si>
  <si>
    <t>Housing Authority of the City of Tallapoosa, Georgia</t>
  </si>
  <si>
    <t>Housing Authority of the City of Thomaston</t>
  </si>
  <si>
    <t>Oak Park</t>
  </si>
  <si>
    <t>Housing Authority of the City of Thomasville, Georgia</t>
  </si>
  <si>
    <t>Oakwood</t>
  </si>
  <si>
    <t>Housing Authority of the City of Thomson, Georgia</t>
  </si>
  <si>
    <t>Ochlocknee</t>
  </si>
  <si>
    <t>Housing Authority of the City of Tifton, Georgia</t>
  </si>
  <si>
    <t>Ocilla</t>
  </si>
  <si>
    <t>Housing Authority of the City of Toccoa, Ga.</t>
  </si>
  <si>
    <t>Housing Authority of the City of Vidalia</t>
  </si>
  <si>
    <t>DCA USE</t>
  </si>
  <si>
    <t>&lt;&lt;Enter Provider Name Here&gt;&gt;</t>
  </si>
  <si>
    <t>Sight / Hearing Impaired</t>
  </si>
  <si>
    <t>Grants/Loans</t>
  </si>
  <si>
    <t>DCA COMMENTS</t>
  </si>
  <si>
    <t>HOME projects - Fixed or Floating units:</t>
  </si>
  <si>
    <t>Names of Projects in which the Owner, Developer and Consultant(s) and each of its principals is partnering with an inexperienced unrelated entity for purposes of meeting DCA Experience Requirements:</t>
  </si>
  <si>
    <t>Americus</t>
  </si>
  <si>
    <t>Check all that are available to the site and enter provider name:</t>
  </si>
  <si>
    <t>Owner</t>
  </si>
  <si>
    <t>Refuse Collection</t>
  </si>
  <si>
    <t>Heat</t>
  </si>
  <si>
    <t>Developer's Profit</t>
  </si>
  <si>
    <t>OWNERSHIP ENTITY</t>
  </si>
  <si>
    <t>PROPOSED PARTNERSHIP INFORMATION</t>
  </si>
  <si>
    <t>Managing Gen'l Partner</t>
  </si>
  <si>
    <t>Other General Partner</t>
  </si>
  <si>
    <t>OWNERSHIP INFORMATION</t>
  </si>
  <si>
    <t>LIMITED PARTNERS (PROPOSED OR ACTUAL)</t>
  </si>
  <si>
    <t>Developer's Overhead</t>
  </si>
  <si>
    <t>Consultant's Fee</t>
  </si>
  <si>
    <t>Developer's Fee</t>
  </si>
  <si>
    <t>Costs of Nonqualifying units of higher quality</t>
  </si>
  <si>
    <t>Nonqualifying excess portion of higher quality units</t>
  </si>
  <si>
    <t>Total Subtractions From Basis:</t>
  </si>
  <si>
    <t>Applicant's comments regarding this section of Threshold:</t>
  </si>
  <si>
    <t>DCA's Comments:</t>
  </si>
  <si>
    <t>Pass?</t>
  </si>
  <si>
    <t>Missing or Incomplete Documents</t>
  </si>
  <si>
    <t>Invstmt Earnings: Taxable Bonds</t>
  </si>
  <si>
    <t>Income from Operations</t>
  </si>
  <si>
    <t>Financing Type</t>
  </si>
  <si>
    <t>Joint Development Authority of Burke County and City of Waynesboro</t>
  </si>
  <si>
    <t>Pineview</t>
  </si>
  <si>
    <t>DESIRABLE AND UNDESIRABLE CHARACTERISTICS</t>
  </si>
  <si>
    <t>Desirable Activities</t>
  </si>
  <si>
    <t xml:space="preserve">Undesirable Sites         </t>
  </si>
  <si>
    <t>Furnished Library (must include sitting areas, tables, periodicals, adequate reference materials)</t>
  </si>
  <si>
    <t xml:space="preserve">Swimming Pool </t>
  </si>
  <si>
    <t>McDuffie</t>
  </si>
  <si>
    <t>McIntosh</t>
  </si>
  <si>
    <t>Meriwether</t>
  </si>
  <si>
    <t>See scoring criteria for further requirements and information</t>
  </si>
  <si>
    <t>Attic insulation to R-38</t>
  </si>
  <si>
    <t>6.</t>
  </si>
  <si>
    <t>Terrell County Development Authority</t>
  </si>
  <si>
    <t>The Commerce Housing Authority</t>
  </si>
  <si>
    <t>Sky Valley</t>
  </si>
  <si>
    <t>The Development Authority of Long County</t>
  </si>
  <si>
    <t>Smithville</t>
  </si>
  <si>
    <t>The Development Authority of Pickens County</t>
  </si>
  <si>
    <t>Smyrna</t>
  </si>
  <si>
    <t>The Development Authority of Snellville, Georgia</t>
  </si>
  <si>
    <t>Snellville</t>
  </si>
  <si>
    <t>Downtown Development Authority of Centerville</t>
  </si>
  <si>
    <t>Ellenton</t>
  </si>
  <si>
    <t>Downtown Development Authority of Chatsworth</t>
  </si>
  <si>
    <t>Downtown Development Authority of Columbus, Georgia</t>
  </si>
  <si>
    <t>Ellijay</t>
  </si>
  <si>
    <t>Downtown Development Authority of Cordele</t>
  </si>
  <si>
    <t>Emerson</t>
  </si>
  <si>
    <t>Downtown Development Authority of Cuthbert, Georgia</t>
  </si>
  <si>
    <t>Enigma</t>
  </si>
  <si>
    <t>Sugar Hill</t>
  </si>
  <si>
    <t>Turner County Development Authority</t>
  </si>
  <si>
    <t>Union City Housing Authority</t>
  </si>
  <si>
    <t>Summertown</t>
  </si>
  <si>
    <t>Urban Redevelopment Agency of Clayton County, Georgia</t>
  </si>
  <si>
    <t>Summerville</t>
  </si>
  <si>
    <t>To DCA:</t>
  </si>
  <si>
    <t>Non-MSA Rural w/out USDA Financing</t>
  </si>
  <si>
    <t xml:space="preserve">      Yr 1 Asset Mgt Fee Percentage of EGI:</t>
  </si>
  <si>
    <t>Tift Co.</t>
  </si>
  <si>
    <t>Toombs</t>
  </si>
  <si>
    <t>Toombs Co.</t>
  </si>
  <si>
    <t>Towns</t>
  </si>
  <si>
    <t>Towns Co.</t>
  </si>
  <si>
    <t>Treutlen</t>
  </si>
  <si>
    <t>Treutlen Co.</t>
  </si>
  <si>
    <t>Troup</t>
  </si>
  <si>
    <t>Troup Co.</t>
  </si>
  <si>
    <t>Turner</t>
  </si>
  <si>
    <t>Turner Co.</t>
  </si>
  <si>
    <t>Twiggs</t>
  </si>
  <si>
    <t>Union</t>
  </si>
  <si>
    <t>Union Co.</t>
  </si>
  <si>
    <t>Downtown Athens Development Authority</t>
  </si>
  <si>
    <t>Downtown Camilla Development Authority</t>
  </si>
  <si>
    <t>Douglasville</t>
  </si>
  <si>
    <t>Downtown Dalton Development Authority</t>
  </si>
  <si>
    <t>Downtown Development Authority for the City of Garden City</t>
  </si>
  <si>
    <t>Downtown Development Authority for the City of Hahira, Georgia</t>
  </si>
  <si>
    <t>Dublin</t>
  </si>
  <si>
    <t>Downtown Development Authority for the City of Savannah</t>
  </si>
  <si>
    <t>Dudley</t>
  </si>
  <si>
    <t>Community area (select either community room or community building):</t>
  </si>
  <si>
    <t>Downtown Development Authority of Douglas</t>
  </si>
  <si>
    <t>Ephesus</t>
  </si>
  <si>
    <t>Downtown Development Authority of Fairburn</t>
  </si>
  <si>
    <t>Downtown Development Authority of Fitzgerald</t>
  </si>
  <si>
    <t>Eton</t>
  </si>
  <si>
    <t>Downtown Development Authority of Forsyth</t>
  </si>
  <si>
    <t>Euharlee</t>
  </si>
  <si>
    <t>Downtown Development Authority of Fort Gaines, Georgia</t>
  </si>
  <si>
    <t>Development Authority of the City of Milledgeville and Baldwin County</t>
  </si>
  <si>
    <t>Davisboro</t>
  </si>
  <si>
    <t>Development Authority of the City of Newnan</t>
  </si>
  <si>
    <t>Fall Line Regional Development Authority</t>
  </si>
  <si>
    <t>Hinesville</t>
  </si>
  <si>
    <t>Name of consultant preparing PNA:</t>
  </si>
  <si>
    <t>Odum</t>
  </si>
  <si>
    <t>G.</t>
  </si>
  <si>
    <t>Attractive Features</t>
  </si>
  <si>
    <t>Washer/dryer hookups in all units in addition to required central laundry</t>
  </si>
  <si>
    <t>Whitfield</t>
  </si>
  <si>
    <t>Wilcox</t>
  </si>
  <si>
    <t>Murray County, GA HUD Metro FMR Area</t>
  </si>
  <si>
    <t>Peach County, GA</t>
  </si>
  <si>
    <t>Pierce County, GA</t>
  </si>
  <si>
    <t>Polk County, GA</t>
  </si>
  <si>
    <t>Pulaski County, GA</t>
  </si>
  <si>
    <t>Putnam County, GA</t>
  </si>
  <si>
    <t>Picnic area equipped with adequate picnic tables and grills</t>
  </si>
  <si>
    <t>Dodge County, GA</t>
  </si>
  <si>
    <t>Dooly County, GA</t>
  </si>
  <si>
    <t>Early County, GA</t>
  </si>
  <si>
    <t>Construction Contingency</t>
  </si>
  <si>
    <t>Athens-Clarke County Downtown Development Authority</t>
  </si>
  <si>
    <t>Aldora</t>
  </si>
  <si>
    <t>Development Authority of the City of Americus</t>
  </si>
  <si>
    <t>Daisy</t>
  </si>
  <si>
    <t>Development Authority of the City of Bowdon</t>
  </si>
  <si>
    <t>Dallas</t>
  </si>
  <si>
    <t>Waycross and Ware County Development Authority</t>
  </si>
  <si>
    <t>Tallulah Falls</t>
  </si>
  <si>
    <t>West Central Georgia Joint Development Authority</t>
  </si>
  <si>
    <t>Talmo</t>
  </si>
  <si>
    <t>West Georgia Joint Development Authority</t>
  </si>
  <si>
    <t>Tarrytown</t>
  </si>
  <si>
    <t>Irwinton</t>
  </si>
  <si>
    <t>Greene County Development Authority</t>
  </si>
  <si>
    <t>Ivey</t>
  </si>
  <si>
    <t>Griffin-Spalding County Development Authority</t>
  </si>
  <si>
    <t>Is the Project Currently Occupied?</t>
  </si>
  <si>
    <t>Cellular</t>
  </si>
  <si>
    <t>Title</t>
  </si>
  <si>
    <t>Address</t>
  </si>
  <si>
    <t>Phone</t>
  </si>
  <si>
    <t>A.</t>
  </si>
  <si>
    <t>E-mail</t>
  </si>
  <si>
    <t>10-Digit Office Phone / Ext.</t>
  </si>
  <si>
    <t>B.</t>
  </si>
  <si>
    <t>1.</t>
  </si>
  <si>
    <t>GENERAL PARTNER(S)</t>
  </si>
  <si>
    <t>2.</t>
  </si>
  <si>
    <t>Name of Principal</t>
  </si>
  <si>
    <t>Amount</t>
  </si>
  <si>
    <t>Tattnall County Development Authority</t>
  </si>
  <si>
    <t>Shellman</t>
  </si>
  <si>
    <t>Housing Authority of Screven County</t>
  </si>
  <si>
    <t>Housing Authority of the City of Acworth</t>
  </si>
  <si>
    <t>LaFayette</t>
  </si>
  <si>
    <t>Number of Residential Buildings</t>
  </si>
  <si>
    <t>Number of Non-Residential Buildings</t>
  </si>
  <si>
    <t>Total Number of Buildings</t>
  </si>
  <si>
    <t>Avalon</t>
  </si>
  <si>
    <t>Property Appraisal</t>
  </si>
  <si>
    <t>Southeast Georgia Joint Development Authority</t>
  </si>
  <si>
    <t>Central Valdosta Development Authority</t>
  </si>
  <si>
    <t>Elberton Downtown Development Authority d/b/a MainStreet Elberton</t>
  </si>
  <si>
    <t>Hephzibah</t>
  </si>
  <si>
    <t>Upson</t>
  </si>
  <si>
    <t>Upson Co.</t>
  </si>
  <si>
    <t>Walker</t>
  </si>
  <si>
    <t>Walton</t>
  </si>
  <si>
    <t>Ware</t>
  </si>
  <si>
    <t>HVAC system designed for controlled introduction of outside air per ASHRAE 62.2</t>
  </si>
  <si>
    <t>High-speed internet access</t>
  </si>
  <si>
    <t>Taliaferro County, GA</t>
  </si>
  <si>
    <t>Tattnall County, GA</t>
  </si>
  <si>
    <t>Taylor County, GA</t>
  </si>
  <si>
    <t>Telfair County, GA</t>
  </si>
  <si>
    <t>Thomas County, GA</t>
  </si>
  <si>
    <t>Middle Coastal Unified Development Authority</t>
  </si>
  <si>
    <t xml:space="preserve">8.) </t>
  </si>
  <si>
    <t>9.)</t>
  </si>
  <si>
    <t>10.)</t>
  </si>
  <si>
    <t>11.)</t>
  </si>
  <si>
    <t>12.)</t>
  </si>
  <si>
    <t>13.)</t>
  </si>
  <si>
    <t>14.)</t>
  </si>
  <si>
    <t xml:space="preserve">15.) </t>
  </si>
  <si>
    <t>16.)</t>
  </si>
  <si>
    <t>17.)</t>
  </si>
  <si>
    <t>18.)</t>
  </si>
  <si>
    <t>19.)</t>
  </si>
  <si>
    <t>20.)</t>
  </si>
  <si>
    <t>Please increase or decrease row size as needed.</t>
  </si>
  <si>
    <t>OR Dollar amount</t>
  </si>
  <si>
    <t>Deferred DF % of Total DF</t>
  </si>
  <si>
    <t>Deferred DF Term (Years)</t>
  </si>
  <si>
    <t>Rent-Up Reserve</t>
  </si>
  <si>
    <t>Mths of projected operating expenses</t>
  </si>
  <si>
    <t>Project absorption period to reach stabilized occupancy</t>
  </si>
  <si>
    <t>Additional Requirements and Amenities for Senior projects</t>
  </si>
  <si>
    <t>Builder Profit</t>
  </si>
  <si>
    <t xml:space="preserve">Builder's Overhead </t>
  </si>
  <si>
    <t>*Refer to General Requirements policy in QAP</t>
  </si>
  <si>
    <t>TYPE OF APPLICATION</t>
  </si>
  <si>
    <t>SET ASIDES</t>
  </si>
  <si>
    <t>Monroe Co.</t>
  </si>
  <si>
    <t>Athens-Clarke Co.</t>
  </si>
  <si>
    <t>Subtractions From Eligible Basis</t>
  </si>
  <si>
    <t>Qualified Basis</t>
  </si>
  <si>
    <r>
      <t>Multiply Qualified Basis by Applicable Credit Percentage</t>
    </r>
    <r>
      <rPr>
        <sz val="8"/>
        <rFont val="Arial"/>
        <family val="2"/>
      </rPr>
      <t/>
    </r>
  </si>
  <si>
    <t>Walker County Development Authority</t>
  </si>
  <si>
    <t>Tallapoosa</t>
  </si>
  <si>
    <t>Accounting</t>
  </si>
  <si>
    <t>Scattered Site?</t>
  </si>
  <si>
    <t>Joint Development Authority of Brooks, Colquitt, Grady, Mitchell, and Thomas Counties</t>
  </si>
  <si>
    <t>Pinehurst</t>
  </si>
  <si>
    <t>Housing Authority of the City of Wrightsville</t>
  </si>
  <si>
    <t>Adjusted Eligible Basis</t>
  </si>
  <si>
    <t>Development Authority of Morgan County</t>
  </si>
  <si>
    <t>Coolidge</t>
  </si>
  <si>
    <t>Development Authority of Palmetto</t>
  </si>
  <si>
    <t>Cordele</t>
  </si>
  <si>
    <t>Development Authority of Effingham County</t>
  </si>
  <si>
    <t>Centerville</t>
  </si>
  <si>
    <t>Development Authority of Elbert County, Elberton and Bowman</t>
  </si>
  <si>
    <t>Centralhatchee</t>
  </si>
  <si>
    <t>Development Authority of Emanuel County</t>
  </si>
  <si>
    <t>Chamblee</t>
  </si>
  <si>
    <t>Development Authority of Emanuel County and the City of Swainsboro</t>
  </si>
  <si>
    <t>Chatsworth</t>
  </si>
  <si>
    <t>Development Authority of Fairburn</t>
  </si>
  <si>
    <t>Chauncey</t>
  </si>
  <si>
    <t>Development Authority of Floyd County</t>
  </si>
  <si>
    <t>Chester</t>
  </si>
  <si>
    <t>Auburn</t>
  </si>
  <si>
    <t>Canton Development Authority</t>
  </si>
  <si>
    <t>Carrollton Redevelopment Authority</t>
  </si>
  <si>
    <t>Austell</t>
  </si>
  <si>
    <t>Cartersville Development Authority</t>
  </si>
  <si>
    <t>Avera</t>
  </si>
  <si>
    <t>Housing Authority of the City of Louisville</t>
  </si>
  <si>
    <t>Molena</t>
  </si>
  <si>
    <t xml:space="preserve">Other (If Yes, then also describe): </t>
  </si>
  <si>
    <t>Adairsville Downtown Development Authority</t>
  </si>
  <si>
    <t>Adrian</t>
  </si>
  <si>
    <t>Albany-Dougherty Inner City Authority</t>
  </si>
  <si>
    <t>Ailey</t>
  </si>
  <si>
    <t>Alma Downtown Development Authority</t>
  </si>
  <si>
    <t>Alamo</t>
  </si>
  <si>
    <t>Arabi Industrial Development Authority</t>
  </si>
  <si>
    <t>Alapaha</t>
  </si>
  <si>
    <t>Arlington Housing Authority</t>
  </si>
  <si>
    <t>Microwave Oven in every unit</t>
  </si>
  <si>
    <t>Built in dishwasher in every unit</t>
  </si>
  <si>
    <t>Installed call system in all units</t>
  </si>
  <si>
    <t>High-speed internet access No Cost</t>
  </si>
  <si>
    <t>High-speed internet access Low Cost</t>
  </si>
  <si>
    <t>Housing Authority of the City of Moultrie, Georgia</t>
  </si>
  <si>
    <t>Moultrie</t>
  </si>
  <si>
    <t>Housing Authority of the City of Mt. Vernon</t>
  </si>
  <si>
    <t>Winder Downtown Development Authority</t>
  </si>
  <si>
    <t>Temple</t>
  </si>
  <si>
    <t>Effective</t>
  </si>
  <si>
    <t>The Housing Authority of the City of Dallas, Georgia</t>
  </si>
  <si>
    <t>The Housing Authority of the City of Newnan</t>
  </si>
  <si>
    <t>Statesboro</t>
  </si>
  <si>
    <t>Wellness Center</t>
  </si>
  <si>
    <t>Beauty Parlor</t>
  </si>
  <si>
    <t>Equipped Playground</t>
  </si>
  <si>
    <t>Cartersville Downtown Development Authority</t>
  </si>
  <si>
    <t>Avondale Estates</t>
  </si>
  <si>
    <t>Catoosa County Development Authority</t>
  </si>
  <si>
    <t>Baconton</t>
  </si>
  <si>
    <t>Cedartown Development Authority</t>
  </si>
  <si>
    <t>Bainbridge</t>
  </si>
  <si>
    <t>Cedartown Downtown Development Authority</t>
  </si>
  <si>
    <t>Organization</t>
  </si>
  <si>
    <t>Grady County Joint Development Authority</t>
  </si>
  <si>
    <t>D.</t>
  </si>
  <si>
    <t>a.</t>
  </si>
  <si>
    <t>b.</t>
  </si>
  <si>
    <t>Site entry w/ permanent, illuminated entry sign and decorative fence</t>
  </si>
  <si>
    <t>Housing Authority of the Town of Homer, Ga.</t>
  </si>
  <si>
    <t>Pelham</t>
  </si>
  <si>
    <t>Houston County Development Authority</t>
  </si>
  <si>
    <t>Pembroke</t>
  </si>
  <si>
    <t>Ideal Downtown Development Authority</t>
  </si>
  <si>
    <t>Woodbine Downtown Development Authority</t>
  </si>
  <si>
    <t>Tennille</t>
  </si>
  <si>
    <t>Thomaston</t>
  </si>
  <si>
    <t>Thomasville</t>
  </si>
  <si>
    <t>Development of YMCA center</t>
  </si>
  <si>
    <t>Development of youth center</t>
  </si>
  <si>
    <t>Development of senior center</t>
  </si>
  <si>
    <t>Construction of sidewalks adjacent to the property</t>
  </si>
  <si>
    <t>Construction of streetscape adjacent to the property</t>
  </si>
  <si>
    <t>Development of parks on a master plan development site</t>
  </si>
  <si>
    <t>per annum</t>
  </si>
  <si>
    <t>Other - describe here</t>
  </si>
  <si>
    <t>Project Participant</t>
  </si>
  <si>
    <t>Low Income</t>
  </si>
  <si>
    <t>Acq/Rehab</t>
  </si>
  <si>
    <t>Development Authority of Mitchell County</t>
  </si>
  <si>
    <t>Development Authority of Monroe County</t>
  </si>
  <si>
    <t>Conyers</t>
  </si>
  <si>
    <t>Census Designated Place</t>
  </si>
  <si>
    <t>Register</t>
  </si>
  <si>
    <t>Lavonia Downtown Development Authority</t>
  </si>
  <si>
    <t>Reidsville</t>
  </si>
  <si>
    <t>Lincoln County Development Authority</t>
  </si>
  <si>
    <t>Remerton</t>
  </si>
  <si>
    <t>Long County Housing Authority</t>
  </si>
  <si>
    <t>Rentz</t>
  </si>
  <si>
    <t>Lyons Downtown Development Authority</t>
  </si>
  <si>
    <t>Resaca</t>
  </si>
  <si>
    <t>Macon-Bibb County Urban Development Authority</t>
  </si>
  <si>
    <t>Amount of nonqualified nonrecourse financing</t>
  </si>
  <si>
    <t>The following sections apply to all direct and indirect Owners, Developers and Consultants (Entity and Principal) :</t>
  </si>
  <si>
    <t>Development Authority of the City of Oakwood</t>
  </si>
  <si>
    <t>Dawsonville</t>
  </si>
  <si>
    <t>Enterprise Foundation's Green Communities standard of construction and certification</t>
  </si>
  <si>
    <t>Surplus / (Shortage) of Construction funds to Construction costs:</t>
  </si>
  <si>
    <t>&lt;&lt; Select &gt;&gt;</t>
  </si>
  <si>
    <t>City of Clayton Downtown Development Authority</t>
  </si>
  <si>
    <t>City of Commerce Downtown Development Authority</t>
  </si>
  <si>
    <t>Bishop</t>
  </si>
  <si>
    <t>Fitzgerald/Ben Hill County Development Authority</t>
  </si>
  <si>
    <t>Hoboken</t>
  </si>
  <si>
    <t>Pulaski County-Hawkinsville Development Authority</t>
  </si>
  <si>
    <t>Roswell</t>
  </si>
  <si>
    <t>Unit Square Footage:</t>
  </si>
  <si>
    <t>Date all buildings will complete 15 yr Compliance pd</t>
  </si>
  <si>
    <t>Nbr of Units Reserved and Rented to PHA Tenants w/ PBRA or Households on Waiting List:</t>
  </si>
  <si>
    <t>Schley Co.</t>
  </si>
  <si>
    <t>Screven</t>
  </si>
  <si>
    <t>Screven Co.</t>
  </si>
  <si>
    <t>Seminole</t>
  </si>
  <si>
    <t>Seminole Co.</t>
  </si>
  <si>
    <t>Spalding</t>
  </si>
  <si>
    <t>Stephens</t>
  </si>
  <si>
    <t>Stephens Co.</t>
  </si>
  <si>
    <t>Stewart</t>
  </si>
  <si>
    <t>Stewart Co.</t>
  </si>
  <si>
    <t>Sumter</t>
  </si>
  <si>
    <t>Sumter Co.</t>
  </si>
  <si>
    <t>Talbot</t>
  </si>
  <si>
    <t>Talbot Co.</t>
  </si>
  <si>
    <t>Taliaferro</t>
  </si>
  <si>
    <t>Taliaferro Co.</t>
  </si>
  <si>
    <t>Tattnall</t>
  </si>
  <si>
    <t>Tattnall Co.</t>
  </si>
  <si>
    <t>Taylor</t>
  </si>
  <si>
    <t>TOTAL OPERATING EXPENSES</t>
  </si>
  <si>
    <t>TOTAL ANNUAL EXPENSES</t>
  </si>
  <si>
    <t>Revenue Growth</t>
  </si>
  <si>
    <t>Expense Growth</t>
  </si>
  <si>
    <t>Vacancy &amp; Collection Loss</t>
  </si>
  <si>
    <t>Reserves Growth</t>
  </si>
  <si>
    <t>Phased Project?</t>
  </si>
  <si>
    <t>10-Digit Office Phone</t>
  </si>
  <si>
    <t>Contact Name</t>
  </si>
  <si>
    <t>Installed call system in all units, including a buzzer and light to the exterior (basic amenity for senior projects)</t>
  </si>
  <si>
    <t>Management Salaries &amp; Benefits</t>
  </si>
  <si>
    <t>ACQUISITION</t>
  </si>
  <si>
    <t>Land</t>
  </si>
  <si>
    <t>Housing Authority of the City of Ashburn</t>
  </si>
  <si>
    <t>Housing Authority of the City of Athens, Georgia</t>
  </si>
  <si>
    <t xml:space="preserve">Other HOME* </t>
  </si>
  <si>
    <t>Is sufficient comparable replacement housing identified in the relocation plan according to DCA relocation requirements?</t>
  </si>
  <si>
    <t xml:space="preserve">1) Are any of the sources other than DCA HOME considered to be Federal Funding? </t>
  </si>
  <si>
    <t>2)  Will any funding source used trigger the Uniform Relocation Act or HUD 104 (d) requirements?</t>
  </si>
  <si>
    <t xml:space="preserve">1) Number of Over Income Tenants </t>
  </si>
  <si>
    <t>2) Number of Rent Burdened Tenants</t>
  </si>
  <si>
    <t>3) Number of Vacancies</t>
  </si>
  <si>
    <t>4) Number of Down units</t>
  </si>
  <si>
    <t>5) Number of Displaced Tenants</t>
  </si>
  <si>
    <t>1) Individual interviews</t>
  </si>
  <si>
    <t>Efficiency Rehab Mkt Units</t>
  </si>
  <si>
    <t>1 BR Rehab Mkt Units</t>
  </si>
  <si>
    <t>2 BR Rehab Mkt Units</t>
  </si>
  <si>
    <t>Does this application meet the Architectural Standards contained in the Application Manual for quality and longevity?</t>
  </si>
  <si>
    <t>Amenities?</t>
  </si>
  <si>
    <t>(no rent to be charged)</t>
  </si>
  <si>
    <t>Architectural Standards?</t>
  </si>
  <si>
    <t>(Years)</t>
  </si>
  <si>
    <t>Federal Grant</t>
  </si>
  <si>
    <t>Total Permanent Financing:</t>
  </si>
  <si>
    <t>Total Development Costs from Development Budget:</t>
  </si>
  <si>
    <t>Self</t>
  </si>
  <si>
    <t>Score</t>
  </si>
  <si>
    <t>Less Total Subtractions From Basis (see above)</t>
  </si>
  <si>
    <t>Total Eligible Basis</t>
  </si>
  <si>
    <t>City of Willacoochee Development Authority</t>
  </si>
  <si>
    <t>Clay County Development Authority</t>
  </si>
  <si>
    <t>Boston</t>
  </si>
  <si>
    <t>Clinch County Development Authority</t>
  </si>
  <si>
    <t>Bostwick</t>
  </si>
  <si>
    <t>Submetered?</t>
  </si>
  <si>
    <t>UTILITY ALLOWANCE SCHEDULE #1</t>
  </si>
  <si>
    <t>UTILITY ALLOWANCE SCHEDULE #2</t>
  </si>
  <si>
    <t>Zip+4</t>
  </si>
  <si>
    <t>City of Jesup Downtown Development Authority</t>
  </si>
  <si>
    <t>Blue Ridge</t>
  </si>
  <si>
    <t>Equity Gap</t>
  </si>
  <si>
    <t>Phased Developments</t>
  </si>
  <si>
    <t>Previous Projects</t>
  </si>
  <si>
    <t xml:space="preserve">Waiver of Qualified Contract Right </t>
  </si>
  <si>
    <t>Tenant Ownership</t>
  </si>
  <si>
    <t>Chattooga County Development Authority</t>
  </si>
  <si>
    <t>Baxley</t>
  </si>
  <si>
    <t>Cherokee County Development Authority</t>
  </si>
  <si>
    <t>Bellville</t>
  </si>
  <si>
    <t>City of Alpharetta Development Authority</t>
  </si>
  <si>
    <t>Berkeley Lake</t>
  </si>
  <si>
    <t>Exterior Wall Finishes and Major Building Component Materials and Upgrades</t>
  </si>
  <si>
    <t>Emanuel</t>
  </si>
  <si>
    <t>Emanuel Co.</t>
  </si>
  <si>
    <t>Evans</t>
  </si>
  <si>
    <t>First Building ID Nbr in Project</t>
  </si>
  <si>
    <t>Last Building ID Nbr in Project</t>
  </si>
  <si>
    <t>Housing Authority of the City of Ringgold</t>
  </si>
  <si>
    <t>Nashville</t>
  </si>
  <si>
    <t>Hogansville Development Authority</t>
  </si>
  <si>
    <t>Jenkinsburg</t>
  </si>
  <si>
    <t>XV.</t>
  </si>
  <si>
    <t>Is there a Waiver Approval Letter From DCA included in this application for this criterion?</t>
  </si>
  <si>
    <t>4) Other - describe in box provided:</t>
  </si>
  <si>
    <t>Annual Debt Svc</t>
  </si>
  <si>
    <t>Loan Amount:</t>
  </si>
  <si>
    <t>Sycamore</t>
  </si>
  <si>
    <t>Valdosta Housing Authority</t>
  </si>
  <si>
    <t>Sylvania</t>
  </si>
  <si>
    <t>Valley Partnership Joint Development Authority</t>
  </si>
  <si>
    <t>Sylvester</t>
  </si>
  <si>
    <t>Toccoa</t>
  </si>
  <si>
    <t>Bartow-Cartersville Joint Development Authority</t>
  </si>
  <si>
    <t>Ambrose</t>
  </si>
  <si>
    <t>Ben Hill-Irwin Area Joint Development Authority</t>
  </si>
  <si>
    <t>Pelham Housing Authority</t>
  </si>
  <si>
    <t>Rocky Ford</t>
  </si>
  <si>
    <t>Pooler Development Authority</t>
  </si>
  <si>
    <t>Rome</t>
  </si>
  <si>
    <t>City of Barnesville and County of Lamar Development Authority</t>
  </si>
  <si>
    <t>Bowersville</t>
  </si>
  <si>
    <t>Coweta, Fayette, Meriwether Joint Development Authority</t>
  </si>
  <si>
    <t>Omega</t>
  </si>
  <si>
    <t>Housing Authority of the City of Waynesboro</t>
  </si>
  <si>
    <t>Orchard Hill</t>
  </si>
  <si>
    <t>Housing Authority of the City of Roberta, GA.</t>
  </si>
  <si>
    <t>Unit Breakdown</t>
  </si>
  <si>
    <t>Number of Low Income Units</t>
  </si>
  <si>
    <t>Downtown Development Authority of Lawrenceville, GA</t>
  </si>
  <si>
    <t>Fayetteville</t>
  </si>
  <si>
    <t>Downtown Development Authority of Madison</t>
  </si>
  <si>
    <t>Fitzgerald</t>
  </si>
  <si>
    <t>Other (See comments)</t>
  </si>
  <si>
    <t>Acreage</t>
  </si>
  <si>
    <t>Housing Authority of the City of Pearson, Georgia</t>
  </si>
  <si>
    <t>Mountain Park</t>
  </si>
  <si>
    <t>Included in Mgt Fee:</t>
  </si>
  <si>
    <t>Elbert County Richard B. Russell Development Authority</t>
  </si>
  <si>
    <t>Helena</t>
  </si>
  <si>
    <t>Development Authority of Catoosa County</t>
  </si>
  <si>
    <t>Cairo</t>
  </si>
  <si>
    <t>Development Authority of Chattooga County</t>
  </si>
  <si>
    <t>Development Authority of Cherokee County</t>
  </si>
  <si>
    <t>Development Authority of City of Edison, Georgia</t>
  </si>
  <si>
    <t>Camak</t>
  </si>
  <si>
    <t>Census Tract #</t>
  </si>
  <si>
    <t>New Construction</t>
  </si>
  <si>
    <t>Mixed Use</t>
  </si>
  <si>
    <t>Buildings</t>
  </si>
  <si>
    <t>Cost of Issuance / Underwriter's Discount</t>
  </si>
  <si>
    <t>EQUITY COSTS</t>
  </si>
  <si>
    <t>Crisp-Dooly Joint Development Authority</t>
  </si>
  <si>
    <t>Name</t>
  </si>
  <si>
    <t>Unit Area</t>
  </si>
  <si>
    <t>Gibson Housing Authority</t>
  </si>
  <si>
    <t>Glennville Development Authority</t>
  </si>
  <si>
    <t>Hull</t>
  </si>
  <si>
    <t>Glennville Downtown Development Authority</t>
  </si>
  <si>
    <t>Ideal</t>
  </si>
  <si>
    <t>Urban Redevelopment Agency of the City of Kennesaw, Georgia</t>
  </si>
  <si>
    <t>Suwanee</t>
  </si>
  <si>
    <t>1 BR 50% Units</t>
  </si>
  <si>
    <t>2 BR 50% Units</t>
  </si>
  <si>
    <t>3 BR 50% Units</t>
  </si>
  <si>
    <t>4 BR 50% Units</t>
  </si>
  <si>
    <t>1 BR 30% Units</t>
  </si>
  <si>
    <t>2 BR 30% Units</t>
  </si>
  <si>
    <t>3 BR 30% Units</t>
  </si>
  <si>
    <t>4 BR 30% Units</t>
  </si>
  <si>
    <t>1 BR Mkt Units</t>
  </si>
  <si>
    <t>2 BR Mkt Units</t>
  </si>
  <si>
    <t>3 BR Mkt Units</t>
  </si>
  <si>
    <t>Gainesville Redevelopment Authority</t>
  </si>
  <si>
    <t>Georgia Bioscience Joint Development Authority</t>
  </si>
  <si>
    <t>Hoschton</t>
  </si>
  <si>
    <t>Housing Authority of the City of Griffin</t>
  </si>
  <si>
    <t>Meansville</t>
  </si>
  <si>
    <t>Nbr yrs to forgo cancellation option:</t>
  </si>
  <si>
    <t>&lt;&lt;Select exterior material /finish upgrade choice from options provided here&gt;&gt;</t>
  </si>
  <si>
    <t>Sustainable Communities Certification</t>
  </si>
  <si>
    <t>Development Authority of Fulton County</t>
  </si>
  <si>
    <t>Development Authority of Gordon County</t>
  </si>
  <si>
    <t>Clarkesville</t>
  </si>
  <si>
    <t>Bowman</t>
  </si>
  <si>
    <t>Thomson</t>
  </si>
  <si>
    <t>Thunderbolt</t>
  </si>
  <si>
    <t>Tifton</t>
  </si>
  <si>
    <t>Tiger</t>
  </si>
  <si>
    <t>Tignall</t>
  </si>
  <si>
    <t>Lexington</t>
  </si>
  <si>
    <t>Housing Authority of the City of Calhoun</t>
  </si>
  <si>
    <t>Lilburn</t>
  </si>
  <si>
    <t>Eligible Basis Calculation</t>
  </si>
  <si>
    <t>Leased Furniture / Equipment</t>
  </si>
  <si>
    <t>Housing Authority of the City of Nashville, Georgia</t>
  </si>
  <si>
    <t>Target DCR</t>
  </si>
  <si>
    <t>CONTRACTOR SERVICES</t>
  </si>
  <si>
    <t>Builder Profit:</t>
  </si>
  <si>
    <t>CONSTRUCTION FINANCING</t>
  </si>
  <si>
    <t>Construction Loan Fee</t>
  </si>
  <si>
    <t>Construction Loan Interest</t>
  </si>
  <si>
    <t>Construction Legal Fees</t>
  </si>
  <si>
    <t>Construction Insurance</t>
  </si>
  <si>
    <t>Has there been any change in the Project Team since the initial pre-application submission?</t>
  </si>
  <si>
    <t>DCA Final Determination</t>
  </si>
  <si>
    <t>Is the applicant claiming these points?</t>
  </si>
  <si>
    <t>DCA Final Inspection Fee (Tax Credit only - no HOME)</t>
  </si>
  <si>
    <t>Water&amp;Swr</t>
  </si>
  <si>
    <t>Jonesboro</t>
  </si>
  <si>
    <t>Housing Authority of Clayton County</t>
  </si>
  <si>
    <t>Junction City</t>
  </si>
  <si>
    <t>Description of Improvement(s)</t>
  </si>
  <si>
    <t xml:space="preserve"> --&gt; If Yes, indicate actual percentage:</t>
  </si>
  <si>
    <t>Wheeler County, GA</t>
  </si>
  <si>
    <t>White County, GA</t>
  </si>
  <si>
    <t>Dalton, GA HUD Metro FMR Area</t>
  </si>
  <si>
    <t>Wilcox County, GA</t>
  </si>
  <si>
    <t>Development Authority of Bartow County</t>
  </si>
  <si>
    <t>Broxton</t>
  </si>
  <si>
    <t>Fort Gaines</t>
  </si>
  <si>
    <t>Please note:</t>
  </si>
  <si>
    <t>4)</t>
  </si>
  <si>
    <t>RENT SCHEDULE</t>
  </si>
  <si>
    <t>Employee</t>
  </si>
  <si>
    <t>Addition of new or redesign of existing durable attractive stair and railing elements</t>
  </si>
  <si>
    <t>Development Authority of Atkinson County</t>
  </si>
  <si>
    <t>Brinson</t>
  </si>
  <si>
    <t>3a)</t>
  </si>
  <si>
    <t>3b)</t>
  </si>
  <si>
    <t>LESSER OF % of (TDC - uw Land - budgeted DF - Bldr profit)</t>
  </si>
  <si>
    <t>OR percentage proposed</t>
  </si>
  <si>
    <t>?</t>
  </si>
  <si>
    <t xml:space="preserve">      Yr 1 Prop Mgt Fee Percentage of EGI:</t>
  </si>
  <si>
    <t>DCA RESOURCES</t>
  </si>
  <si>
    <t>Tax Credit Election</t>
  </si>
  <si>
    <t>RENT AND INCOME ELECTIONS</t>
  </si>
  <si>
    <t>Project Nbr</t>
  </si>
  <si>
    <t>Are all issues and questions surrounding the zoning and land use classification clearly defined prior to this application submission?</t>
  </si>
  <si>
    <t>South Georgia Business and Development Authority</t>
  </si>
  <si>
    <t>Woodville</t>
  </si>
  <si>
    <t>Woolsey</t>
  </si>
  <si>
    <t>Wrens</t>
  </si>
  <si>
    <t>Per Owner Per Round (% of HOME funds available)</t>
  </si>
  <si>
    <t>Indicate Proposed Advisory Services to be used (see Relocation Manual for further explanation):</t>
  </si>
  <si>
    <t>Syndicator Legal Fees</t>
  </si>
  <si>
    <t>Proposed</t>
  </si>
  <si>
    <t>Gross Rent</t>
  </si>
  <si>
    <t>Max Gross</t>
  </si>
  <si>
    <t>Downtown Development Authority of Pitts, Georgia</t>
  </si>
  <si>
    <t>Folkston</t>
  </si>
  <si>
    <t>(see Income)</t>
  </si>
  <si>
    <t>Designated Middle or Upper Income level</t>
  </si>
  <si>
    <t>(see Demographics)</t>
  </si>
  <si>
    <t>Development Authority of Bainbridge and Decatur County</t>
  </si>
  <si>
    <t>Bronwood</t>
  </si>
  <si>
    <t>Development Authority of Baker County</t>
  </si>
  <si>
    <t>Development Authority of Banks County</t>
  </si>
  <si>
    <t>Wilcox Co.</t>
  </si>
  <si>
    <t>Wilkes</t>
  </si>
  <si>
    <t>Wilkes Co.</t>
  </si>
  <si>
    <t>Wilkinson</t>
  </si>
  <si>
    <t>Wilkinson Co.</t>
  </si>
  <si>
    <t>Worth</t>
  </si>
  <si>
    <t>Tax-Exempt Bond Issuers</t>
  </si>
  <si>
    <t>Abbeville</t>
  </si>
  <si>
    <t>A. Missing / incomplete documents:</t>
  </si>
  <si>
    <t>B. Financial adjustments/revisions requested:</t>
  </si>
  <si>
    <t>Revenues</t>
  </si>
  <si>
    <t>Vacancy</t>
  </si>
  <si>
    <t>PBRA Provider</t>
  </si>
  <si>
    <t>or Operating</t>
  </si>
  <si>
    <r>
      <t xml:space="preserve">Subsidy </t>
    </r>
    <r>
      <rPr>
        <b/>
        <sz val="10"/>
        <color indexed="10"/>
        <rFont val="Arial"/>
        <family val="2"/>
      </rPr>
      <t>***</t>
    </r>
  </si>
  <si>
    <t>Total Residential Units</t>
  </si>
  <si>
    <t>Common Space Units</t>
  </si>
  <si>
    <t>HOME</t>
  </si>
  <si>
    <t>Tax Credits</t>
  </si>
  <si>
    <t>Number of Persons in Family and Percentage Adjustments for Rent Calculations</t>
  </si>
  <si>
    <t>Housing Authority of the City of Albany</t>
  </si>
  <si>
    <t>Lakeland</t>
  </si>
  <si>
    <t>Has the Environmental Professional identified any of the following on the subject property:</t>
  </si>
  <si>
    <t>&lt;Enter detailed description here; use Comments section if needed&gt;</t>
  </si>
  <si>
    <t>Sandersville</t>
  </si>
  <si>
    <t>Sardis Development Authority</t>
  </si>
  <si>
    <t>PRESERVATION</t>
  </si>
  <si>
    <t>Expiring Tax Credit (15 Year)</t>
  </si>
  <si>
    <t>Year of Original Allocation</t>
  </si>
  <si>
    <t>First Year of Credit Period</t>
  </si>
  <si>
    <t>Development Authority of Walton County</t>
  </si>
  <si>
    <t>Development Authority of Warner Robins</t>
  </si>
  <si>
    <t>Dexter</t>
  </si>
  <si>
    <t>Development Authority of Warren County</t>
  </si>
  <si>
    <t>Dillard</t>
  </si>
  <si>
    <t>Development Authority of Washington County</t>
  </si>
  <si>
    <t>Development Authority of Wheeler County</t>
  </si>
  <si>
    <t>4 BR Common Space SF</t>
  </si>
  <si>
    <t>Efficiency Common Space Units</t>
  </si>
  <si>
    <t>1 BR Common Space Units</t>
  </si>
  <si>
    <t>2 BR Common Space Units</t>
  </si>
  <si>
    <t>3 BR Common Space Units</t>
  </si>
  <si>
    <t>4 BR Common Space Units</t>
  </si>
  <si>
    <t>a)</t>
  </si>
  <si>
    <t>b)</t>
  </si>
  <si>
    <t>c)</t>
  </si>
  <si>
    <t>d)</t>
  </si>
  <si>
    <t>e)</t>
  </si>
  <si>
    <t>1 BR</t>
  </si>
  <si>
    <t>2 BR</t>
  </si>
  <si>
    <t>3 BR</t>
  </si>
  <si>
    <t>4 BR</t>
  </si>
  <si>
    <t>City of Cumming Development Authority</t>
  </si>
  <si>
    <t>Blackshear</t>
  </si>
  <si>
    <t>City of Dawson Development Authority</t>
  </si>
  <si>
    <t>Blairsville</t>
  </si>
  <si>
    <t>City of Dublin and County of Laurens Development Authority</t>
  </si>
  <si>
    <t>Blakely</t>
  </si>
  <si>
    <t>City of Duluth Downtown Development Authority</t>
  </si>
  <si>
    <t>City of Fayetteville Downtown Development Authority</t>
  </si>
  <si>
    <t>Bloomingdale</t>
  </si>
  <si>
    <t>Norman Park</t>
  </si>
  <si>
    <t>Housing Authority of the City of Summerville</t>
  </si>
  <si>
    <t>f)</t>
  </si>
  <si>
    <t>g)</t>
  </si>
  <si>
    <t>h)</t>
  </si>
  <si>
    <t>i)</t>
  </si>
  <si>
    <t>j)</t>
  </si>
  <si>
    <t>PHASED DEVELOPMENTS / PREVIOUS PROJECTS</t>
  </si>
  <si>
    <t>MARKET</t>
  </si>
  <si>
    <t>Provide the name of the market study analyst used by applicant:</t>
  </si>
  <si>
    <t>Overall capture rate for credit units</t>
  </si>
  <si>
    <t>(Management Fee is from Pro Forma, Section 1, Operating Assumptions)</t>
  </si>
  <si>
    <t>Downtown Development Authority of the City of Jackson</t>
  </si>
  <si>
    <t>Gay</t>
  </si>
  <si>
    <t>Interest Rate:</t>
  </si>
  <si>
    <t>Investor Rate</t>
  </si>
  <si>
    <t>Servicing Fee</t>
  </si>
  <si>
    <t>GNMA Gty Fee</t>
  </si>
  <si>
    <t>USDA Annual Fee</t>
  </si>
  <si>
    <t>Loan Term</t>
  </si>
  <si>
    <t>years</t>
  </si>
  <si>
    <t>Amortization Period</t>
  </si>
  <si>
    <t>III. Amortization Schedule</t>
  </si>
  <si>
    <t>Month</t>
  </si>
  <si>
    <t>P&amp;I Payment</t>
  </si>
  <si>
    <t>Principal</t>
  </si>
  <si>
    <t>Balance</t>
  </si>
  <si>
    <t>Close</t>
  </si>
  <si>
    <t>Interest Credit</t>
  </si>
  <si>
    <t>Guarantee Fee</t>
  </si>
  <si>
    <t>Effective Rate</t>
  </si>
  <si>
    <t>Year</t>
  </si>
  <si>
    <t>Clay</t>
  </si>
  <si>
    <t>Clay Co.</t>
  </si>
  <si>
    <t>Clayton</t>
  </si>
  <si>
    <t>Clinch</t>
  </si>
  <si>
    <t>Clinch Co.</t>
  </si>
  <si>
    <t>Cobb</t>
  </si>
  <si>
    <t>Coffee</t>
  </si>
  <si>
    <t>Coffee Co.</t>
  </si>
  <si>
    <t>Colquitt</t>
  </si>
  <si>
    <t>Expiring Section 8</t>
  </si>
  <si>
    <t>GOVERNMENT FUNDING SOURCES  (check all that apply)</t>
  </si>
  <si>
    <t>Lyons</t>
  </si>
  <si>
    <t>Cleveland</t>
  </si>
  <si>
    <t>Development Authority of Jasper County</t>
  </si>
  <si>
    <t>Lead-based paint?</t>
  </si>
  <si>
    <t>MF Units</t>
  </si>
  <si>
    <t>SF Det'd Units</t>
  </si>
  <si>
    <t>MH Units</t>
  </si>
  <si>
    <t>Duplex Units</t>
  </si>
  <si>
    <t>Boundary and Topographical Survey</t>
  </si>
  <si>
    <t>Toombs County Development Authority</t>
  </si>
  <si>
    <t>Stone Mountain</t>
  </si>
  <si>
    <t>Treutlen County Development Authority</t>
  </si>
  <si>
    <t>Troup County Development  Authority</t>
  </si>
  <si>
    <t>Equipped walking path with exercise stations or sitting areas</t>
  </si>
  <si>
    <t xml:space="preserve">     </t>
  </si>
  <si>
    <t>Equipped playground (Must include minimum of three different pieces of equipment)</t>
  </si>
  <si>
    <t xml:space="preserve">Covered pavilion with picnic/barbecue facilities to encourage community or family reunion type functions  </t>
  </si>
  <si>
    <t xml:space="preserve">     Expense Growth Rate (3.00%)</t>
  </si>
  <si>
    <t>If access roads are not in place, does the application contain documentation evidencing a local commitment for the funding and the timetable for the completion of such paved roads?</t>
  </si>
  <si>
    <r>
      <t>The nbr of amenities required depends on the total unit count:</t>
    </r>
    <r>
      <rPr>
        <b/>
        <sz val="8"/>
        <rFont val="Arial"/>
        <family val="2"/>
      </rPr>
      <t xml:space="preserve"> 1-125 units = 2 amenities, 126+ units = 4 amenities;</t>
    </r>
  </si>
  <si>
    <t xml:space="preserve">Applicant agrees to provide the following required Additional Site Amenities to conform with the DCA Amenities Guidebook.  </t>
  </si>
  <si>
    <t>Yes/No</t>
  </si>
  <si>
    <t>Common Space</t>
  </si>
  <si>
    <t>(included in LI above)</t>
  </si>
  <si>
    <t>Downtown Development Authority of Austell</t>
  </si>
  <si>
    <t>Eastman</t>
  </si>
  <si>
    <t>Downtown Development Authority of Avondale Estates</t>
  </si>
  <si>
    <t>The Downtown Development Authority of the City of Griffin, Georgia</t>
  </si>
  <si>
    <t>Springfield</t>
  </si>
  <si>
    <t>The Housing Authority of the City of Americus, GA</t>
  </si>
  <si>
    <t>Source of Utility Allowances</t>
  </si>
  <si>
    <t>Powder Springs Downtown Development Authority</t>
  </si>
  <si>
    <t>Rossville</t>
  </si>
  <si>
    <t>&lt; Select applicable GICH &gt;</t>
  </si>
  <si>
    <t>&lt; Select Signature Community &gt;</t>
  </si>
  <si>
    <t>Lincoln County, GA</t>
  </si>
  <si>
    <t>1 BR 120% NSP Units</t>
  </si>
  <si>
    <t>2 BR 120% NSP Units</t>
  </si>
  <si>
    <t>Southeast Georgia Consolidated Housing Authority</t>
  </si>
  <si>
    <t>Scotland</t>
  </si>
  <si>
    <t>Colquitt Co.</t>
  </si>
  <si>
    <t>Columbia</t>
  </si>
  <si>
    <t>Cook</t>
  </si>
  <si>
    <t>Cook Co.</t>
  </si>
  <si>
    <t>Coweta</t>
  </si>
  <si>
    <t>Crawford</t>
  </si>
  <si>
    <t>Crisp</t>
  </si>
  <si>
    <t>3.</t>
  </si>
  <si>
    <t>The Development Authority of the City of Manchester</t>
  </si>
  <si>
    <t>Soperton</t>
  </si>
  <si>
    <t>The Development Authority of the City of Tallapoosa</t>
  </si>
  <si>
    <t>Sparks</t>
  </si>
  <si>
    <t>Tifton / Tift Co</t>
  </si>
  <si>
    <t>Colquitt /Miller Co</t>
  </si>
  <si>
    <t>Covington /Newton Co</t>
  </si>
  <si>
    <t>Flovilla / Butts Co</t>
  </si>
  <si>
    <t>Jesup / Wayne Co</t>
  </si>
  <si>
    <t>Toccoa / Stephens Co</t>
  </si>
  <si>
    <t>Wilkinson Co</t>
  </si>
  <si>
    <t>St. Mary's/Kingsland/Woodbine/Camden Co</t>
  </si>
  <si>
    <t>Is there a Pre-Determination Letter From DCA included in this application for this criterion?</t>
  </si>
  <si>
    <t>Central Georgia Joint Development Authority</t>
  </si>
  <si>
    <t>Ball Ground</t>
  </si>
  <si>
    <t>Multiply Adjusted Eligible Basis by Applicable Fraction</t>
  </si>
  <si>
    <t>Maximum Tax Credit Amount</t>
  </si>
  <si>
    <t>Is 20-year replacement reserve study included?</t>
  </si>
  <si>
    <t>In-sink disposal in every unit</t>
  </si>
  <si>
    <t>Bowdon Housing Authority</t>
  </si>
  <si>
    <t>Arabi</t>
  </si>
  <si>
    <t>Brantley County Development Authority</t>
  </si>
  <si>
    <t>Aragon</t>
  </si>
  <si>
    <t>Bremen Housing Authority</t>
  </si>
  <si>
    <t>Arcade</t>
  </si>
  <si>
    <t>Brooks County Development Authority</t>
  </si>
  <si>
    <t>Argyle</t>
  </si>
  <si>
    <t>Brunswick and Glynn County Development Authority</t>
  </si>
  <si>
    <t>Arlington</t>
  </si>
  <si>
    <t>Bryan County-Pembroke Development Authority</t>
  </si>
  <si>
    <t>Butts, Henry, Lamar and Spalding County Joint Development Authority</t>
  </si>
  <si>
    <t>Arnoldsville</t>
  </si>
  <si>
    <t>Byron  Development Authority</t>
  </si>
  <si>
    <t>Ashburn</t>
  </si>
  <si>
    <t>% of TDC</t>
  </si>
  <si>
    <t>Belvedere Park</t>
  </si>
  <si>
    <t>Blacksville</t>
  </si>
  <si>
    <t>Bonanza</t>
  </si>
  <si>
    <t>Candler-McAfee</t>
  </si>
  <si>
    <t>Chattanooga Valley</t>
  </si>
  <si>
    <t>Conley</t>
  </si>
  <si>
    <t>Country Club Estates</t>
  </si>
  <si>
    <t>Deenwood</t>
  </si>
  <si>
    <t>Dock Junction</t>
  </si>
  <si>
    <t>Druid Hills</t>
  </si>
  <si>
    <t>East Griffin</t>
  </si>
  <si>
    <t>East Newnan</t>
  </si>
  <si>
    <t>Experiment</t>
  </si>
  <si>
    <t>Fair Oaks</t>
  </si>
  <si>
    <t>Fairview</t>
  </si>
  <si>
    <t>Atlanta-Sandy Springs-Marietta, GA HUD Metro FMR Area</t>
  </si>
  <si>
    <t>Ben Hill County, GA</t>
  </si>
  <si>
    <t>Berrien County, GA</t>
  </si>
  <si>
    <t>Macon, GA MSA</t>
  </si>
  <si>
    <t>Bleckley County, GA</t>
  </si>
  <si>
    <t>Brunswick, GA MSA</t>
  </si>
  <si>
    <t>Valdosta, GA MSA</t>
  </si>
  <si>
    <t>Number:</t>
  </si>
  <si>
    <t>Morgan</t>
  </si>
  <si>
    <t>Morgan Co.</t>
  </si>
  <si>
    <t>Murray</t>
  </si>
  <si>
    <t>Murray Co.</t>
  </si>
  <si>
    <t>Muscogee</t>
  </si>
  <si>
    <t>Newton</t>
  </si>
  <si>
    <t>Oconee</t>
  </si>
  <si>
    <t>Oglethorpe</t>
  </si>
  <si>
    <t>Paulding</t>
  </si>
  <si>
    <t>Housing Authority of the City of Statesboro</t>
  </si>
  <si>
    <t>Housing Authority of the City of Monticello</t>
  </si>
  <si>
    <t>Morven</t>
  </si>
  <si>
    <t>Housing Authority of the City of Camilla</t>
  </si>
  <si>
    <t>Bulloch County, GA</t>
  </si>
  <si>
    <t>Augusta-Richmond County, GA-SC MSA</t>
  </si>
  <si>
    <t>Rural</t>
  </si>
  <si>
    <t>Nonprofit</t>
  </si>
  <si>
    <t>USDA 515</t>
  </si>
  <si>
    <t>USDA 538</t>
  </si>
  <si>
    <t>OTHER REQUIRED INFORMATION  (Answer each of the questions below for each participant listed below.)</t>
  </si>
  <si>
    <t xml:space="preserve"> If "Yes", provide the maximum noise level on site in decibels:</t>
  </si>
  <si>
    <t>1-Story</t>
  </si>
  <si>
    <t>2-Story</t>
  </si>
  <si>
    <t>3+-Story</t>
  </si>
  <si>
    <t>2-Story Wlkp</t>
  </si>
  <si>
    <t>FHLB / AHP *</t>
  </si>
  <si>
    <t>Section 8 PBRA</t>
  </si>
  <si>
    <t>McKinney-Vento Homeless</t>
  </si>
  <si>
    <t>HUD SA:</t>
  </si>
  <si>
    <t>Non-MSA</t>
  </si>
  <si>
    <t>MSA</t>
  </si>
  <si>
    <t>Mortgage A (Lien Position 1)</t>
  </si>
  <si>
    <t>Mortgage B (Lien Position 2)</t>
  </si>
  <si>
    <t>Mortgage C (Lien Position 3)</t>
  </si>
  <si>
    <t>Mortgage A Balance</t>
  </si>
  <si>
    <t>Mortgage B Balance</t>
  </si>
  <si>
    <t>Mortgage C Balance</t>
  </si>
  <si>
    <r>
      <t>TAX CREDIT ALLOCATION -</t>
    </r>
    <r>
      <rPr>
        <b/>
        <sz val="10"/>
        <rFont val="Arial Narrow"/>
        <family val="2"/>
      </rPr>
      <t xml:space="preserve"> </t>
    </r>
    <r>
      <rPr>
        <sz val="10"/>
        <rFont val="Arial Narrow"/>
        <family val="2"/>
      </rPr>
      <t>Lower of Tax Credit Request and Tax Credit Project Maximum</t>
    </r>
  </si>
  <si>
    <r>
      <t xml:space="preserve">*** NOTE: When selecting "PHA Operating Subsidy" in the "PBRA Provider or Operating Subsidy" column above, please also then enter a zero in the "Proposed Gross Rent" column above </t>
    </r>
    <r>
      <rPr>
        <b/>
        <i/>
        <sz val="8"/>
        <color indexed="10"/>
        <rFont val="Arial Narrow"/>
        <family val="2"/>
      </rPr>
      <t>AND</t>
    </r>
    <r>
      <rPr>
        <b/>
        <sz val="8"/>
        <color indexed="10"/>
        <rFont val="Arial Narrow"/>
        <family val="2"/>
      </rPr>
      <t xml:space="preserve"> include the PHA operating subsidy amount in the "III. Ancillary and Other Income" section below.  Also refer to the Application Instructions provided separately.</t>
    </r>
  </si>
  <si>
    <t>Years 11 - 20</t>
  </si>
  <si>
    <t>Years 21 - 30</t>
  </si>
  <si>
    <t>Years 1 - 10</t>
  </si>
  <si>
    <t>Deeper Targeting through Rent Restrictions</t>
  </si>
  <si>
    <t>Deeper Targeting through new PBRA Contracts</t>
  </si>
  <si>
    <t>Nbr units to have PBRA for 10+ yrs:</t>
  </si>
  <si>
    <t>Environmental regulatory agency which has designated site as a Brownfield and determined cleanup guidelines:</t>
  </si>
  <si>
    <t>EarthCraft Communities</t>
  </si>
  <si>
    <t>Leadership in Energy and Environmental Design for Neighborhood Development (LEED-ND)</t>
  </si>
  <si>
    <t>Site Analysis Packet as defined in EarthCraft Communities Guidebook was submitted and reviewed by both DCA and EarthCraft Communities administrators at Pre-application?</t>
  </si>
  <si>
    <t>1a)</t>
  </si>
  <si>
    <t>2a)</t>
  </si>
  <si>
    <t>HOME Funds</t>
  </si>
  <si>
    <t>Qualifying Sources</t>
  </si>
  <si>
    <t>Point Scale</t>
  </si>
  <si>
    <t>Total Qualifying Sources (TQS):</t>
  </si>
  <si>
    <t>Total Development Costs (TDC):</t>
  </si>
  <si>
    <t>TQS as a Percent of TDC:</t>
  </si>
  <si>
    <t>PRESERVATION PRIORITY POINTS</t>
  </si>
  <si>
    <t>Are more than two DCA funded projects in primary market area which have occupancy rates of less than 90% and compete for same tenant base as proposed project?</t>
  </si>
  <si>
    <t>COMMUNITY TRANSPORTATION OPTIONS</t>
  </si>
  <si>
    <t>BROWNFIELD</t>
  </si>
  <si>
    <t>If "Yes":</t>
  </si>
  <si>
    <t>Percentage of site that is within a floodplain:</t>
  </si>
  <si>
    <t>Will any development occur in the floodplain?</t>
  </si>
  <si>
    <t>Is documentation provided as per Threshold criteria?</t>
  </si>
  <si>
    <t>Enter the percentage of the site that is a wetlands:</t>
  </si>
  <si>
    <t>Will any development occur in the wetlands?</t>
  </si>
  <si>
    <t>State Waters/Streams/Buffers and Setbacks area?</t>
  </si>
  <si>
    <t>Water leaks?</t>
  </si>
  <si>
    <t>Endangered species?</t>
  </si>
  <si>
    <t>Historic designation?</t>
  </si>
  <si>
    <t>If use of private drive proposed, is site control of private drive documented by proof of ownership or by a properly executed easement on private drive, and are the plans for paving private drive, including associated development costs, adequately addressed in Application?</t>
  </si>
  <si>
    <t>Does zoning of the development site conform to the site development plan?</t>
  </si>
  <si>
    <t>Is the zoning confirmed, in writing, by the authorized Local Government official?</t>
  </si>
  <si>
    <t>Is this written confirmation included in the Application?</t>
  </si>
  <si>
    <r>
      <t xml:space="preserve">Does the letter include the zoning </t>
    </r>
    <r>
      <rPr>
        <i/>
        <sz val="8"/>
        <rFont val="Arial"/>
        <family val="2"/>
      </rPr>
      <t>and</t>
    </r>
    <r>
      <rPr>
        <sz val="8"/>
        <rFont val="Arial"/>
        <family val="2"/>
      </rPr>
      <t xml:space="preserve"> land use classification of the property?</t>
    </r>
  </si>
  <si>
    <t>Is the letter accompanied by a clear explanation of the requirements (copy of the applicable sections of the zoning ordinance for the stated classification)?</t>
  </si>
  <si>
    <t>Is the letter accompanied by all conditions of these zoning and land use classifications?</t>
  </si>
  <si>
    <t>If project is requesting HOME or HUD funds, does Local Government official also comment on whether project will include development of prime or unique farmland?</t>
  </si>
  <si>
    <t>Is documentation provided (on the Architectural Site Conceptual Development Plan either graphically or in written form) that demonstrates that the site layout conforms to any moratoriums, density, setbacks or other requirements?</t>
  </si>
  <si>
    <t xml:space="preserve">Fiber cement siding or other 40 year warranty product installed on all exterior wall surfaces not already required to be brick </t>
  </si>
  <si>
    <t>Upgraded roofing shingles, or roofing materials  (warranty 30 years or greater)</t>
  </si>
  <si>
    <t>PROJECT FEASIBILITY, VIABILITY ANALYSIS, AND CONFORMANCE WITH PLAN</t>
  </si>
  <si>
    <t>REQUIRED SERVICES</t>
  </si>
  <si>
    <t>MARKET FEASIBILITY</t>
  </si>
  <si>
    <t>APPRAISALS</t>
  </si>
  <si>
    <t>ENVIRONMENTAL REQUIREMENTS</t>
  </si>
  <si>
    <t>SITE CONTROL</t>
  </si>
  <si>
    <t>SITE ACCESS</t>
  </si>
  <si>
    <t>SITE ZONING</t>
  </si>
  <si>
    <t>OPERATING UTILITIES</t>
  </si>
  <si>
    <t>PUBLIC WATER/SANITARY SEWER/STORM SEWER</t>
  </si>
  <si>
    <t>LOCAL GOVERNMENT SUPPORT AND COMMUNITY ENGAGEMENT</t>
  </si>
  <si>
    <t>REQUIRED AMENITIES</t>
  </si>
  <si>
    <t>REHABILITATION STANDARDS (REHABILITATION PROJECTS ONLY)</t>
  </si>
  <si>
    <t>SITE INFORMATION AND CONCEPTUAL SITE DEVELOPMENT PLAN</t>
  </si>
  <si>
    <t>BUILDING SUSTAINABILITY</t>
  </si>
  <si>
    <t>ACCESSIBILITY STANDARDS</t>
  </si>
  <si>
    <t>ARCHITECTURAL DESIGN &amp; QUALITY STANDARDS</t>
  </si>
  <si>
    <t>COMPLIANCE HISTORY SUMMARY</t>
  </si>
  <si>
    <t>REQUIRED LEGAL OPINIONS</t>
  </si>
  <si>
    <t>RELOCATION AND DISPLACEMENT OF TENANTS</t>
  </si>
  <si>
    <t>OPTIMAL UTILIZATION OF RESOURCES</t>
  </si>
  <si>
    <t>ADDITIONAL HUD REQUIREMENTS</t>
  </si>
  <si>
    <t>Scattered Site Developments</t>
  </si>
  <si>
    <t>Name of CHDO Managing GP:</t>
  </si>
  <si>
    <r>
      <t>Additional Design Options</t>
    </r>
    <r>
      <rPr>
        <sz val="8"/>
        <rFont val="Arial"/>
        <family val="2"/>
      </rPr>
      <t xml:space="preserve"> - not listed above, proposed by Applicant prior to Application Submittal in accordance with Exhibit A DCA Pre-application and Pre-Award Deadlines and Fee Schedule, and subsequently approved by DCA.</t>
    </r>
  </si>
  <si>
    <t>Credit Eligibility for Acquisition</t>
  </si>
  <si>
    <t>Credit Eligibility for Assisted Living</t>
  </si>
  <si>
    <t>Installation of Energy star “Advanced Lighting Package” throughout the property</t>
  </si>
  <si>
    <t>Installation of common area lighting with Energy star rating and controlled with either photocells or timers</t>
  </si>
  <si>
    <t>Energy star ceiling fans in living rooms, sunrooms and all bedrooms</t>
  </si>
  <si>
    <t xml:space="preserve">Energy star bath exhaust fan with timer and humidistat control </t>
  </si>
  <si>
    <r>
      <rPr>
        <b/>
        <sz val="8"/>
        <rFont val="Arial Narrow"/>
        <family val="2"/>
      </rPr>
      <t>Choose only one</t>
    </r>
    <r>
      <rPr>
        <sz val="8"/>
        <rFont val="Arial Narrow"/>
        <family val="2"/>
      </rPr>
      <t>.  See scoring criteria for further requirements.</t>
    </r>
  </si>
  <si>
    <t>Setasides</t>
  </si>
  <si>
    <t>CHDO</t>
  </si>
  <si>
    <t>Percent of available 9% credit pool</t>
  </si>
  <si>
    <t>Percent of state HOME allocation</t>
  </si>
  <si>
    <t>Rural w/USDA 515 Financing</t>
  </si>
  <si>
    <t>Per Dwelling</t>
  </si>
  <si>
    <t>Nbr units to have these restrictions:</t>
  </si>
  <si>
    <t>USDA 515 or URFA Fee</t>
  </si>
  <si>
    <t>Percent of Residential Units:</t>
  </si>
  <si>
    <t>Choose one.</t>
  </si>
  <si>
    <r>
      <t>Full Cost of Improvement /</t>
    </r>
    <r>
      <rPr>
        <sz val="8"/>
        <color rgb="FFFF0000"/>
        <rFont val="Arial"/>
        <family val="2"/>
      </rPr>
      <t xml:space="preserve"> Percent of TDC:</t>
    </r>
  </si>
  <si>
    <t>DCA COMMENTS - DCA Use Only</t>
  </si>
  <si>
    <t>DCA Use  - Project Nbr:</t>
  </si>
  <si>
    <t>Applicant agrees to provide the following additional required Amenities for Senior projects and Special Needs projects:</t>
  </si>
  <si>
    <t>Is the organization a qualified non-profit, defined as a 501(c)(3) or 501(c)(4) organization, which is not affiliated with nor controlled by a for-profit organization and has included the fostering of low income housing as one of its tax-exempt purposes?</t>
  </si>
  <si>
    <t>Name of Qualified non-profit:</t>
  </si>
  <si>
    <t>Does the qualified non-profit materially participate in the project as described in IRC Section 469(h)?</t>
  </si>
  <si>
    <t>Does the qualified non-profit own at least 51% of the GP's interest in the project and is the managing general partner of the ownership entity?</t>
  </si>
  <si>
    <t>Is a copy of the GP joint venture agreement that indicates non-profit's general partnership interest and developer fee amount included in application?</t>
  </si>
  <si>
    <t>ELIGIBILITY FOR CREDIT UNDER THE NON-PROFIT SET-ASIDE</t>
  </si>
  <si>
    <t>NON-PROFIT</t>
  </si>
  <si>
    <t>Is this entity a corporation with 100 percent of its stock held by one or more qualified non-profit organizations at all times during its existence?</t>
  </si>
  <si>
    <t>If selected, does the Applicant agree to provide reasonable accommodation for these tenants in the Property Management’s tenant application?  Leasing criteria must clearly facilitate admission and inclusion of Targeted Population tenants and must not violate federal or state fair housing laws.</t>
  </si>
  <si>
    <t xml:space="preserve">DO NOT cut, copy or paste cells in this tab.  For Common Space (non-income producing) units, select "N/A-CS" for Rent Type and "Common" for Employee Unit.  </t>
  </si>
  <si>
    <t>Does the non-profit receive a percentage of the developer fee greater than or equal to its percentage of its ownership interest?</t>
  </si>
  <si>
    <t>ELIGIBILITY FOR HOME LOANS UNDER THE CHDO SET-ASIDE</t>
  </si>
  <si>
    <t>Non-profit Federal Tax Exempt Status</t>
  </si>
  <si>
    <t>Project is located in a census tract that meets the following demographics according to the most recent FFIEC Census Report (www.ffiec.gov/Census/):</t>
  </si>
  <si>
    <t>Applicants commit to a plan for tenant ownership at end of compliance period (only applies to single family units).</t>
  </si>
  <si>
    <t xml:space="preserve">Local Government / Non-profit Contribution </t>
  </si>
  <si>
    <t>Min percent:</t>
  </si>
  <si>
    <t>Nonprofit Setaside selection from Project Information tab:</t>
  </si>
  <si>
    <t>Construction Period Inspection Fees</t>
  </si>
  <si>
    <t>Name of Company that prepared the Phase I Assessment:</t>
  </si>
  <si>
    <t xml:space="preserve"> If "Yes", name of company that prepared the noise assessment?</t>
  </si>
  <si>
    <t>For LIHTC projects involving DCA HOME funds, does the total hard cost of the project exceed 90% of the as completed unencumbered appraised value of the property?</t>
  </si>
  <si>
    <t>Project seeks to obtain a sustainable community certification from the program chosen above:</t>
  </si>
  <si>
    <t>DCA Waiver and Pre-approval Fees</t>
  </si>
  <si>
    <t>Other (specify):</t>
  </si>
  <si>
    <t>&lt;&lt; Enter paragraph(s) here. Press and hold Alt-Enter to start new paragraphs. &gt;&gt;</t>
  </si>
  <si>
    <t>NOTE: Row size may be decreased as needed if only one page is used.  Press and hold Alt-Enter to start new paragraphs.  Narrative should not exceed two pages.</t>
  </si>
  <si>
    <t>Applicant agrees to forego cancellation option for at least 5 yrs after close of Compliance period?</t>
  </si>
  <si>
    <r>
      <t>Family or Senior</t>
    </r>
    <r>
      <rPr>
        <sz val="8"/>
        <rFont val="Arial Narrow"/>
        <family val="2"/>
      </rPr>
      <t xml:space="preserve"> (if Senior, specify Elderly or HFOP)</t>
    </r>
  </si>
  <si>
    <t>NOTE: Row size may be increased or decreased as needed.  Press and hold Alt-Enter to start new paragraphs in the same box.</t>
  </si>
  <si>
    <t>Current</t>
  </si>
  <si>
    <t>Rental</t>
  </si>
  <si>
    <t>Percent</t>
  </si>
  <si>
    <t>Diff</t>
  </si>
  <si>
    <t>Rehabs Only:</t>
  </si>
  <si>
    <t>Site Street Address (if known)</t>
  </si>
  <si>
    <r>
      <t>9-digit Zip</t>
    </r>
    <r>
      <rPr>
        <b/>
        <sz val="11"/>
        <color indexed="10"/>
        <rFont val="Arial Narrow"/>
        <family val="2"/>
      </rPr>
      <t>**</t>
    </r>
  </si>
  <si>
    <r>
      <t>**</t>
    </r>
    <r>
      <rPr>
        <b/>
        <sz val="9"/>
        <rFont val="Arial Narrow"/>
        <family val="2"/>
      </rPr>
      <t xml:space="preserve"> Must be verified by applicant using following websites:</t>
    </r>
  </si>
  <si>
    <t>Expiring HUD</t>
  </si>
  <si>
    <t>Existing properties: currently an Extension of Cancellation Option?</t>
  </si>
  <si>
    <t>New properties: to exercise an Extension of Cancellation Option?</t>
  </si>
  <si>
    <t>Website</t>
  </si>
  <si>
    <t>Specify:</t>
  </si>
  <si>
    <t>Page nbr(s):</t>
  </si>
  <si>
    <t>&lt;---This box for points, not Y/N.</t>
  </si>
  <si>
    <t>Expiration Date:</t>
  </si>
  <si>
    <t>Cost Certification Amendment Fee</t>
  </si>
  <si>
    <t>LIHTC:</t>
  </si>
  <si>
    <t>HOME:</t>
  </si>
  <si>
    <t>(must be pre-qualified by DCA as CHDO)</t>
  </si>
  <si>
    <t>Per unit - not including community bldgs and common areas</t>
  </si>
  <si>
    <t>COST LIMITS</t>
  </si>
  <si>
    <t>1 Bedroom</t>
  </si>
  <si>
    <t>2 Bedroom</t>
  </si>
  <si>
    <t>Unit Type</t>
  </si>
  <si>
    <t>Projects</t>
  </si>
  <si>
    <t>Cost Limit</t>
  </si>
  <si>
    <t>under Historic Designations</t>
  </si>
  <si>
    <t>New Construction and</t>
  </si>
  <si>
    <t xml:space="preserve">Acquisition/Rehabilitation </t>
  </si>
  <si>
    <t>Historic Rehabilitation Projects</t>
  </si>
  <si>
    <t xml:space="preserve">that qualify for scoring point(s) </t>
  </si>
  <si>
    <t>3 Bedroom</t>
  </si>
  <si>
    <t>4 Bedroom</t>
  </si>
  <si>
    <t>Totals</t>
  </si>
  <si>
    <t>(1 or 2 pts each - see QAP)</t>
  </si>
  <si>
    <t>Each Applicant will be limited to claiming these points for one project in which they have a direct interest and which involves 100% new construction of 80 or fewer units.  Failure by the Applicant to designate these points to qualified projects, or to incorrectly designate these points, will result in no points being awarded.</t>
  </si>
  <si>
    <t>INTEGRATED SUPPORTIVE HOUSING</t>
  </si>
  <si>
    <t>Target Population Preference</t>
  </si>
  <si>
    <t>HISTORIC PRESERVATION</t>
  </si>
  <si>
    <t>Total Cost Limit Per Unit Type</t>
  </si>
  <si>
    <t>Nbr of Units Proposed</t>
  </si>
  <si>
    <t>Specify from categories below at least 1 basic ongoing service for Family projects, or at least a total of 2 basic ongoing services from different categories for Senior projects:</t>
  </si>
  <si>
    <t>If Historic Designation involved, indicate below (Y/N):</t>
  </si>
  <si>
    <t>Sustainable Communities Site Analysis Packet or Feasibility study?</t>
  </si>
  <si>
    <t>Exterior gathering area (if "Other", explain in box provided at right):</t>
  </si>
  <si>
    <t>If "Other", explain here</t>
  </si>
  <si>
    <t>Additional Amenities (describe below)</t>
  </si>
  <si>
    <t>Will at least 5% of the total units (but no less than one unit) be equipped for the mobility disabled, including wheelchair restricted residents? Roll-in showers will be incorporated into 40% of the mobility equipped units (but no fewer than one unit)?</t>
  </si>
  <si>
    <t>Will least an additional 2% of the total units (but no less than one unit) be equipped for hearing and sight-impaired residents?</t>
  </si>
  <si>
    <t>A1).</t>
  </si>
  <si>
    <t>B1).</t>
  </si>
  <si>
    <t xml:space="preserve">                                                                                                                                                                                                                                                                                                                                                                                                                                                                                                                                                                                                                                                                                                                                                                                                                                                                                                                                                                                                                                                                                                                                                                                                                                                                                                                                                                                                                                                                                                                                                                                                                                                                                                                                                                                                                                                                                                                                                                                                                                                                                                                                                                                                                                                                                                                                                                                                                                                                                                                                                                                                                                                                                                                                                                                                                                                                                                                                                                                                                                                                                                                                                                                                                                                                                                                                                                                                                                                                                                                                                                                                                                                                                                                                                                                                                                                                                                                                                                                                                                                                                                                                                                                                                                                                                                                                                                                                                                                                                                                                                                                                                                                                                                                                                                                                                                                                                                                                                                                                                                                                                                                                                                                                                                                                                                                                                                                                                                                                                                                                                                                                                                                                                                                                                                </t>
  </si>
  <si>
    <t>For single family units, the total building envelope will have 35% minimum brick coverage; remaining 65% will be fiber cement siding or other product w/40 yr warranty</t>
  </si>
  <si>
    <t>Is the CHDO either the sole general partner of the ownership entity or the managing general partner of the ownership entity (the CHDO must also exercise effective control of the project)?</t>
  </si>
  <si>
    <r>
      <t xml:space="preserve">2-4 adjustments/revisions = one (1) pt deduction total; </t>
    </r>
    <r>
      <rPr>
        <i/>
        <sz val="8"/>
        <rFont val="Arial Narrow"/>
        <family val="2"/>
      </rPr>
      <t>then</t>
    </r>
    <r>
      <rPr>
        <sz val="8"/>
        <rFont val="Arial Narrow"/>
        <family val="2"/>
      </rPr>
      <t xml:space="preserve"> (1) pt deducted for each add'l adjustment.</t>
    </r>
  </si>
  <si>
    <t>Feasibility study prepared by a LEED APND that evaluates the feasibility of the proposed project meeting LEED ND criteria was submitted and reviewed by DCA at Pre-Application?</t>
  </si>
  <si>
    <t>Project will comply with the program version in effect at the time that the drawings are prepared for permit review?</t>
  </si>
  <si>
    <t>Project will meet program threshold requirements for Building Sustainability?</t>
  </si>
  <si>
    <t>Owner will engage in tenant and building manager education in compliance with the point requirements of the respective programs?</t>
  </si>
  <si>
    <t>Project commits to obtaining a sustainable building certification from the program chosen above?</t>
  </si>
  <si>
    <t>Has there been a significant change in economic conditions in the proposed market which could detrimentally affect the long term viability of the proposed project and the proposed tenant population?</t>
  </si>
  <si>
    <t>Historic tax credit proceeds</t>
  </si>
  <si>
    <t>Community-Driven Housing Strategies</t>
  </si>
  <si>
    <t>Innovative Project Concept and Design</t>
  </si>
  <si>
    <t>Designation:</t>
  </si>
  <si>
    <t>Have any changes occurred in the project since pre-application?</t>
  </si>
  <si>
    <t>Note: if a PUCL Waiver has been approved by DCA, that amount would supercede the amounts shown at left.</t>
  </si>
  <si>
    <t>------------&gt;</t>
  </si>
  <si>
    <t>(Enter phone nbrs w/out using hyphens, parentheses, etc - ex: 1234567890)</t>
  </si>
  <si>
    <t>Census Tract</t>
  </si>
  <si>
    <r>
      <t xml:space="preserve">Nearest Physical Street Address </t>
    </r>
    <r>
      <rPr>
        <b/>
        <sz val="10"/>
        <color rgb="FFFF0000"/>
        <rFont val="Arial Narrow"/>
        <family val="2"/>
      </rPr>
      <t>*</t>
    </r>
  </si>
  <si>
    <t xml:space="preserve">    If Yes, Number of Sites</t>
  </si>
  <si>
    <t>Is this Criterion met?</t>
  </si>
  <si>
    <t>Builder Overhead</t>
  </si>
  <si>
    <t>General Requirements*</t>
  </si>
  <si>
    <t>Actual Percent</t>
  </si>
  <si>
    <t>Less than</t>
  </si>
  <si>
    <t xml:space="preserve">below Poverty level </t>
  </si>
  <si>
    <r>
      <t xml:space="preserve">OTHER CONSTRUCTION HARD COSTS </t>
    </r>
    <r>
      <rPr>
        <sz val="8"/>
        <rFont val="Arial Narrow"/>
        <family val="2"/>
      </rPr>
      <t>(Non-GC work scope items done by Owner)</t>
    </r>
  </si>
  <si>
    <r>
      <t xml:space="preserve">Laundry, vending, app fees, etc.  </t>
    </r>
    <r>
      <rPr>
        <b/>
        <sz val="9"/>
        <rFont val="Arial"/>
        <family val="2"/>
      </rPr>
      <t>Actual pct of PGI:</t>
    </r>
  </si>
  <si>
    <t>The property is certified historic structure (either listed individually on National Register, or as contributing structure in a National Register Historic District), or is deemed via Georgia DNR-HPD approved NPS Part 1-Evaluation of Significance to have preliminary determination of listing on National Register.</t>
  </si>
  <si>
    <r>
      <t xml:space="preserve">Applicant understands that in addition to proposed work scope, the project must meet state and local building codes, DCA architectural requirements as set forth in the QAP and Manuals, and health and safety codes and requirements.  </t>
    </r>
    <r>
      <rPr>
        <b/>
        <u/>
        <sz val="8"/>
        <rFont val="Arial"/>
        <family val="2"/>
      </rPr>
      <t>Applicant agrees?</t>
    </r>
  </si>
  <si>
    <r>
      <rPr>
        <b/>
        <sz val="10"/>
        <color rgb="FFFF0000"/>
        <rFont val="Arial Narrow"/>
        <family val="2"/>
      </rPr>
      <t xml:space="preserve">  * </t>
    </r>
    <r>
      <rPr>
        <sz val="8"/>
        <rFont val="Arial Narrow"/>
        <family val="2"/>
      </rPr>
      <t>If street number unknown</t>
    </r>
  </si>
  <si>
    <t>Average TCHC:</t>
  </si>
  <si>
    <r>
      <rPr>
        <b/>
        <i/>
        <u/>
        <sz val="10"/>
        <rFont val="Arial Narrow"/>
        <family val="2"/>
      </rPr>
      <t>T</t>
    </r>
    <r>
      <rPr>
        <i/>
        <sz val="10"/>
        <rFont val="Arial Narrow"/>
        <family val="2"/>
      </rPr>
      <t xml:space="preserve">otal </t>
    </r>
    <r>
      <rPr>
        <b/>
        <i/>
        <u/>
        <sz val="10"/>
        <rFont val="Arial Narrow"/>
        <family val="2"/>
      </rPr>
      <t>C</t>
    </r>
    <r>
      <rPr>
        <i/>
        <sz val="10"/>
        <rFont val="Arial Narrow"/>
        <family val="2"/>
      </rPr>
      <t xml:space="preserve">onstruction </t>
    </r>
    <r>
      <rPr>
        <b/>
        <i/>
        <u/>
        <sz val="10"/>
        <rFont val="Arial Narrow"/>
        <family val="2"/>
      </rPr>
      <t>H</t>
    </r>
    <r>
      <rPr>
        <i/>
        <sz val="10"/>
        <rFont val="Arial Narrow"/>
        <family val="2"/>
      </rPr>
      <t xml:space="preserve">ard </t>
    </r>
    <r>
      <rPr>
        <b/>
        <i/>
        <u/>
        <sz val="10"/>
        <rFont val="Arial Narrow"/>
        <family val="2"/>
      </rPr>
      <t>C</t>
    </r>
    <r>
      <rPr>
        <i/>
        <sz val="10"/>
        <rFont val="Arial Narrow"/>
        <family val="2"/>
      </rPr>
      <t>osts</t>
    </r>
  </si>
  <si>
    <t>If TDC &gt; QAP Total PCL, provide amount of funding from foundation or charitable organization to cover the cost exceeding the PCL:</t>
  </si>
  <si>
    <t>Funding Amount</t>
  </si>
  <si>
    <r>
      <rPr>
        <b/>
        <u/>
        <sz val="10"/>
        <rFont val="Arial Narrow"/>
        <family val="2"/>
      </rPr>
      <t>T</t>
    </r>
    <r>
      <rPr>
        <sz val="10"/>
        <rFont val="Arial Narrow"/>
        <family val="2"/>
      </rPr>
      <t xml:space="preserve">otal </t>
    </r>
    <r>
      <rPr>
        <b/>
        <u/>
        <sz val="10"/>
        <rFont val="Arial Narrow"/>
        <family val="2"/>
      </rPr>
      <t>D</t>
    </r>
    <r>
      <rPr>
        <sz val="10"/>
        <rFont val="Arial Narrow"/>
        <family val="2"/>
      </rPr>
      <t xml:space="preserve">evelopment </t>
    </r>
    <r>
      <rPr>
        <b/>
        <u/>
        <sz val="10"/>
        <rFont val="Arial Narrow"/>
        <family val="2"/>
      </rPr>
      <t>C</t>
    </r>
    <r>
      <rPr>
        <sz val="10"/>
        <rFont val="Arial Narrow"/>
        <family val="2"/>
      </rPr>
      <t xml:space="preserve">ost </t>
    </r>
    <r>
      <rPr>
        <sz val="8"/>
        <color indexed="10"/>
        <rFont val="Arial Narrow"/>
        <family val="2"/>
      </rPr>
      <t>(TDC, PCL, or TDC less Foundation Funding; explain in Comments if TDC &gt; PCL)</t>
    </r>
  </si>
  <si>
    <t>Foundation or charity funding*</t>
  </si>
  <si>
    <t>*Foundation or charity funding to cover costs exceeding DCA cost limit.</t>
  </si>
  <si>
    <r>
      <rPr>
        <b/>
        <sz val="9"/>
        <color rgb="FFFF0000"/>
        <rFont val="Arial Narrow"/>
        <family val="2"/>
      </rPr>
      <t>*</t>
    </r>
    <r>
      <rPr>
        <sz val="9"/>
        <rFont val="Arial Narrow"/>
        <family val="2"/>
      </rPr>
      <t>Zip Codes</t>
    </r>
  </si>
  <si>
    <t>Georgia Department of Community Affairs
Housing Finance and Development Division
60 Executive Park South, NE.
Atlanta, Georgia 30329-2231</t>
  </si>
  <si>
    <t>I understand that, in the event an allocation (or an allowance) for LIHTCs was obtained with false information supplied to the DCA, the DCA will recapture the LIHTCs or request that the IRS deny tax credits to the Applicant entity.   Also, the supplier of such false information, including the developer or owner, will be barred by the DCA from program participation for a period of five (5) years from the date the false information was discovered, in accordance with a Memorandum of Understanding between the Internal Revenue Service and the Georgia Housing and Finance Authority.</t>
  </si>
  <si>
    <t>I am responsible for ensuring that the project consists or will consist of a qualified low-income building (or buildings) as defined in the Internal Revenue Code section 42(c)(2) and will satisfy all applicable requirements of State and Federal tax law in the acquisition, development and operation of the project to receive State and federal housing tax credits.</t>
  </si>
  <si>
    <t>I understand that any misrepresentations in this Application or supporting documentation may result in a withdrawal of tax credits and/or HOME loan by DCA, my (and related parties) being barred from future program participation, and notification of the Internal Revenue Service and/or HUD.</t>
  </si>
  <si>
    <t>The above certifications are of a continuing nature and apply at all stages of the Application process: initial application, commitment, and final allocation/funding.</t>
  </si>
  <si>
    <t>The State of Georgia Department of Community Affairs (DCA) must be notified of any subsequent events or information, which would change any statements or representations in the attached Application or amendments thereto;</t>
  </si>
  <si>
    <t>DCA reserves the right to verify all information or documents used in processing the Application, including requiring credit checks on all parties involved in the transaction.  Applicant hereby authorizes the financing bank, accountant, mortgage lender, creditors, other state housing agencies and others sources identified in the Application to release information to DCA or its designee in order to verify the accuracy of information in the Application and amendments thereto.</t>
  </si>
  <si>
    <t>Under penalty of perjury, to the best of my knowledge, I certify that all of the information in the attached Application, including all supporting documentation, is correct, complete and accurate.</t>
  </si>
  <si>
    <r>
      <rPr>
        <b/>
        <u/>
        <sz val="7"/>
        <color rgb="FFFF0000"/>
        <rFont val="Arial Narrow"/>
        <family val="2"/>
      </rPr>
      <t>NOTE:</t>
    </r>
    <r>
      <rPr>
        <b/>
        <sz val="7"/>
        <color rgb="FFFF0000"/>
        <rFont val="Arial Narrow"/>
        <family val="2"/>
      </rPr>
      <t xml:space="preserve"> Unit counts are linked to Rent Chart.  Total Cost Limit Per Unit Types are auto-calculated.  Show Historic units in Part VI Revenues &amp; Expenses Tab - Unit Summary.</t>
    </r>
  </si>
  <si>
    <t xml:space="preserve">   If Yes -----------------&gt;:</t>
  </si>
  <si>
    <t xml:space="preserve">   If Yes, new Limit is --------------------------------------------&gt;:</t>
  </si>
  <si>
    <t>(Avg$/mth/unit)</t>
  </si>
  <si>
    <t>Average per unit per year</t>
  </si>
  <si>
    <t>Avg Per Unit:</t>
  </si>
  <si>
    <t>Average per unit per month</t>
  </si>
  <si>
    <t>Average per unit</t>
  </si>
  <si>
    <t xml:space="preserve">*This source may possibly trigger Uniform Relocation Act and/or HUD 104(d) reqmts.  Check with source.  For DCA HOME, refer to Relocation Manual. </t>
  </si>
  <si>
    <t>Max: $20,000</t>
  </si>
  <si>
    <t>http://votesmart.org/</t>
  </si>
  <si>
    <t>Legislative Districts:</t>
  </si>
  <si>
    <r>
      <t>Legislative Districts</t>
    </r>
    <r>
      <rPr>
        <b/>
        <sz val="10"/>
        <color rgb="FFFF0000"/>
        <rFont val="Arial Narrow"/>
        <family val="2"/>
      </rPr>
      <t xml:space="preserve"> **</t>
    </r>
  </si>
  <si>
    <t>Congressional</t>
  </si>
  <si>
    <r>
      <t>Has Applicant included executed DCA MultiState Release Form for other state housing agencies</t>
    </r>
    <r>
      <rPr>
        <b/>
        <sz val="8"/>
        <rFont val="Arial"/>
        <family val="2"/>
      </rPr>
      <t>?</t>
    </r>
  </si>
  <si>
    <t>Square Foot:</t>
  </si>
  <si>
    <r>
      <t xml:space="preserve">Average TDC Per:            </t>
    </r>
    <r>
      <rPr>
        <i/>
        <sz val="10"/>
        <rFont val="Arial Narrow"/>
        <family val="2"/>
      </rPr>
      <t xml:space="preserve"> Unit:</t>
    </r>
  </si>
  <si>
    <t>NOTE:  Score will be auto-filled based on the number of funding cycles selected below.</t>
  </si>
  <si>
    <r>
      <t xml:space="preserve">Documents not organized correctly:  </t>
    </r>
    <r>
      <rPr>
        <sz val="8"/>
        <rFont val="Arial"/>
        <family val="2"/>
      </rPr>
      <t>Nbr</t>
    </r>
  </si>
  <si>
    <t>One (1) pt deducted if not organized as set out in the Tab checklist and the Application Instructions</t>
  </si>
  <si>
    <t>% New Construction</t>
  </si>
  <si>
    <t>Site is predominantly:</t>
  </si>
  <si>
    <t>&lt;&lt; Select from list &gt;&gt;</t>
  </si>
  <si>
    <t>DCA Rural County</t>
  </si>
  <si>
    <t>DCA Rural Co?</t>
  </si>
  <si>
    <r>
      <rPr>
        <b/>
        <u/>
        <sz val="10"/>
        <rFont val="Arial Narrow"/>
        <family val="2"/>
      </rPr>
      <t>T</t>
    </r>
    <r>
      <rPr>
        <b/>
        <sz val="10"/>
        <rFont val="Arial Narrow"/>
        <family val="2"/>
      </rPr>
      <t xml:space="preserve">OTAL </t>
    </r>
    <r>
      <rPr>
        <b/>
        <u/>
        <sz val="10"/>
        <rFont val="Arial Narrow"/>
        <family val="2"/>
      </rPr>
      <t>D</t>
    </r>
    <r>
      <rPr>
        <b/>
        <sz val="10"/>
        <rFont val="Arial Narrow"/>
        <family val="2"/>
      </rPr>
      <t xml:space="preserve">EVELOPMENT </t>
    </r>
    <r>
      <rPr>
        <b/>
        <u/>
        <sz val="10"/>
        <rFont val="Arial Narrow"/>
        <family val="2"/>
      </rPr>
      <t>C</t>
    </r>
    <r>
      <rPr>
        <b/>
        <sz val="10"/>
        <rFont val="Arial Narrow"/>
        <family val="2"/>
      </rPr>
      <t>OST  (TDC)</t>
    </r>
  </si>
  <si>
    <r>
      <rPr>
        <b/>
        <u/>
        <sz val="9"/>
        <rFont val="Arial Narrow"/>
        <family val="2"/>
      </rPr>
      <t>P</t>
    </r>
    <r>
      <rPr>
        <sz val="9"/>
        <rFont val="Arial Narrow"/>
        <family val="2"/>
      </rPr>
      <t xml:space="preserve">roject </t>
    </r>
    <r>
      <rPr>
        <b/>
        <u/>
        <sz val="9"/>
        <rFont val="Arial Narrow"/>
        <family val="2"/>
      </rPr>
      <t>C</t>
    </r>
    <r>
      <rPr>
        <sz val="9"/>
        <rFont val="Arial Narrow"/>
        <family val="2"/>
      </rPr>
      <t xml:space="preserve">ost </t>
    </r>
    <r>
      <rPr>
        <b/>
        <u/>
        <sz val="9"/>
        <rFont val="Arial Narrow"/>
        <family val="2"/>
      </rPr>
      <t>L</t>
    </r>
    <r>
      <rPr>
        <sz val="9"/>
        <rFont val="Arial Narrow"/>
        <family val="2"/>
      </rPr>
      <t xml:space="preserve">imit (PCL) - </t>
    </r>
    <r>
      <rPr>
        <sz val="8"/>
        <color rgb="FFFF0000"/>
        <rFont val="Arial Narrow"/>
        <family val="2"/>
      </rPr>
      <t>Explain in Comments if Applicant's PCL calculation &gt; QAP PCL.</t>
    </r>
  </si>
  <si>
    <t>Project Cost Limit (PCL)</t>
  </si>
  <si>
    <t>(80 total units or less, must be 100% new construction, not adaptive re-use)</t>
  </si>
  <si>
    <r>
      <t>Pre-Application Number</t>
    </r>
    <r>
      <rPr>
        <sz val="10"/>
        <color rgb="FFFF0000"/>
        <rFont val="Arial Narrow"/>
        <family val="2"/>
      </rPr>
      <t xml:space="preserve"> </t>
    </r>
    <r>
      <rPr>
        <sz val="8"/>
        <color rgb="FFFF0000"/>
        <rFont val="Arial Narrow"/>
        <family val="2"/>
      </rPr>
      <t>(if applicable)   -   use format 2014PA-###</t>
    </r>
  </si>
  <si>
    <r>
      <t xml:space="preserve">per </t>
    </r>
    <r>
      <rPr>
        <i/>
        <u/>
        <sz val="8"/>
        <rFont val="Arial Narrow"/>
        <family val="2"/>
      </rPr>
      <t>Res'l</t>
    </r>
    <r>
      <rPr>
        <i/>
        <sz val="8"/>
        <rFont val="Arial Narrow"/>
        <family val="2"/>
      </rPr>
      <t xml:space="preserve"> unit</t>
    </r>
  </si>
  <si>
    <r>
      <t xml:space="preserve">per </t>
    </r>
    <r>
      <rPr>
        <i/>
        <u/>
        <sz val="8"/>
        <rFont val="Arial Narrow"/>
        <family val="2"/>
      </rPr>
      <t>Res'l</t>
    </r>
    <r>
      <rPr>
        <i/>
        <sz val="8"/>
        <rFont val="Arial Narrow"/>
        <family val="2"/>
      </rPr>
      <t xml:space="preserve"> unit SF</t>
    </r>
  </si>
  <si>
    <t>Total Low Income Residential Unit Square Footage</t>
  </si>
  <si>
    <t>Total Unrestricted (Market) Residential Unit Square Footage</t>
  </si>
  <si>
    <t>Total Residential Unit Square Footage</t>
  </si>
  <si>
    <t>Total Common Space Unit Square Footage</t>
  </si>
  <si>
    <t>per unit sq ft</t>
  </si>
  <si>
    <t>per total sq ft</t>
  </si>
  <si>
    <t>Accessory Structures (ie. community bldg, maintenance bldg, etc.) - Rehab</t>
  </si>
  <si>
    <t>Accessory Structures (ie. community bldg, maintenance bldg, etc.) - New Constr</t>
  </si>
  <si>
    <t>Other PBRA - Source:</t>
  </si>
  <si>
    <t>DCA HOME* --&gt; enter the amount indicated on the DCA Consent Letter:</t>
  </si>
  <si>
    <t>Site Geo Coordinates</t>
  </si>
  <si>
    <t>In DCA Rural County?</t>
  </si>
  <si>
    <t>XIV.</t>
  </si>
  <si>
    <t>COMPETITIVE POOL</t>
  </si>
  <si>
    <t>APPLICATION COMPLETENESS</t>
  </si>
  <si>
    <t>Flexible Pool</t>
  </si>
  <si>
    <t>Source of opinion letter stating that the property appears to meet the requirements for issuance of an EPD No Further Action or Limitation of Liability letter</t>
  </si>
  <si>
    <t>STABLE COMMUNITIES</t>
  </si>
  <si>
    <t>Rural Pool</t>
  </si>
  <si>
    <t>&lt;Select a Stable Communities option&gt;</t>
  </si>
  <si>
    <t>Flexible Pool, &lt; 5%</t>
  </si>
  <si>
    <t>Flexible Pool, &lt; 10%</t>
  </si>
  <si>
    <t>Flexible Pool, &lt; 15%</t>
  </si>
  <si>
    <t>Rural Pool, &lt; 15%</t>
  </si>
  <si>
    <t>Rural Pool, &lt; 20%</t>
  </si>
  <si>
    <t>Competitive Pool chosen:</t>
  </si>
  <si>
    <t>COMMUNITY REVITALIZATION PLANS</t>
  </si>
  <si>
    <t>HUD CHOICE Neighborhoods</t>
  </si>
  <si>
    <t>Designated Military Zones</t>
  </si>
  <si>
    <t>HUD Choice Neighborhoods</t>
  </si>
  <si>
    <t xml:space="preserve">Project site is located within the census tract of a DCA-designated Military Zone (MZ).  </t>
  </si>
  <si>
    <t>Adopted Revitalization Plans</t>
  </si>
  <si>
    <t>Website address displaying Part A Plan:</t>
  </si>
  <si>
    <t>6a)</t>
  </si>
  <si>
    <t>6b)</t>
  </si>
  <si>
    <t>Overall:</t>
  </si>
  <si>
    <t>Is site control provided through November 30, 2014?</t>
  </si>
  <si>
    <t>Asbestos-containing materials?</t>
  </si>
  <si>
    <t>Noise?</t>
  </si>
  <si>
    <t>Vapor intrusion screening?</t>
  </si>
  <si>
    <t>Other (e.g., Native American burial grounds, etc.) - describe in box below:</t>
  </si>
  <si>
    <t>11)</t>
  </si>
  <si>
    <t>Lead in water?</t>
  </si>
  <si>
    <t>Eight-Step Process for Wetlands and/or Floodplains required and included?</t>
  </si>
  <si>
    <t>Public notice of meetings regarding the proposed project to local government and residents of the community?</t>
  </si>
  <si>
    <t>Evidence of public meetings regarding the proposed project to local government and residents of the surrounding community?</t>
  </si>
  <si>
    <t>Evidence of public presentations regarding the proposed project to local government and residents of the surrounding community?</t>
  </si>
  <si>
    <t>Energy Star refrigerators</t>
  </si>
  <si>
    <t>Energy Star dishwashers  (not required in senior USDA or HUD properties)</t>
  </si>
  <si>
    <t>Stoves</t>
  </si>
  <si>
    <t>Microwave ovens</t>
  </si>
  <si>
    <t>Date of Physical Needs Assessment (PNA):</t>
  </si>
  <si>
    <t>Is Conceptual Site Development Plan included in application and has it been prepared in accordance with all instructions set forth in the DCA Architectural Manual?</t>
  </si>
  <si>
    <t>Applicant agrees that this proposed property must achieve a minimum standard for energy efficiency and sustainable building practices upon construction completion as set forth in the QAP and DCA Architectural Manual?</t>
  </si>
  <si>
    <t>Applicant agrees that the final construction documents must clearly indicate all components of the building envelope and all materials and equipment that meet the requirements set forth in the QAP and DCA Architectural Manual?</t>
  </si>
  <si>
    <t>Upon completion, will this project comply with all applicable Federal and State accessibility laws including but not limited to: The Fair Housing Amendments Act of 1988, Americans with Disabilities Act, Section 504 of the Rehabilitation Act of 1973, Georgia Fair Housing Law and Georgia Access Law as set forth in the 2014 Accessibility Manual?  Also, when two or more accessibility standards apply, the applicant is required to follow and apply both standards so that a maximum accessibility is obtained.</t>
  </si>
  <si>
    <t>Does this project comply with applicable DCA accessibility requirements detailed in the 2014 Architectural and Accessibility Manuals?</t>
  </si>
  <si>
    <t>B2)</t>
  </si>
  <si>
    <t>Is the completed Organizational Chart included in the Performance Workbook and the application binder?</t>
  </si>
  <si>
    <r>
      <t>Has Applicant included documentation related to foreclosures, suspension or debarment by governmental or quasi governmental entity</t>
    </r>
    <r>
      <rPr>
        <b/>
        <sz val="8"/>
        <rFont val="Arial"/>
        <family val="2"/>
      </rPr>
      <t>?</t>
    </r>
  </si>
  <si>
    <t>Provide summary data collected from DCA Relocation Displacement Spreadsheet:</t>
  </si>
  <si>
    <t>AFFIRMATIVELY FURTHERING FAIR HOUSING (AFFH)</t>
  </si>
  <si>
    <t>If selected, does the Applicant agree to prepare and submit an AFFH Marketing plan incorporating outreach efforts to each service provider, homeless shelter or local disability advocacy organization in the county in which the project is located?</t>
  </si>
  <si>
    <t>If selected, does the Applicant agree to prepare and submit an AFFH Marketing plan which affirmatively markets to persons with disabilities and the homeless?</t>
  </si>
  <si>
    <t>If selected, does the Applicant agree to prepare and submit an AFFH Marketing plan which establishes and maintains relationships between the management agent and community service providers?</t>
  </si>
  <si>
    <t>If selected, does the Applicant agree to prepare and submit an AFFH Marketing plan that includes a referral and screening process that will be used to refer tenants to the projects, the screening criteria that will be used, and makes reasonable accommodations to facilitate the admittance of persons with disabilities or the homeless into the project?</t>
  </si>
  <si>
    <t>If selected, does the Applicant agree to prepare and submit an AFFH Marketing plan that includes marketing of properties to underserved populations 2-4 months prior to occupancy?</t>
  </si>
  <si>
    <t>If selected, does the Applicant agree to prepare and submit an AFFH Marketing plan that includes making applications for affordable units available to public locations including at least one that has night hours?</t>
  </si>
  <si>
    <r>
      <t xml:space="preserve">General Requirements </t>
    </r>
    <r>
      <rPr>
        <sz val="6"/>
        <rFont val="Arial Narrow"/>
        <family val="2"/>
      </rPr>
      <t>(exclusive of Contractor Svcs)</t>
    </r>
  </si>
  <si>
    <t>Pools</t>
  </si>
  <si>
    <t>Flexible</t>
  </si>
  <si>
    <t>remaining</t>
  </si>
  <si>
    <t>Reinspection Fee</t>
  </si>
  <si>
    <t>Plus travel</t>
  </si>
  <si>
    <t>Single Family Detached or Duplex fee</t>
  </si>
  <si>
    <t>incl in 2</t>
  </si>
  <si>
    <r>
      <t>Publicly operated/sponsored and established transit service</t>
    </r>
    <r>
      <rPr>
        <sz val="9"/>
        <rFont val="Arial"/>
        <family val="2"/>
      </rPr>
      <t xml:space="preserve"> (including on-call or fixed-route service)</t>
    </r>
  </si>
  <si>
    <t>&lt;Select a Community Revitalization Plan option&gt;</t>
  </si>
  <si>
    <t>Adopted Revitalization Plan</t>
  </si>
  <si>
    <t>Designated Military Zone</t>
  </si>
  <si>
    <t>HUD Choice Neighborhood</t>
  </si>
  <si>
    <t>Adptd Revital Plan &amp; Desig MZ</t>
  </si>
  <si>
    <t>None</t>
  </si>
  <si>
    <t>Type of event:</t>
  </si>
  <si>
    <t>Date(s) of event(s):</t>
  </si>
  <si>
    <t>&lt;&lt;Select event type&gt;&gt;</t>
  </si>
  <si>
    <t>Plan details specific work efforts that directly effect the proposed site?</t>
  </si>
  <si>
    <t>Has been officially adopted by the local govt?</t>
  </si>
  <si>
    <t>Includes public input and engagement?</t>
  </si>
  <si>
    <t xml:space="preserve">Is current and ongoing?   </t>
  </si>
  <si>
    <t>Clearly delineates the target area that includes the proposed project site?</t>
  </si>
  <si>
    <t>Calls for the rehabilitation or production of affordable rental housing as a policy goal for the community?</t>
  </si>
  <si>
    <t>The time frames and implementation measures are current and ongoing?</t>
  </si>
  <si>
    <t>Has at least one goal supported by the proposed development project?</t>
  </si>
  <si>
    <t>Contains implementation measures along w/specific time frames for achievement of policies &amp; housing activities?</t>
  </si>
  <si>
    <t>Contains an assessment of the existing physical structures and infrastructure of the community?</t>
  </si>
  <si>
    <t>Discusses resources that will be utilized to implement the plan?</t>
  </si>
  <si>
    <t>QCT Nbr:</t>
  </si>
  <si>
    <t>Is included in full in both the paper and electronic versions of the application?</t>
  </si>
  <si>
    <t xml:space="preserve">Proposed development site is w/in the boundaries of a Local Government where a 9% Credit project has not been awarded w/in the last </t>
  </si>
  <si>
    <t xml:space="preserve"> DCA </t>
  </si>
  <si>
    <t>funding cycles OR is located in a non- Rural area outside of a 2-mile radius from such a funded project.</t>
  </si>
  <si>
    <t>EXTENDED AFFORDABILITY COMMITMENT</t>
  </si>
  <si>
    <t>RURAL PRIORITY</t>
  </si>
  <si>
    <t>Letter from a designated Georgia Initiative for Community Housing community that clearly:</t>
  </si>
  <si>
    <t>Funding or assistance provided below is binding and unconditional except as set forth in this section.</t>
  </si>
  <si>
    <t>NSP Funds</t>
  </si>
  <si>
    <t>LEVERAGING OF PUBLIC RESOURCES</t>
  </si>
  <si>
    <t>Project receives long-term (no less than 45-year) ground lease from a local public housing authority or government entity for nominal consideration and no other land costs.</t>
  </si>
  <si>
    <t>&lt;Select unrelated 3rd party type&gt;</t>
  </si>
  <si>
    <t xml:space="preserve">Integrated Supportive Housing/ Section 811 Rental Assistance                   </t>
  </si>
  <si>
    <t>Applicant agrees to accept Section 811 project based rental assistance or other government rental assistance for up to 15% of the units for the purpose of providing integrated housing opportunities to a target population which includes individuals with mental illness, as defined in the Settlement   Agreement between the State of Georgia  and  the Department of Justice (#1:10-CV-249-CAP) and to individuals eligible to participate in the Money Follows the Person program?</t>
  </si>
  <si>
    <t xml:space="preserve">An executed Memorandum of Understanding (MOU) exists with a State or Local behavioral health agency responsible for community placements, Continuum of Care, or an appropriate service provider equipped to provide referrals and support services to the target population, AND both paper and electronic copies of this MOU are included in the application?
</t>
  </si>
  <si>
    <t>Application includes:</t>
  </si>
  <si>
    <t>&lt;&lt;Select applicable documentation&gt;&gt;</t>
  </si>
  <si>
    <t>The property is/has:</t>
  </si>
  <si>
    <t xml:space="preserve">Total Units </t>
  </si>
  <si>
    <t>% of Total</t>
  </si>
  <si>
    <t>Nbr of adaptive reuse units:</t>
  </si>
  <si>
    <t>Historic Credit Equity:</t>
  </si>
  <si>
    <t>Application proposing to pay the full balance of a DCA HOME loan</t>
  </si>
  <si>
    <t>Application proposes to preserve a project with a commitment of government-awarded rental assistance or subsidies for at least 30% of residential units for a minimum of five (5) years. This percentage will be calculated based on the total residential units (common space employee units will not be included in the total residential units).</t>
  </si>
  <si>
    <t>Application proposes to preserve an affordable housing property receiving project-based rental assistance or subsidies for 100% of the total residential units that is within three years of any permitted prepayment or subsidy contract expiration with a likely conversion to market rate housing or equivalent loss of  low income  use  restrictions. The property must also have been designated by HUD as a High priority project.  HUD may designate no more than two (2) projects as High Priority. (HUD may require that applicants seeking this priority designation for a project submit documentation no later than 60 days prior to Application Submission).</t>
  </si>
  <si>
    <t>Application proposes to rehabilitate a project that has not been previously rehabilitated.  Claiming this point constitutes an Applicant certification that this is true.</t>
  </si>
  <si>
    <t>Application that a documented average physical occupancy of at least 80% for the 6 months period prior to Application submission (December to May).</t>
  </si>
  <si>
    <t>Application  proposes to rehabilitate an existing tax credit property with a Compliance Period that began at least 20 years prior to the Application Submission deadline.</t>
  </si>
  <si>
    <t>Application has a documented average physical occupancy of at least 90% for the 6 months period prior to Application submission (December to May)</t>
  </si>
  <si>
    <t>Application  proposes to rehabilitate an existing tax credit property with a Compliance Period that began at least 18 years prior to the application deadline.</t>
  </si>
  <si>
    <t>Application proposes rehabilitation, where the construction hard costs are at least 45% of the Total Development Costs.</t>
  </si>
  <si>
    <t>20.</t>
  </si>
  <si>
    <t>HIGH PERFORMING SCHOOL ZONES</t>
  </si>
  <si>
    <t>Reading</t>
  </si>
  <si>
    <t>Mathematics</t>
  </si>
  <si>
    <t>Social Studies</t>
  </si>
  <si>
    <t>Science</t>
  </si>
  <si>
    <t xml:space="preserve">Meets </t>
  </si>
  <si>
    <t>Exceeds</t>
  </si>
  <si>
    <t>English / Lang.Arts</t>
  </si>
  <si>
    <r>
      <rPr>
        <b/>
        <sz val="9"/>
        <color rgb="FFFF0000"/>
        <rFont val="Arial"/>
        <family val="2"/>
      </rPr>
      <t>4th</t>
    </r>
    <r>
      <rPr>
        <b/>
        <sz val="9"/>
        <rFont val="Arial"/>
        <family val="2"/>
      </rPr>
      <t xml:space="preserve"> Grade</t>
    </r>
  </si>
  <si>
    <r>
      <rPr>
        <b/>
        <sz val="9"/>
        <color rgb="FFFF0000"/>
        <rFont val="Arial"/>
        <family val="2"/>
      </rPr>
      <t>5th</t>
    </r>
    <r>
      <rPr>
        <b/>
        <sz val="9"/>
        <rFont val="Arial"/>
        <family val="2"/>
      </rPr>
      <t xml:space="preserve"> Grade</t>
    </r>
  </si>
  <si>
    <r>
      <rPr>
        <b/>
        <sz val="9"/>
        <color rgb="FFFF0000"/>
        <rFont val="Arial"/>
        <family val="2"/>
      </rPr>
      <t>3rd</t>
    </r>
    <r>
      <rPr>
        <b/>
        <sz val="9"/>
        <rFont val="Arial"/>
        <family val="2"/>
      </rPr>
      <t xml:space="preserve"> Grade</t>
    </r>
  </si>
  <si>
    <t>School Name</t>
  </si>
  <si>
    <t>District</t>
  </si>
  <si>
    <t>School Year</t>
  </si>
  <si>
    <t>22.</t>
  </si>
  <si>
    <t>WORKFORCE HOUSING NEED</t>
  </si>
  <si>
    <t>21.</t>
  </si>
  <si>
    <t>City of</t>
  </si>
  <si>
    <t>Atlanta MSA</t>
  </si>
  <si>
    <t>of workers within a 2-mile radius travel over 10 miles to their place of work.</t>
  </si>
  <si>
    <t xml:space="preserve">Sites meets the minimum jobs threshold AND more than </t>
  </si>
  <si>
    <t>Project City</t>
  </si>
  <si>
    <t>Project County</t>
  </si>
  <si>
    <t>HUD SA</t>
  </si>
  <si>
    <t>(Cherokee, Clayton, Cobb, DeKalb, Douglas, Fayette, Fulton, Gwinnett, Henry and Rockdale counties)</t>
  </si>
  <si>
    <t>Actual Number of Jobs</t>
  </si>
  <si>
    <t>Credits Requested</t>
  </si>
  <si>
    <r>
      <t xml:space="preserve">Eligibility   -   </t>
    </r>
    <r>
      <rPr>
        <i/>
        <sz val="8"/>
        <rFont val="Arial"/>
        <family val="2"/>
      </rPr>
      <t>The Plan:</t>
    </r>
  </si>
  <si>
    <t>Unrelated Third Party Name</t>
  </si>
  <si>
    <t>This Application is submitted in accordance with the 2014 Qualified Allocation Plan and the Housing Finance and Development Division Manuals.  In submitting this Application for funding consideration, the undersigned applicant hereby certifies:</t>
  </si>
  <si>
    <t>IDENTITY OF INTEREST</t>
  </si>
  <si>
    <t>Is there an identity of interest between:</t>
  </si>
  <si>
    <t>Developer and Contractor?</t>
  </si>
  <si>
    <t>Owner and Consultant?</t>
  </si>
  <si>
    <t>If Yes, explain the relationship in boxes provided below and attach additional pages as needed:</t>
  </si>
  <si>
    <t>Developer and Consultant?</t>
  </si>
  <si>
    <t>ADDITIONAL INFORMATION</t>
  </si>
  <si>
    <t>Roll-In Showers</t>
  </si>
  <si>
    <t>% of Units for the Mobility-Impaired</t>
  </si>
  <si>
    <t xml:space="preserve">Total Residential Parking Spaces </t>
  </si>
  <si>
    <r>
      <t xml:space="preserve">DEVELOPMENT BUDGET </t>
    </r>
    <r>
      <rPr>
        <i/>
        <sz val="8"/>
        <rFont val="Arial Narrow"/>
        <family val="2"/>
      </rPr>
      <t xml:space="preserve"> (cont'd)</t>
    </r>
  </si>
  <si>
    <r>
      <t xml:space="preserve">DEVELOPMENT BUDGET </t>
    </r>
    <r>
      <rPr>
        <i/>
        <sz val="8"/>
        <rFont val="Arial Narrow"/>
        <family val="2"/>
      </rPr>
      <t>(cont'd)</t>
    </r>
  </si>
  <si>
    <t>Applicant agrees to arrange for preconstruction plan review and inspection of project by a DCA-qualified consultant at least 3 times (Initial, Intermediate, and Final).during construction in order to monitor grading operations, framing, and final compliance?  DCA must be copied on all reviews/reports.</t>
  </si>
  <si>
    <r>
      <t>Site is</t>
    </r>
    <r>
      <rPr>
        <b/>
        <i/>
        <sz val="9"/>
        <rFont val="Arial"/>
        <family val="2"/>
      </rPr>
      <t xml:space="preserve"> within 1/4 mile</t>
    </r>
    <r>
      <rPr>
        <b/>
        <i/>
        <sz val="9"/>
        <color rgb="FFFF0000"/>
        <rFont val="Arial"/>
        <family val="2"/>
      </rPr>
      <t>*</t>
    </r>
    <r>
      <rPr>
        <b/>
        <sz val="9"/>
        <rFont val="Arial"/>
        <family val="2"/>
      </rPr>
      <t xml:space="preserve"> of an established public transportation stop</t>
    </r>
  </si>
  <si>
    <r>
      <t>Site is</t>
    </r>
    <r>
      <rPr>
        <b/>
        <i/>
        <sz val="9"/>
        <rFont val="Arial"/>
        <family val="2"/>
      </rPr>
      <t xml:space="preserve"> within 1/2 mile</t>
    </r>
    <r>
      <rPr>
        <b/>
        <i/>
        <sz val="9"/>
        <color rgb="FFFF0000"/>
        <rFont val="Arial"/>
        <family val="2"/>
      </rPr>
      <t>*</t>
    </r>
    <r>
      <rPr>
        <b/>
        <sz val="9"/>
        <rFont val="Arial"/>
        <family val="2"/>
      </rPr>
      <t xml:space="preserve"> of an established public transportation stop</t>
    </r>
  </si>
  <si>
    <t>For Rural Projects - indicate Tract Median Family Income percentage:</t>
  </si>
  <si>
    <t>(minimum 1.5 spaces per unit for family projects, 1 per unit for senior projects)</t>
  </si>
  <si>
    <r>
      <rPr>
        <b/>
        <sz val="9"/>
        <color rgb="FFFF0000"/>
        <rFont val="Arial"/>
        <family val="2"/>
      </rPr>
      <t>STATE</t>
    </r>
    <r>
      <rPr>
        <b/>
        <sz val="9"/>
        <rFont val="Arial"/>
        <family val="2"/>
      </rPr>
      <t xml:space="preserve"> Average</t>
    </r>
  </si>
  <si>
    <t>Total Combined</t>
  </si>
  <si>
    <t>Subject</t>
  </si>
  <si>
    <t>Grade</t>
  </si>
  <si>
    <t>Enter applicable % into each box.</t>
  </si>
  <si>
    <t>Exceeds state average?</t>
  </si>
  <si>
    <t>School</t>
  </si>
  <si>
    <t>Payment and Performance Bond (HOME only)?</t>
  </si>
  <si>
    <t>Extraordinary Circumstances Waiver</t>
  </si>
  <si>
    <r>
      <t xml:space="preserve">OTHER REQUIRED INFORMATION  -  </t>
    </r>
    <r>
      <rPr>
        <i/>
        <sz val="10"/>
        <rFont val="Arial Narrow"/>
        <family val="2"/>
      </rPr>
      <t>Continued</t>
    </r>
    <r>
      <rPr>
        <b/>
        <sz val="10"/>
        <rFont val="Arial Narrow"/>
        <family val="2"/>
      </rPr>
      <t xml:space="preserve"> (Answer each of the questions below for each participant listed below.)</t>
    </r>
  </si>
  <si>
    <t>Brookhaven</t>
  </si>
  <si>
    <t>Calvary</t>
  </si>
  <si>
    <t>Canoochee</t>
  </si>
  <si>
    <t>Cedar Springs</t>
  </si>
  <si>
    <t>Cherry Log</t>
  </si>
  <si>
    <t>Crooked Creek</t>
  </si>
  <si>
    <t>Dewy Rose</t>
  </si>
  <si>
    <t>Du Pont</t>
  </si>
  <si>
    <t>Dutch Island</t>
  </si>
  <si>
    <t>Eagle Grove</t>
  </si>
  <si>
    <t>Empire</t>
  </si>
  <si>
    <t>Epworth</t>
  </si>
  <si>
    <t>Hardwick</t>
  </si>
  <si>
    <t>Henderson</t>
  </si>
  <si>
    <t>Heron Bay</t>
  </si>
  <si>
    <t>Howard</t>
  </si>
  <si>
    <t>Knoxville</t>
  </si>
  <si>
    <t>Matthews</t>
  </si>
  <si>
    <t>Mendes</t>
  </si>
  <si>
    <t>Payne</t>
  </si>
  <si>
    <t>Peachtree Corners</t>
  </si>
  <si>
    <t>Perkins</t>
  </si>
  <si>
    <t>Rockingham</t>
  </si>
  <si>
    <t>Satilla</t>
  </si>
  <si>
    <t>Sautee Nacoochee</t>
  </si>
  <si>
    <t>Seville</t>
  </si>
  <si>
    <t>Statenville</t>
  </si>
  <si>
    <t>Talahi Island</t>
  </si>
  <si>
    <t>Tate</t>
  </si>
  <si>
    <t>Yonah</t>
  </si>
  <si>
    <t>Contractor and Owner Consultant?</t>
  </si>
  <si>
    <t>Owner and Contractor?</t>
  </si>
  <si>
    <t>Contractor &amp; Developer Consultant?</t>
  </si>
  <si>
    <t>Are any commitments submitted as “Under Consideration” which need final approval before July 10, 2014?</t>
  </si>
  <si>
    <t xml:space="preserve">Overall Market Occupancy Rate </t>
  </si>
  <si>
    <t>List DCA tax credit projects (inside a 2-mile radius for urban or a 10-mile radius for rural) for years 2011 - 2013.  Include DCA project number and project name in each case.</t>
  </si>
  <si>
    <t>Does the appraisal conform to USPAP standards?</t>
  </si>
  <si>
    <t>Does the “as is” value delineate the value of the land and, if applicable, building?</t>
  </si>
  <si>
    <t>Is this site legally accessible by paved roads and are the appropriate drawings, surveys, photographs and other documentation reflecting such paved roads included in the application binder in both electronic and paper form?</t>
  </si>
  <si>
    <t>Rehabilitation projects will be considered for funding only if the per unit rehabilitation hard costs exceed $25,000.  The costs of furniture, fixtures, construction or rehabilitation of community buildings and common area amenities are not included in these amounts.</t>
  </si>
  <si>
    <t>For each missing or incomplete document (paper or electronic), one (1) point will be deducted</t>
  </si>
  <si>
    <r>
      <t>Site is</t>
    </r>
    <r>
      <rPr>
        <b/>
        <i/>
        <sz val="9"/>
        <rFont val="Arial"/>
        <family val="2"/>
      </rPr>
      <t xml:space="preserve"> owned by the local transit agency </t>
    </r>
    <r>
      <rPr>
        <b/>
        <sz val="9"/>
        <rFont val="Arial"/>
        <family val="2"/>
      </rPr>
      <t>and has been strategically targeted by the agency to create housing with on site access to public transportation</t>
    </r>
  </si>
  <si>
    <t>Project has received a HUD Choice Neighborhood Implementation Grant and has included in the application binder documented evidence that proposed project is located within the targeted area?</t>
  </si>
  <si>
    <t>Is the proposed project part of a master plan for redevelopment in which one or more phases received an allocation of 9% tax credits within the past 3 funding rounds and at least one phase has commenced construction per that allocation as of the 2014 Application Submission deadline?</t>
  </si>
  <si>
    <t>Identifies the project as located within the political jurisdiction of :</t>
  </si>
  <si>
    <t>Is indicative of the community’s affordable housing goals</t>
  </si>
  <si>
    <t>Identifies that the project meets one of the objectives of the Community</t>
  </si>
  <si>
    <t>Is executed by the official representative of the Community</t>
  </si>
  <si>
    <t>NOTE:  If more than one letter is issued by a GICH community, no project in that community shall be awarded any points.</t>
  </si>
  <si>
    <t>Replacement Housing Factor Funds</t>
  </si>
  <si>
    <t>Government Grant funds</t>
  </si>
  <si>
    <t>Government loans with interest rates below AFR</t>
  </si>
  <si>
    <r>
      <rPr>
        <sz val="8"/>
        <rFont val="Arial"/>
        <family val="2"/>
      </rPr>
      <t>Category</t>
    </r>
    <r>
      <rPr>
        <b/>
        <sz val="8"/>
        <rFont val="Arial"/>
        <family val="2"/>
      </rPr>
      <t xml:space="preserve"> RANKING (</t>
    </r>
    <r>
      <rPr>
        <b/>
        <sz val="8"/>
        <color rgb="FFFF0000"/>
        <rFont val="Arial"/>
        <family val="2"/>
      </rPr>
      <t>NOT SCORING</t>
    </r>
    <r>
      <rPr>
        <b/>
        <sz val="8"/>
        <rFont val="Arial"/>
        <family val="2"/>
      </rPr>
      <t xml:space="preserve">) </t>
    </r>
    <r>
      <rPr>
        <sz val="8"/>
        <rFont val="Arial"/>
        <family val="2"/>
      </rPr>
      <t>Points</t>
    </r>
  </si>
  <si>
    <r>
      <t>Possible Score</t>
    </r>
    <r>
      <rPr>
        <sz val="8"/>
        <rFont val="Arial"/>
        <family val="2"/>
      </rPr>
      <t xml:space="preserve"> (awarded by DCA to up to 7 applications)</t>
    </r>
    <r>
      <rPr>
        <b/>
        <sz val="8"/>
        <rFont val="Arial"/>
        <family val="2"/>
      </rPr>
      <t>:</t>
    </r>
  </si>
  <si>
    <t>Is there any Identity of Interest between the entity with site control and the applicant?</t>
  </si>
  <si>
    <r>
      <rPr>
        <sz val="8"/>
        <color rgb="FFFF0000"/>
        <rFont val="Arial"/>
        <family val="2"/>
      </rPr>
      <t>*</t>
    </r>
    <r>
      <rPr>
        <sz val="8"/>
        <rFont val="Arial"/>
        <family val="2"/>
      </rPr>
      <t>As measured from an entrance to the site that is accessible to pedestrians and connected by sidewalks or established pedestrian walkways to the transportation stop.</t>
    </r>
  </si>
  <si>
    <r>
      <t>Site is</t>
    </r>
    <r>
      <rPr>
        <b/>
        <i/>
        <sz val="9"/>
        <rFont val="Arial"/>
        <family val="2"/>
      </rPr>
      <t xml:space="preserve"> adjacent</t>
    </r>
    <r>
      <rPr>
        <b/>
        <i/>
        <sz val="9"/>
        <color rgb="FFFF0000"/>
        <rFont val="Arial"/>
        <family val="2"/>
      </rPr>
      <t>*</t>
    </r>
    <r>
      <rPr>
        <b/>
        <i/>
        <sz val="9"/>
        <rFont val="Arial"/>
        <family val="2"/>
      </rPr>
      <t xml:space="preserve"> to </t>
    </r>
    <r>
      <rPr>
        <b/>
        <sz val="9"/>
        <rFont val="Arial"/>
        <family val="2"/>
      </rPr>
      <t>(within 800 ft) an established public transportation stop</t>
    </r>
  </si>
  <si>
    <t>Is the NonProfit Assessment form and the required documentation included in the appropriate tab of the application?</t>
  </si>
  <si>
    <t>Indicate that the following criteria are met:</t>
  </si>
  <si>
    <t>% of LI Units that are 1 BR &amp; set at 50% AMI:</t>
  </si>
  <si>
    <t>QUALIFICATIONS FOR PROJECT TEAM  (PERFORMANCE)</t>
  </si>
  <si>
    <t>Is there a pre-application Qualification of Project Team Determination from DCA included in this application for this criterion?</t>
  </si>
  <si>
    <t>DCA's pre-application Qualification of Project's Team Determination indicated a status of (select one):</t>
  </si>
  <si>
    <t>If not submitted at pre-application, has the principal and entities of each General Partner and Developer submitted a complete and correct DCA Performance Workbook, which includes the DCA Compliance History Summary Form?</t>
  </si>
  <si>
    <t>&lt;&lt; Select Designation &gt;&gt;</t>
  </si>
  <si>
    <t>Qualified w/out Conditions</t>
  </si>
  <si>
    <t>Qualified w/ Conditions (i)</t>
  </si>
  <si>
    <t>Qualified w/ Conditions (ii)</t>
  </si>
  <si>
    <t>Qualified w/ Conditions (iii)</t>
  </si>
  <si>
    <t>Qualified w/ Conditions (iv)</t>
  </si>
  <si>
    <t>Ineligible - Signif Adverse Events</t>
  </si>
  <si>
    <t>NQ - Partnering w/ Qualified Entity</t>
  </si>
  <si>
    <t>NQ - Probationary Participation</t>
  </si>
  <si>
    <t>12)</t>
  </si>
  <si>
    <t>Managing General Partner</t>
  </si>
  <si>
    <t>Other General Partner 1</t>
  </si>
  <si>
    <t>Other General Partner 2</t>
  </si>
  <si>
    <t>NonProfit Sponsor</t>
  </si>
  <si>
    <t>Co-Developer 1</t>
  </si>
  <si>
    <t>Co-Developer 2</t>
  </si>
  <si>
    <t>Developer Consultant</t>
  </si>
  <si>
    <t>Owner Consultant</t>
  </si>
  <si>
    <t>Management Company</t>
  </si>
  <si>
    <t>1. Is entity a MBE/ WBE?</t>
  </si>
  <si>
    <r>
      <rPr>
        <sz val="10"/>
        <rFont val="Arial Narrow"/>
        <family val="2"/>
      </rPr>
      <t xml:space="preserve">2.  Has any person, principal, or agent for this entity ever been convicted of a felony (Yes or No)?. </t>
    </r>
    <r>
      <rPr>
        <b/>
        <sz val="10"/>
        <rFont val="Arial Narrow"/>
        <family val="2"/>
      </rPr>
      <t xml:space="preserve"> If yes, attach explanation.</t>
    </r>
  </si>
  <si>
    <r>
      <t xml:space="preserve">3. </t>
    </r>
    <r>
      <rPr>
        <sz val="10"/>
        <rFont val="Arial Narrow"/>
        <family val="2"/>
      </rPr>
      <t xml:space="preserve"> Does this entity have an identity of interest with any member, officer, or employee of DCA?  </t>
    </r>
    <r>
      <rPr>
        <b/>
        <sz val="10"/>
        <rFont val="Arial Narrow"/>
        <family val="2"/>
      </rPr>
      <t>If yes, attach explanation.</t>
    </r>
  </si>
  <si>
    <r>
      <t>4.</t>
    </r>
    <r>
      <rPr>
        <sz val="10"/>
        <rFont val="Arial Narrow"/>
        <family val="2"/>
      </rPr>
      <t xml:space="preserve">  Applicable Org Type (FP,NP, CHDO)</t>
    </r>
  </si>
  <si>
    <r>
      <t xml:space="preserve">5. </t>
    </r>
    <r>
      <rPr>
        <sz val="10"/>
        <rFont val="Arial Narrow"/>
        <family val="2"/>
      </rPr>
      <t xml:space="preserve"> Project Ownership Percentage</t>
    </r>
  </si>
  <si>
    <r>
      <t xml:space="preserve">TAX CREDIT PROJECT MAXIMUM - </t>
    </r>
    <r>
      <rPr>
        <sz val="10"/>
        <rFont val="Arial Narrow"/>
        <family val="2"/>
      </rPr>
      <t>Lower of Basis Method, Gap Method or DCA Limit:</t>
    </r>
  </si>
  <si>
    <t>Buyer and Seller of Land/Property?</t>
  </si>
  <si>
    <t>Resolution of support or letter of support from local government officials?</t>
  </si>
  <si>
    <t>Per Unit Cost Limitation?</t>
  </si>
  <si>
    <t>Credit Award Limitation (extraordinary circumstances)?</t>
  </si>
  <si>
    <t>Date of publication of meeting notice:</t>
  </si>
  <si>
    <t>Date of public meeting:</t>
  </si>
  <si>
    <t>Publication in which notice placed:</t>
  </si>
  <si>
    <t>Date of Notice:</t>
  </si>
  <si>
    <t>I understand and agree that DCA makes no representations or warranties regarding the financial feasibility of the project, the amount of credit, or the appropriateness of the allocation of the credit and makes no independent investigation as to the eligible and qualified basis and that any and all credit awards and credit amounts are solely based on representations made by me.  I therefore agree to hold harmless and indemnify DCA and the individual directors, employees, members, officers, and agents of DCA in the event that I or anyone acting on my behalf, at my request or by and through me incurs any loss, injury, or damages in conjunction with the project including those that may result from any inquiries or gathering of information by DCA concerning the proposed project team or  Application, diminution of the credit, loss of the credit, recapture of part or all of the credit, or failure to allocate the credit requested in my Application or, the failure of DCA, in whole or in part, to grant my Application.</t>
  </si>
  <si>
    <t>I understand and agree that my Application for a low-income housing credit and/or HOME loan, all attachments thereto, amendments, and all correspondence relating to my Application in particular or the credit in general are subject to a request disclosure under the Georgia Open Records Act and I expressly consent to such disclosure.  I further understand and agree that any and all correspondence to me from DCA, or other DCA-generated documents, or documents to or from a third party in the possession of DCA relating to my Application are subject to a request for disclosure under the Georgia Open Records Act and I expressly consent to such disclosure.  I agree to hold harmless DCA and the individual directors, employees, members, officers, and agents of DCA against all losses, costs, damages, expenses, and liability of whatsoever nature or kind (including, but not limited to, attorneys' fees, litigation, and court costs) directly or indirectly resulting from or arising out of the release of all information pertaining to my Application pursuant to a request under the Georgia Open Records Act or resulting from or arising out of the release.</t>
  </si>
  <si>
    <t>Yellow cells - DCA Use</t>
  </si>
  <si>
    <t>Is the completed Compliance Questionnaire for the principals and entities of each General Partner and Developer included in Performance Workbook?</t>
  </si>
  <si>
    <t>&lt;&lt;Select applicable status&gt;&gt;</t>
  </si>
  <si>
    <t>Tenancy</t>
  </si>
  <si>
    <t>MSA or Non-MSA</t>
  </si>
  <si>
    <t>Overall DCA Urban or Rural</t>
  </si>
  <si>
    <t>Publication Name</t>
  </si>
  <si>
    <t>Time (#yrs, #mths) from Plan Adoption to Application Submission Date:</t>
  </si>
  <si>
    <t>Is the completed and executed DCA Neighborhood Revitalization Certification form included in the appropriate tab of the application?</t>
  </si>
  <si>
    <r>
      <t xml:space="preserve">Date(s) Plan reauthorized (if applicable) </t>
    </r>
    <r>
      <rPr>
        <i/>
        <sz val="8"/>
        <rFont val="Arial Narrow"/>
        <family val="2"/>
      </rPr>
      <t>by local govrnment officials</t>
    </r>
    <r>
      <rPr>
        <sz val="8"/>
        <rFont val="Arial Narrow"/>
        <family val="2"/>
      </rPr>
      <t>:</t>
    </r>
  </si>
  <si>
    <t>Application proposes to rehabilitate an existing tax credit property which has met or will meet the 15-year Compliance Period prior to the earlier of the date of acquisition by the new development owner or the end of the year of the carryover allocation. (Only properties that originally received an award of 9% credits and continue to be subject to extended use restrictions are eligible for points.)</t>
  </si>
  <si>
    <t>Date Plan adopted by local govt:</t>
  </si>
  <si>
    <t>included in 2</t>
  </si>
  <si>
    <t>Application develops a Family property located in attendance zone of high-performing elementary school (each grade level exceeds average state achievement level)?</t>
  </si>
  <si>
    <t>Scoring Section 16 - Superior Project Concept and Design Narrative</t>
  </si>
  <si>
    <t>If Yes, a form for applicant's required narrative is located in Tab IX-B of this electronic core application.  Is a completed printed copy of this narrative (no more than two pages) included in the application binder, along with the other required documentation, where indicated by the Tabs Checklist?</t>
  </si>
  <si>
    <t>TEST</t>
  </si>
  <si>
    <t>NONPROFIT POINTS</t>
  </si>
  <si>
    <t>SUPERIOR PROJECT CONCEPT AND DESIGN POINTS</t>
  </si>
  <si>
    <t>PRESERVATION POINTS</t>
  </si>
  <si>
    <t>NET POSSIBLE SCORE WITHOUT DCA EXTRA POINTS</t>
  </si>
  <si>
    <t>** Must be verified by applicant using following websites:</t>
  </si>
  <si>
    <t>* Must be verified by applicant using following websites:</t>
  </si>
  <si>
    <t>*As measured from an entrance to the site that is accessible to pedestrians and connected by sidewalks or established pedestrian walkways to the transportation stop.</t>
  </si>
  <si>
    <t>Full Cost of Improvement / Percent of TDC:</t>
  </si>
  <si>
    <t>3rd Grade</t>
  </si>
  <si>
    <t>STATE Average</t>
  </si>
  <si>
    <t>4th Grade</t>
  </si>
  <si>
    <t>5th Grade</t>
  </si>
  <si>
    <r>
      <t>Blue-shaded cells are unlocked for your use and</t>
    </r>
    <r>
      <rPr>
        <b/>
        <sz val="9"/>
        <color theme="0"/>
        <rFont val="Arial Narrow"/>
        <family val="2"/>
      </rPr>
      <t xml:space="preserve"> do not contain</t>
    </r>
    <r>
      <rPr>
        <sz val="9"/>
        <color theme="0"/>
        <rFont val="Arial Narrow"/>
        <family val="2"/>
      </rPr>
      <t xml:space="preserve"> references/formulas.</t>
    </r>
  </si>
  <si>
    <r>
      <t>Green-shaded cells are unlocked for your use and</t>
    </r>
    <r>
      <rPr>
        <b/>
        <sz val="9"/>
        <color theme="0"/>
        <rFont val="Arial Narrow"/>
        <family val="2"/>
      </rPr>
      <t xml:space="preserve"> do contain</t>
    </r>
    <r>
      <rPr>
        <sz val="9"/>
        <color theme="0"/>
        <rFont val="Arial Narrow"/>
        <family val="2"/>
      </rPr>
      <t xml:space="preserve"> references/formulas that can be overwritten.</t>
    </r>
  </si>
  <si>
    <r>
      <t>Pre-Application Number</t>
    </r>
    <r>
      <rPr>
        <sz val="10"/>
        <color theme="0"/>
        <rFont val="Arial Narrow"/>
        <family val="2"/>
      </rPr>
      <t xml:space="preserve"> </t>
    </r>
    <r>
      <rPr>
        <sz val="8"/>
        <color theme="0"/>
        <rFont val="Arial Narrow"/>
        <family val="2"/>
      </rPr>
      <t>(if applicable)   -   use format 2014PA-###</t>
    </r>
  </si>
  <si>
    <r>
      <t xml:space="preserve">Nearest Physical Street Address </t>
    </r>
    <r>
      <rPr>
        <b/>
        <sz val="10"/>
        <color theme="0"/>
        <rFont val="Arial Narrow"/>
        <family val="2"/>
      </rPr>
      <t>*</t>
    </r>
  </si>
  <si>
    <r>
      <t>9-digit Zip</t>
    </r>
    <r>
      <rPr>
        <b/>
        <sz val="11"/>
        <color theme="0"/>
        <rFont val="Arial Narrow"/>
        <family val="2"/>
      </rPr>
      <t>**</t>
    </r>
  </si>
  <si>
    <r>
      <rPr>
        <b/>
        <sz val="10"/>
        <color theme="0"/>
        <rFont val="Arial Narrow"/>
        <family val="2"/>
      </rPr>
      <t xml:space="preserve">  * </t>
    </r>
    <r>
      <rPr>
        <sz val="8"/>
        <color theme="0"/>
        <rFont val="Arial Narrow"/>
        <family val="2"/>
      </rPr>
      <t>If street number unknown</t>
    </r>
  </si>
  <si>
    <r>
      <t>Legislative Districts</t>
    </r>
    <r>
      <rPr>
        <b/>
        <sz val="10"/>
        <color theme="0"/>
        <rFont val="Arial Narrow"/>
        <family val="2"/>
      </rPr>
      <t xml:space="preserve"> **</t>
    </r>
  </si>
  <si>
    <r>
      <t>Type of Construction</t>
    </r>
    <r>
      <rPr>
        <sz val="10"/>
        <color theme="0"/>
        <rFont val="Arial Narrow"/>
        <family val="2"/>
      </rPr>
      <t>:</t>
    </r>
  </si>
  <si>
    <r>
      <t>Family or Senior</t>
    </r>
    <r>
      <rPr>
        <sz val="8"/>
        <color theme="0"/>
        <rFont val="Arial Narrow"/>
        <family val="2"/>
      </rPr>
      <t xml:space="preserve"> (if Senior, specify Elderly or HFOP)</t>
    </r>
  </si>
  <si>
    <r>
      <t xml:space="preserve">HUD funded affordable </t>
    </r>
    <r>
      <rPr>
        <b/>
        <u/>
        <sz val="10"/>
        <color theme="0"/>
        <rFont val="Arial Narrow"/>
        <family val="2"/>
      </rPr>
      <t>non</t>
    </r>
    <r>
      <rPr>
        <sz val="10"/>
        <color theme="0"/>
        <rFont val="Arial Narrow"/>
        <family val="2"/>
      </rPr>
      <t>public housing project</t>
    </r>
  </si>
  <si>
    <r>
      <t xml:space="preserve">Zip+4 </t>
    </r>
    <r>
      <rPr>
        <b/>
        <sz val="10"/>
        <color theme="0"/>
        <rFont val="Arial Narrow"/>
        <family val="2"/>
      </rPr>
      <t>*</t>
    </r>
  </si>
  <si>
    <r>
      <rPr>
        <b/>
        <sz val="9"/>
        <color theme="0"/>
        <rFont val="Arial Narrow"/>
        <family val="2"/>
      </rPr>
      <t>*</t>
    </r>
    <r>
      <rPr>
        <sz val="9"/>
        <color theme="0"/>
        <rFont val="Arial Narrow"/>
        <family val="2"/>
      </rPr>
      <t>Zip Codes</t>
    </r>
  </si>
  <si>
    <r>
      <t xml:space="preserve">OTHER REQUIRED INFORMATION  -  </t>
    </r>
    <r>
      <rPr>
        <i/>
        <sz val="10"/>
        <color theme="0"/>
        <rFont val="Arial Narrow"/>
        <family val="2"/>
      </rPr>
      <t>Continued</t>
    </r>
    <r>
      <rPr>
        <b/>
        <sz val="10"/>
        <color theme="0"/>
        <rFont val="Arial Narrow"/>
        <family val="2"/>
      </rPr>
      <t xml:space="preserve"> (Answer each of the questions below for each participant listed below.)</t>
    </r>
  </si>
  <si>
    <r>
      <rPr>
        <sz val="10"/>
        <color theme="0"/>
        <rFont val="Arial Narrow"/>
        <family val="2"/>
      </rPr>
      <t xml:space="preserve">2.  Has any person, principal, or agent for this entity ever been convicted of a felony (Yes or No)?. </t>
    </r>
    <r>
      <rPr>
        <b/>
        <sz val="10"/>
        <color theme="0"/>
        <rFont val="Arial Narrow"/>
        <family val="2"/>
      </rPr>
      <t xml:space="preserve"> If yes, attach explanation.</t>
    </r>
  </si>
  <si>
    <r>
      <t xml:space="preserve">3. </t>
    </r>
    <r>
      <rPr>
        <sz val="10"/>
        <color theme="0"/>
        <rFont val="Arial Narrow"/>
        <family val="2"/>
      </rPr>
      <t xml:space="preserve"> Does this entity have an identity of interest with any member, officer, or employee of DCA?  </t>
    </r>
    <r>
      <rPr>
        <b/>
        <sz val="10"/>
        <color theme="0"/>
        <rFont val="Arial Narrow"/>
        <family val="2"/>
      </rPr>
      <t>If yes, attach explanation.</t>
    </r>
  </si>
  <si>
    <r>
      <t>4.</t>
    </r>
    <r>
      <rPr>
        <sz val="10"/>
        <color theme="0"/>
        <rFont val="Arial Narrow"/>
        <family val="2"/>
      </rPr>
      <t xml:space="preserve">  Applicable Org Type (FP,NP, CHDO)</t>
    </r>
  </si>
  <si>
    <r>
      <t xml:space="preserve">5. </t>
    </r>
    <r>
      <rPr>
        <sz val="10"/>
        <color theme="0"/>
        <rFont val="Arial Narrow"/>
        <family val="2"/>
      </rPr>
      <t xml:space="preserve"> Project Ownership Percentage</t>
    </r>
  </si>
  <si>
    <r>
      <t xml:space="preserve">OTHER CONSTRUCTION HARD COSTS </t>
    </r>
    <r>
      <rPr>
        <sz val="8"/>
        <color theme="0"/>
        <rFont val="Arial Narrow"/>
        <family val="2"/>
      </rPr>
      <t>(Non-GC work scope items done by Owner)</t>
    </r>
  </si>
  <si>
    <r>
      <rPr>
        <b/>
        <i/>
        <u/>
        <sz val="10"/>
        <color theme="0"/>
        <rFont val="Arial Narrow"/>
        <family val="2"/>
      </rPr>
      <t>T</t>
    </r>
    <r>
      <rPr>
        <i/>
        <sz val="10"/>
        <color theme="0"/>
        <rFont val="Arial Narrow"/>
        <family val="2"/>
      </rPr>
      <t xml:space="preserve">otal </t>
    </r>
    <r>
      <rPr>
        <b/>
        <i/>
        <u/>
        <sz val="10"/>
        <color theme="0"/>
        <rFont val="Arial Narrow"/>
        <family val="2"/>
      </rPr>
      <t>C</t>
    </r>
    <r>
      <rPr>
        <i/>
        <sz val="10"/>
        <color theme="0"/>
        <rFont val="Arial Narrow"/>
        <family val="2"/>
      </rPr>
      <t xml:space="preserve">onstruction </t>
    </r>
    <r>
      <rPr>
        <b/>
        <i/>
        <u/>
        <sz val="10"/>
        <color theme="0"/>
        <rFont val="Arial Narrow"/>
        <family val="2"/>
      </rPr>
      <t>H</t>
    </r>
    <r>
      <rPr>
        <i/>
        <sz val="10"/>
        <color theme="0"/>
        <rFont val="Arial Narrow"/>
        <family val="2"/>
      </rPr>
      <t xml:space="preserve">ard </t>
    </r>
    <r>
      <rPr>
        <b/>
        <i/>
        <u/>
        <sz val="10"/>
        <color theme="0"/>
        <rFont val="Arial Narrow"/>
        <family val="2"/>
      </rPr>
      <t>C</t>
    </r>
    <r>
      <rPr>
        <i/>
        <sz val="10"/>
        <color theme="0"/>
        <rFont val="Arial Narrow"/>
        <family val="2"/>
      </rPr>
      <t>osts</t>
    </r>
  </si>
  <si>
    <r>
      <t xml:space="preserve">per </t>
    </r>
    <r>
      <rPr>
        <i/>
        <u/>
        <sz val="8"/>
        <color theme="0"/>
        <rFont val="Arial Narrow"/>
        <family val="2"/>
      </rPr>
      <t>Res'l</t>
    </r>
    <r>
      <rPr>
        <i/>
        <sz val="8"/>
        <color theme="0"/>
        <rFont val="Arial Narrow"/>
        <family val="2"/>
      </rPr>
      <t xml:space="preserve"> unit</t>
    </r>
  </si>
  <si>
    <r>
      <t xml:space="preserve">per </t>
    </r>
    <r>
      <rPr>
        <i/>
        <u/>
        <sz val="8"/>
        <color theme="0"/>
        <rFont val="Arial Narrow"/>
        <family val="2"/>
      </rPr>
      <t>Res'l</t>
    </r>
    <r>
      <rPr>
        <i/>
        <sz val="8"/>
        <color theme="0"/>
        <rFont val="Arial Narrow"/>
        <family val="2"/>
      </rPr>
      <t xml:space="preserve"> unit SF</t>
    </r>
  </si>
  <si>
    <r>
      <t xml:space="preserve">DEVELOPMENT BUDGET </t>
    </r>
    <r>
      <rPr>
        <i/>
        <sz val="8"/>
        <color theme="0"/>
        <rFont val="Arial Narrow"/>
        <family val="2"/>
      </rPr>
      <t>(cont'd)</t>
    </r>
  </si>
  <si>
    <r>
      <t xml:space="preserve">DEVELOPMENT BUDGET </t>
    </r>
    <r>
      <rPr>
        <i/>
        <sz val="8"/>
        <color theme="0"/>
        <rFont val="Arial Narrow"/>
        <family val="2"/>
      </rPr>
      <t xml:space="preserve"> (cont'd)</t>
    </r>
  </si>
  <si>
    <r>
      <rPr>
        <b/>
        <u/>
        <sz val="10"/>
        <color theme="0"/>
        <rFont val="Arial Narrow"/>
        <family val="2"/>
      </rPr>
      <t>T</t>
    </r>
    <r>
      <rPr>
        <b/>
        <sz val="10"/>
        <color theme="0"/>
        <rFont val="Arial Narrow"/>
        <family val="2"/>
      </rPr>
      <t xml:space="preserve">OTAL </t>
    </r>
    <r>
      <rPr>
        <b/>
        <u/>
        <sz val="10"/>
        <color theme="0"/>
        <rFont val="Arial Narrow"/>
        <family val="2"/>
      </rPr>
      <t>D</t>
    </r>
    <r>
      <rPr>
        <b/>
        <sz val="10"/>
        <color theme="0"/>
        <rFont val="Arial Narrow"/>
        <family val="2"/>
      </rPr>
      <t xml:space="preserve">EVELOPMENT </t>
    </r>
    <r>
      <rPr>
        <b/>
        <u/>
        <sz val="10"/>
        <color theme="0"/>
        <rFont val="Arial Narrow"/>
        <family val="2"/>
      </rPr>
      <t>C</t>
    </r>
    <r>
      <rPr>
        <b/>
        <sz val="10"/>
        <color theme="0"/>
        <rFont val="Arial Narrow"/>
        <family val="2"/>
      </rPr>
      <t>OST  (TDC)</t>
    </r>
  </si>
  <si>
    <r>
      <t xml:space="preserve">Average TDC Per:            </t>
    </r>
    <r>
      <rPr>
        <i/>
        <sz val="10"/>
        <color theme="0"/>
        <rFont val="Arial Narrow"/>
        <family val="2"/>
      </rPr>
      <t xml:space="preserve"> Unit:</t>
    </r>
  </si>
  <si>
    <r>
      <rPr>
        <b/>
        <u/>
        <sz val="9"/>
        <color theme="0"/>
        <rFont val="Arial Narrow"/>
        <family val="2"/>
      </rPr>
      <t>P</t>
    </r>
    <r>
      <rPr>
        <sz val="9"/>
        <color theme="0"/>
        <rFont val="Arial Narrow"/>
        <family val="2"/>
      </rPr>
      <t xml:space="preserve">roject </t>
    </r>
    <r>
      <rPr>
        <b/>
        <u/>
        <sz val="9"/>
        <color theme="0"/>
        <rFont val="Arial Narrow"/>
        <family val="2"/>
      </rPr>
      <t>C</t>
    </r>
    <r>
      <rPr>
        <sz val="9"/>
        <color theme="0"/>
        <rFont val="Arial Narrow"/>
        <family val="2"/>
      </rPr>
      <t xml:space="preserve">ost </t>
    </r>
    <r>
      <rPr>
        <b/>
        <u/>
        <sz val="9"/>
        <color theme="0"/>
        <rFont val="Arial Narrow"/>
        <family val="2"/>
      </rPr>
      <t>L</t>
    </r>
    <r>
      <rPr>
        <sz val="9"/>
        <color theme="0"/>
        <rFont val="Arial Narrow"/>
        <family val="2"/>
      </rPr>
      <t xml:space="preserve">imit (PCL) - </t>
    </r>
    <r>
      <rPr>
        <sz val="8"/>
        <color theme="0"/>
        <rFont val="Arial Narrow"/>
        <family val="2"/>
      </rPr>
      <t>Explain in Comments if Applicant's PCL calculation &gt; QAP PCL.</t>
    </r>
  </si>
  <si>
    <r>
      <rPr>
        <b/>
        <u/>
        <sz val="10"/>
        <color theme="0"/>
        <rFont val="Arial Narrow"/>
        <family val="2"/>
      </rPr>
      <t>T</t>
    </r>
    <r>
      <rPr>
        <sz val="10"/>
        <color theme="0"/>
        <rFont val="Arial Narrow"/>
        <family val="2"/>
      </rPr>
      <t xml:space="preserve">otal </t>
    </r>
    <r>
      <rPr>
        <b/>
        <u/>
        <sz val="10"/>
        <color theme="0"/>
        <rFont val="Arial Narrow"/>
        <family val="2"/>
      </rPr>
      <t>D</t>
    </r>
    <r>
      <rPr>
        <sz val="10"/>
        <color theme="0"/>
        <rFont val="Arial Narrow"/>
        <family val="2"/>
      </rPr>
      <t xml:space="preserve">evelopment </t>
    </r>
    <r>
      <rPr>
        <b/>
        <u/>
        <sz val="10"/>
        <color theme="0"/>
        <rFont val="Arial Narrow"/>
        <family val="2"/>
      </rPr>
      <t>C</t>
    </r>
    <r>
      <rPr>
        <sz val="10"/>
        <color theme="0"/>
        <rFont val="Arial Narrow"/>
        <family val="2"/>
      </rPr>
      <t xml:space="preserve">ost </t>
    </r>
    <r>
      <rPr>
        <sz val="8"/>
        <color theme="0"/>
        <rFont val="Arial Narrow"/>
        <family val="2"/>
      </rPr>
      <t>(TDC, PCL, or TDC less Foundation Funding; explain in Comments if TDC &gt; PCL)</t>
    </r>
  </si>
  <si>
    <r>
      <t>Enter Final Federal and State Equity Factors (</t>
    </r>
    <r>
      <rPr>
        <b/>
        <sz val="10"/>
        <color theme="0"/>
        <rFont val="Arial Narrow"/>
        <family val="2"/>
      </rPr>
      <t>not</t>
    </r>
    <r>
      <rPr>
        <sz val="10"/>
        <color theme="0"/>
        <rFont val="Arial Narrow"/>
        <family val="2"/>
      </rPr>
      <t xml:space="preserve"> </t>
    </r>
    <r>
      <rPr>
        <b/>
        <sz val="10"/>
        <color theme="0"/>
        <rFont val="Arial Narrow"/>
        <family val="2"/>
      </rPr>
      <t>including GP contribution</t>
    </r>
    <r>
      <rPr>
        <sz val="10"/>
        <color theme="0"/>
        <rFont val="Arial Narrow"/>
        <family val="2"/>
      </rPr>
      <t>)</t>
    </r>
  </si>
  <si>
    <r>
      <t xml:space="preserve">TAX CREDIT PROJECT MAXIMUM - </t>
    </r>
    <r>
      <rPr>
        <sz val="10"/>
        <color theme="0"/>
        <rFont val="Arial Narrow"/>
        <family val="2"/>
      </rPr>
      <t>Lower of Basis Method, Gap Method or DCA Limit:</t>
    </r>
  </si>
  <si>
    <r>
      <t xml:space="preserve">TAX CREDIT REQUEST - </t>
    </r>
    <r>
      <rPr>
        <sz val="10"/>
        <color theme="0"/>
        <rFont val="Arial Narrow"/>
        <family val="2"/>
      </rPr>
      <t>Cannot exceed Tax Credit Project Maximum, but may be lower:</t>
    </r>
  </si>
  <si>
    <r>
      <t>TAX CREDIT ALLOCATION -</t>
    </r>
    <r>
      <rPr>
        <b/>
        <sz val="10"/>
        <color theme="0"/>
        <rFont val="Arial Narrow"/>
        <family val="2"/>
      </rPr>
      <t xml:space="preserve"> </t>
    </r>
    <r>
      <rPr>
        <sz val="10"/>
        <color theme="0"/>
        <rFont val="Arial Narrow"/>
        <family val="2"/>
      </rPr>
      <t>Lower of Tax Credit Request and Tax Credit Project Maximum</t>
    </r>
  </si>
  <si>
    <r>
      <t xml:space="preserve">Subsidy </t>
    </r>
    <r>
      <rPr>
        <b/>
        <sz val="10"/>
        <color theme="0"/>
        <rFont val="Arial"/>
        <family val="2"/>
      </rPr>
      <t>***</t>
    </r>
  </si>
  <si>
    <r>
      <t xml:space="preserve">*** NOTE: When selecting "PHA Operating Subsidy" in the "PBRA Provider or Operating Subsidy" column above, please also then enter a zero in the "Proposed Gross Rent" column above </t>
    </r>
    <r>
      <rPr>
        <b/>
        <i/>
        <sz val="8"/>
        <color theme="0"/>
        <rFont val="Arial Narrow"/>
        <family val="2"/>
      </rPr>
      <t>AND</t>
    </r>
    <r>
      <rPr>
        <b/>
        <sz val="8"/>
        <color theme="0"/>
        <rFont val="Arial Narrow"/>
        <family val="2"/>
      </rPr>
      <t xml:space="preserve"> include the PHA operating subsidy amount in the "III. Ancillary and Other Income" section below.  Also refer to the Application Instructions provided separately.</t>
    </r>
  </si>
  <si>
    <r>
      <t xml:space="preserve">ANCILLARY AND OTHER INCOME  </t>
    </r>
    <r>
      <rPr>
        <i/>
        <sz val="10"/>
        <color theme="0"/>
        <rFont val="Arial"/>
        <family val="2"/>
      </rPr>
      <t>(annual amounts)</t>
    </r>
  </si>
  <si>
    <r>
      <t xml:space="preserve">Laundry, vending, app fees, etc.  </t>
    </r>
    <r>
      <rPr>
        <b/>
        <sz val="9"/>
        <color theme="0"/>
        <rFont val="Arial"/>
        <family val="2"/>
      </rPr>
      <t>Actual pct of PGI:</t>
    </r>
  </si>
  <si>
    <r>
      <t>NOT</t>
    </r>
    <r>
      <rPr>
        <i/>
        <sz val="10"/>
        <color theme="0"/>
        <rFont val="Arial"/>
        <family val="2"/>
      </rPr>
      <t xml:space="preserve"> Included in Mgt Fee:</t>
    </r>
  </si>
  <si>
    <r>
      <t xml:space="preserve">Total OI </t>
    </r>
    <r>
      <rPr>
        <b/>
        <sz val="9"/>
        <color theme="0"/>
        <rFont val="Arial"/>
        <family val="2"/>
      </rPr>
      <t>NOT</t>
    </r>
    <r>
      <rPr>
        <sz val="9"/>
        <color theme="0"/>
        <rFont val="Arial"/>
        <family val="2"/>
      </rPr>
      <t xml:space="preserve"> in Mgt Fee</t>
    </r>
  </si>
  <si>
    <r>
      <t>Green-shaded cells are unlocked for your use and</t>
    </r>
    <r>
      <rPr>
        <b/>
        <sz val="9"/>
        <color theme="0"/>
        <rFont val="Arial Narrow"/>
        <family val="2"/>
      </rPr>
      <t xml:space="preserve"> contain</t>
    </r>
    <r>
      <rPr>
        <sz val="9"/>
        <color theme="0"/>
        <rFont val="Arial Narrow"/>
        <family val="2"/>
      </rPr>
      <t xml:space="preserve"> references/formulas that </t>
    </r>
    <r>
      <rPr>
        <b/>
        <sz val="9"/>
        <color theme="0"/>
        <rFont val="Arial Narrow"/>
        <family val="2"/>
      </rPr>
      <t>may</t>
    </r>
    <r>
      <rPr>
        <sz val="9"/>
        <color theme="0"/>
        <rFont val="Arial Narrow"/>
        <family val="2"/>
      </rPr>
      <t xml:space="preserve"> be overwritten if needed.</t>
    </r>
  </si>
  <si>
    <r>
      <rPr>
        <b/>
        <u/>
        <sz val="7"/>
        <color theme="0"/>
        <rFont val="Arial Narrow"/>
        <family val="2"/>
      </rPr>
      <t>NOTE:</t>
    </r>
    <r>
      <rPr>
        <b/>
        <sz val="7"/>
        <color theme="0"/>
        <rFont val="Arial Narrow"/>
        <family val="2"/>
      </rPr>
      <t xml:space="preserve"> Unit counts are linked to Rent Chart.  Total Cost Limit Per Unit Types are auto-calculated.  Show Historic units in Part VI Revenues &amp; Expenses Tab - Unit Summary.</t>
    </r>
  </si>
  <si>
    <r>
      <t xml:space="preserve">Applicants certify that all selected services will meet QAP policies.  </t>
    </r>
    <r>
      <rPr>
        <b/>
        <u/>
        <sz val="8"/>
        <color theme="0"/>
        <rFont val="Arial"/>
        <family val="2"/>
      </rPr>
      <t>Does Applicant agree?</t>
    </r>
  </si>
  <si>
    <r>
      <t xml:space="preserve">Does the letter include the zoning </t>
    </r>
    <r>
      <rPr>
        <i/>
        <sz val="8"/>
        <color theme="0"/>
        <rFont val="Arial"/>
        <family val="2"/>
      </rPr>
      <t>and</t>
    </r>
    <r>
      <rPr>
        <sz val="8"/>
        <color theme="0"/>
        <rFont val="Arial"/>
        <family val="2"/>
      </rPr>
      <t xml:space="preserve"> land use classification of the property?</t>
    </r>
  </si>
  <si>
    <r>
      <t>The nbr of amenities required depends on the total unit count:</t>
    </r>
    <r>
      <rPr>
        <b/>
        <sz val="8"/>
        <color theme="0"/>
        <rFont val="Arial"/>
        <family val="2"/>
      </rPr>
      <t xml:space="preserve"> 1-125 units = 2 amenities, 126+ units = 4 amenities;</t>
    </r>
  </si>
  <si>
    <r>
      <t xml:space="preserve">Applicant understands that in addition to proposed work scope, the project must meet state and local building codes, DCA architectural requirements as set forth in the QAP and Manuals, and health and safety codes and requirements.  </t>
    </r>
    <r>
      <rPr>
        <b/>
        <u/>
        <sz val="8"/>
        <color theme="0"/>
        <rFont val="Arial"/>
        <family val="2"/>
      </rPr>
      <t>Applicant agrees?</t>
    </r>
  </si>
  <si>
    <r>
      <t xml:space="preserve">Constructed and Rehabilitation Construction Hard Costs - </t>
    </r>
    <r>
      <rPr>
        <sz val="8"/>
        <color theme="0"/>
        <rFont val="Arial"/>
        <family val="2"/>
      </rPr>
      <t>are the following minimum review standards for rehabilitation projects met or exceeded by this project?</t>
    </r>
  </si>
  <si>
    <r>
      <t>Additional Design Options</t>
    </r>
    <r>
      <rPr>
        <sz val="8"/>
        <color theme="0"/>
        <rFont val="Arial"/>
        <family val="2"/>
      </rPr>
      <t xml:space="preserve"> - not listed above, proposed by Applicant prior to Application Submittal in accordance with Exhibit A DCA Pre-application and Pre-Award Deadlines and Fee Schedule, and subsequently approved by DCA.</t>
    </r>
  </si>
  <si>
    <r>
      <t>Has Applicant included executed DCA MultiState Release Form for other state housing agencies</t>
    </r>
    <r>
      <rPr>
        <b/>
        <sz val="8"/>
        <color theme="0"/>
        <rFont val="Arial"/>
        <family val="2"/>
      </rPr>
      <t>?</t>
    </r>
  </si>
  <si>
    <r>
      <t>Has Applicant included documentation related to foreclosures, suspension or debarment by governmental or quasi governmental entity</t>
    </r>
    <r>
      <rPr>
        <b/>
        <sz val="8"/>
        <color theme="0"/>
        <rFont val="Arial"/>
        <family val="2"/>
      </rPr>
      <t>?</t>
    </r>
  </si>
  <si>
    <r>
      <t xml:space="preserve">The Census Tract for the property is characterized as [Choose either </t>
    </r>
    <r>
      <rPr>
        <i/>
        <sz val="8"/>
        <color theme="0"/>
        <rFont val="Arial"/>
        <family val="2"/>
      </rPr>
      <t>Minority concentration</t>
    </r>
    <r>
      <rPr>
        <sz val="8"/>
        <color theme="0"/>
        <rFont val="Arial"/>
        <family val="2"/>
      </rPr>
      <t xml:space="preserve"> (50% or more minority), </t>
    </r>
    <r>
      <rPr>
        <i/>
        <sz val="8"/>
        <color theme="0"/>
        <rFont val="Arial"/>
        <family val="2"/>
      </rPr>
      <t>Racially mixed</t>
    </r>
    <r>
      <rPr>
        <sz val="8"/>
        <color theme="0"/>
        <rFont val="Arial"/>
        <family val="2"/>
      </rPr>
      <t xml:space="preserve"> (25% - 49% minority), or </t>
    </r>
    <r>
      <rPr>
        <i/>
        <sz val="8"/>
        <color theme="0"/>
        <rFont val="Arial"/>
        <family val="2"/>
      </rPr>
      <t>Non-minority</t>
    </r>
    <r>
      <rPr>
        <sz val="8"/>
        <color theme="0"/>
        <rFont val="Arial"/>
        <family val="2"/>
      </rPr>
      <t xml:space="preserve"> (less than 25% minority)]:</t>
    </r>
  </si>
  <si>
    <r>
      <t xml:space="preserve">2-4 adjustments/revisions = one (1) pt deduction total; </t>
    </r>
    <r>
      <rPr>
        <i/>
        <sz val="8"/>
        <color theme="0"/>
        <rFont val="Arial Narrow"/>
        <family val="2"/>
      </rPr>
      <t>then</t>
    </r>
    <r>
      <rPr>
        <sz val="8"/>
        <color theme="0"/>
        <rFont val="Arial Narrow"/>
        <family val="2"/>
      </rPr>
      <t xml:space="preserve"> (1) pt deducted for each add'l adjustment.</t>
    </r>
  </si>
  <si>
    <r>
      <t xml:space="preserve">Documents not organized correctly:  </t>
    </r>
    <r>
      <rPr>
        <sz val="8"/>
        <color theme="0"/>
        <rFont val="Arial"/>
        <family val="2"/>
      </rPr>
      <t>Nbr</t>
    </r>
  </si>
  <si>
    <r>
      <t>Site is</t>
    </r>
    <r>
      <rPr>
        <b/>
        <i/>
        <sz val="9"/>
        <color theme="0"/>
        <rFont val="Arial"/>
        <family val="2"/>
      </rPr>
      <t xml:space="preserve"> owned by the local transit agency </t>
    </r>
    <r>
      <rPr>
        <b/>
        <sz val="9"/>
        <color theme="0"/>
        <rFont val="Arial"/>
        <family val="2"/>
      </rPr>
      <t>and has been strategically targeted by the agency to create housing with on site access to public transportation</t>
    </r>
  </si>
  <si>
    <r>
      <t>Site is</t>
    </r>
    <r>
      <rPr>
        <b/>
        <i/>
        <sz val="9"/>
        <color theme="0"/>
        <rFont val="Arial"/>
        <family val="2"/>
      </rPr>
      <t xml:space="preserve"> adjacent* to </t>
    </r>
    <r>
      <rPr>
        <b/>
        <sz val="9"/>
        <color theme="0"/>
        <rFont val="Arial"/>
        <family val="2"/>
      </rPr>
      <t>(within 800 ft) an established public transportation stop</t>
    </r>
  </si>
  <si>
    <r>
      <t>Site is</t>
    </r>
    <r>
      <rPr>
        <b/>
        <i/>
        <sz val="9"/>
        <color theme="0"/>
        <rFont val="Arial"/>
        <family val="2"/>
      </rPr>
      <t xml:space="preserve"> within 1/4 mile*</t>
    </r>
    <r>
      <rPr>
        <b/>
        <sz val="9"/>
        <color theme="0"/>
        <rFont val="Arial"/>
        <family val="2"/>
      </rPr>
      <t xml:space="preserve"> of an established public transportation stop</t>
    </r>
  </si>
  <si>
    <r>
      <t>Site is</t>
    </r>
    <r>
      <rPr>
        <b/>
        <i/>
        <sz val="9"/>
        <color theme="0"/>
        <rFont val="Arial"/>
        <family val="2"/>
      </rPr>
      <t xml:space="preserve"> within 1/2 mile*</t>
    </r>
    <r>
      <rPr>
        <b/>
        <sz val="9"/>
        <color theme="0"/>
        <rFont val="Arial"/>
        <family val="2"/>
      </rPr>
      <t xml:space="preserve"> of an established public transportation stop</t>
    </r>
  </si>
  <si>
    <r>
      <t>Publicly operated/sponsored and established transit service</t>
    </r>
    <r>
      <rPr>
        <sz val="9"/>
        <color theme="0"/>
        <rFont val="Arial"/>
        <family val="2"/>
      </rPr>
      <t xml:space="preserve"> (including on-call or fixed-route service)</t>
    </r>
  </si>
  <si>
    <r>
      <rPr>
        <b/>
        <sz val="8"/>
        <color theme="0"/>
        <rFont val="Arial Narrow"/>
        <family val="2"/>
      </rPr>
      <t>Choose only one</t>
    </r>
    <r>
      <rPr>
        <sz val="8"/>
        <color theme="0"/>
        <rFont val="Arial Narrow"/>
        <family val="2"/>
      </rPr>
      <t>.  See scoring criteria for further requirements.</t>
    </r>
  </si>
  <si>
    <r>
      <t xml:space="preserve">Eligibility   -   </t>
    </r>
    <r>
      <rPr>
        <i/>
        <sz val="8"/>
        <color theme="0"/>
        <rFont val="Arial"/>
        <family val="2"/>
      </rPr>
      <t>The Plan:</t>
    </r>
  </si>
  <si>
    <r>
      <t xml:space="preserve">Date(s) Plan reauthorized (if applicable) </t>
    </r>
    <r>
      <rPr>
        <i/>
        <sz val="8"/>
        <color theme="0"/>
        <rFont val="Arial Narrow"/>
        <family val="2"/>
      </rPr>
      <t>by local govrnment officials</t>
    </r>
    <r>
      <rPr>
        <sz val="8"/>
        <color theme="0"/>
        <rFont val="Arial Narrow"/>
        <family val="2"/>
      </rPr>
      <t>:</t>
    </r>
  </si>
  <si>
    <r>
      <t>Possible Score</t>
    </r>
    <r>
      <rPr>
        <sz val="8"/>
        <color theme="0"/>
        <rFont val="Arial"/>
        <family val="2"/>
      </rPr>
      <t xml:space="preserve"> (awarded by DCA to up to 7 applications)</t>
    </r>
    <r>
      <rPr>
        <b/>
        <sz val="8"/>
        <color theme="0"/>
        <rFont val="Arial"/>
        <family val="2"/>
      </rPr>
      <t>:</t>
    </r>
  </si>
  <si>
    <r>
      <rPr>
        <sz val="8"/>
        <color theme="0"/>
        <rFont val="Arial"/>
        <family val="2"/>
      </rPr>
      <t>Category</t>
    </r>
    <r>
      <rPr>
        <b/>
        <sz val="8"/>
        <color theme="0"/>
        <rFont val="Arial"/>
        <family val="2"/>
      </rPr>
      <t xml:space="preserve"> RANKING (NOT SCORING) </t>
    </r>
    <r>
      <rPr>
        <sz val="8"/>
        <color theme="0"/>
        <rFont val="Arial"/>
        <family val="2"/>
      </rPr>
      <t>Points</t>
    </r>
  </si>
  <si>
    <t>Competitive Round</t>
  </si>
  <si>
    <t>Highland Estates</t>
  </si>
  <si>
    <t>Within City Limits</t>
  </si>
  <si>
    <t>No</t>
  </si>
  <si>
    <t>180 Woodrow Wilson Way NW</t>
  </si>
  <si>
    <t>City of Rome</t>
  </si>
  <si>
    <t>Jamie Doss</t>
  </si>
  <si>
    <t>Mayor</t>
  </si>
  <si>
    <t>1 South Broad Street</t>
  </si>
  <si>
    <t>jdoss@romega.us</t>
  </si>
  <si>
    <t>www.romefloyd.com</t>
  </si>
  <si>
    <t>Affordable Equity Partners, Inc.</t>
  </si>
  <si>
    <t>206 Peach Way</t>
  </si>
  <si>
    <t>www.aepartners.com</t>
  </si>
  <si>
    <t>Jeffrey E. Smith</t>
  </si>
  <si>
    <t>President</t>
  </si>
  <si>
    <t>bkimes@aepartners.com</t>
  </si>
  <si>
    <t>Rosemann &amp; Associates, P.C.</t>
  </si>
  <si>
    <t>1526 Grand Boulevard</t>
  </si>
  <si>
    <t>Kansas City</t>
  </si>
  <si>
    <t>www.rosemann.com</t>
  </si>
  <si>
    <t>Donald E. Rosemann</t>
  </si>
  <si>
    <t>drosemann@rosemann.com</t>
  </si>
  <si>
    <t>Fairway Construction Co., Inc.</t>
  </si>
  <si>
    <t>www.fairwayconstruction.net</t>
  </si>
  <si>
    <t>Will Markel</t>
  </si>
  <si>
    <t>Executive VP</t>
  </si>
  <si>
    <t>ichomat@fairwayconstruction.net</t>
  </si>
  <si>
    <t>HFOP</t>
  </si>
  <si>
    <t>Highland Estates of Rome, LP</t>
  </si>
  <si>
    <t>Yes</t>
  </si>
  <si>
    <t>Conventional Construction Loan</t>
  </si>
  <si>
    <t>Conventional Permanent Loan</t>
  </si>
  <si>
    <t>Amortizing</t>
  </si>
  <si>
    <t>Partner Equity</t>
  </si>
  <si>
    <t>Qualification Determination</t>
  </si>
  <si>
    <t>GA DCA - Northern Region</t>
  </si>
  <si>
    <t>Electric Heat Pump</t>
  </si>
  <si>
    <t>State Boost</t>
  </si>
  <si>
    <t>920 Florence Blvd</t>
  </si>
  <si>
    <t>Florence</t>
  </si>
  <si>
    <t>Allan Rappuhn</t>
  </si>
  <si>
    <t>Managing Member</t>
  </si>
  <si>
    <t>arappuhn@gatewaymgt.com</t>
  </si>
  <si>
    <t>Chairman</t>
  </si>
  <si>
    <t>Coleman Talley</t>
  </si>
  <si>
    <t>Thompson Kurrie, Jr.</t>
  </si>
  <si>
    <t>Managing Partner</t>
  </si>
  <si>
    <t>tom.kurrie@colemantalley.com</t>
  </si>
  <si>
    <t>Frost, Cummings, Tidwell Group, LLC</t>
  </si>
  <si>
    <t>2001 Park Place North, Suite 900</t>
  </si>
  <si>
    <t>Birmingham</t>
  </si>
  <si>
    <t>Barry Tidwell</t>
  </si>
  <si>
    <t>barry.tidwell@thefctgroup.com</t>
  </si>
  <si>
    <t>34°17'3.68"N, 85°12'0.79"W</t>
  </si>
  <si>
    <t>3+ Story</t>
  </si>
  <si>
    <t>MF</t>
  </si>
  <si>
    <t>Gateway Highland Estates, LLC</t>
  </si>
  <si>
    <t>Upper</t>
  </si>
  <si>
    <t>Earth Craft House Multifamily</t>
  </si>
  <si>
    <t>2014PA-07</t>
  </si>
  <si>
    <t>Woodrow Wilson Way NW</t>
  </si>
  <si>
    <t>For Profit</t>
  </si>
  <si>
    <t>Agree</t>
  </si>
  <si>
    <t>Contract/Option</t>
  </si>
  <si>
    <t>Georgia Power</t>
  </si>
  <si>
    <t>Room</t>
  </si>
  <si>
    <t>Covered Porch</t>
  </si>
  <si>
    <t>On-site laundry</t>
  </si>
  <si>
    <t>Equipped computer center</t>
  </si>
  <si>
    <t>Furnished exercise facilities</t>
  </si>
  <si>
    <t>Gateway Development Corporation</t>
  </si>
  <si>
    <t>Gateway Management Company, LLC</t>
  </si>
  <si>
    <t>rfleece@gatewaymgt.com</t>
  </si>
  <si>
    <t>200 Cahaba Circle, Suite 116</t>
  </si>
  <si>
    <t>Newport Trace Apartments</t>
  </si>
  <si>
    <t>Social Services</t>
  </si>
  <si>
    <t>Misc. Administrative Costs</t>
  </si>
  <si>
    <t>Cable TV/Internet</t>
  </si>
  <si>
    <t xml:space="preserve">Methodology for real estate tax and insurance expenses are included in Tab 1, Item Number 6 of the Application Binder.  </t>
  </si>
  <si>
    <t>Holiday and semi-monthly birthday parties, pot luck dinners</t>
  </si>
  <si>
    <t>Computer training, aerobics classes</t>
  </si>
  <si>
    <t>Romes News-Tribune</t>
  </si>
  <si>
    <t xml:space="preserve">Compliance History was submiited at Pre-Application.  The Qualification Determination is included in Tab 18 of the Application Binder. </t>
  </si>
  <si>
    <t>The subject property is located in a non-Rural area outside of a 2-mile radius from a funded project.  Please see Tab 30 for a map of the two-mile radius.</t>
  </si>
  <si>
    <t xml:space="preserve">The applicant agrees to forego its cancellation option for at least five years after the close of the Compliance Period. </t>
  </si>
  <si>
    <t>Please see Tab 40 for Census Bureau's "OnTheMap" report.</t>
  </si>
  <si>
    <t>Please see Tab 18 of the Application Binder for the Qualification Determination.</t>
  </si>
  <si>
    <t xml:space="preserve">Highland Estates is a proposed 84 unit development consisting of 23 one-bedroom units and 56 two-bedroom low-income units, as well as five market-rate units, on 10 acres located on the cul-de-sac of Woodrow Wilson Way in Rome, Floyd County, Georgia. The development is intended as an age 55+ Housing for Older Persons (HFOP) community restricted to a resident base for households making at or below 50% and 60% of the AMI. The community will include a three-story building with interior corridors, as well as single-story buildings, all new construction, and have many design features, services, and amenities for HFOP households.
The development amenities will include an Energy Star appliance package in each unit, community rooms and gathering areas for socializing, an equipped computer center, an equipped fitness room, and an equipped on-site laundry facility. The proposed site is located within walking distance of the Harbin Medical Campus, and within two miles of several parks, shops, churches, and grocery stores. A Rome Transit Department bus stop is located less than 100 feet from the main entrance of the community.
The HFOP community will team with a local behavioral health agency, Highland Rivers Health, to provide supportive housing and daily living services to individuals in their program. Highland Estates will qualify for previous project points as there are no LIHTC developments awarded in the last five funding cycles within a two-mile radius. The local government and community support the need for affordable housing, and market conditions in the area indicate that the development is in a great area for new Senior affordable housing development.
</t>
  </si>
  <si>
    <t>Koontz and Salinger</t>
  </si>
  <si>
    <t>9 Months</t>
  </si>
  <si>
    <t>Geotechnical &amp; Environmental Consultants, Inc.</t>
  </si>
  <si>
    <t>Geotechnical &amp; Environmental Consultants, Inc</t>
  </si>
  <si>
    <t>Roadway Noise, Aircraft Noise, Railway Noise</t>
  </si>
  <si>
    <t xml:space="preserve">The dates listed above in Part A pertain to one of the numerous public meetings in Rome about Highland Estates over the past several months.  Please see Tab 13 of the Application Binder. </t>
  </si>
  <si>
    <t>Newly Formed</t>
  </si>
  <si>
    <t>www.thegatewaycompanies.com</t>
  </si>
  <si>
    <t>www.colemantalley.com</t>
  </si>
  <si>
    <t>3475 Lenox Road</t>
  </si>
  <si>
    <t>www.thefctgroup.com</t>
  </si>
  <si>
    <t xml:space="preserve">The project was underwritten as permitted in the QAP. </t>
  </si>
  <si>
    <t xml:space="preserve">Our cost limit is less than the DCA Cost Limit. </t>
  </si>
  <si>
    <t xml:space="preserve">The project is designed for HFOP. </t>
  </si>
  <si>
    <t xml:space="preserve">Applicant agrees to two basic ongoing servies for seniors(HFOP). </t>
  </si>
  <si>
    <t>None.</t>
  </si>
  <si>
    <t xml:space="preserve">See market study in tab 5. </t>
  </si>
  <si>
    <t>Our drive is crossing the wetland.  However, we will be disturbing less than 1/10th of an acre and a nationwide permit will be used to do this.</t>
  </si>
  <si>
    <t xml:space="preserve">The owner has site control through 4/4/15. See tab 8. </t>
  </si>
  <si>
    <t xml:space="preserve">See tab 9 for site access drawing. </t>
  </si>
  <si>
    <t xml:space="preserve">See tab 10 for zoning documentation. </t>
  </si>
  <si>
    <t xml:space="preserve">All utilities are available. Gas will not be used. </t>
  </si>
  <si>
    <t xml:space="preserve">Water and sewer are available to the site and has adequate capacity. See letters in tab 12. </t>
  </si>
  <si>
    <t xml:space="preserve">All amenities selected above wil be provided for the project. </t>
  </si>
  <si>
    <t xml:space="preserve">See site plan in tab 16. </t>
  </si>
  <si>
    <t xml:space="preserve">The project will meet all energy requirements of the QAP and architectural manual. </t>
  </si>
  <si>
    <t xml:space="preserve">The project will meet all accessibilty standards. </t>
  </si>
  <si>
    <t xml:space="preserve">Applicant agrees to the architectural design and quality standards. </t>
  </si>
  <si>
    <t xml:space="preserve">The project team is qualified without conditions. </t>
  </si>
  <si>
    <t xml:space="preserve">The project is not displacing or relocating and tenants. </t>
  </si>
  <si>
    <t xml:space="preserve">Applicant agrees to all AFFH. </t>
  </si>
  <si>
    <t xml:space="preserve">We used the gap calculation to verify the optimal utilization of recources and the project is not over sourced. </t>
  </si>
  <si>
    <t xml:space="preserve">The project meets the minimum of 15% for deeper targeting. </t>
  </si>
  <si>
    <t xml:space="preserve">There are no undesirable characteristics. </t>
  </si>
  <si>
    <t xml:space="preserve">See tab 25 for transportation documentation. </t>
  </si>
  <si>
    <t xml:space="preserve">The project will have a sustainable building certification for multi family. </t>
  </si>
  <si>
    <t xml:space="preserve">See tab 28 for documentation. </t>
  </si>
  <si>
    <t xml:space="preserve">See tab 5 for market study. </t>
  </si>
  <si>
    <t xml:space="preserve">The property is currently zoned M-R, Multi Family Residential. See tab 10 for zoning documenation. </t>
  </si>
  <si>
    <t>0003.00</t>
  </si>
  <si>
    <t xml:space="preserve">The project agrees to the integrated supportive housing/section 8 rental assistance. We have set aside 16.46% of the one bedroom units at 50% rent limits. </t>
  </si>
  <si>
    <t xml:space="preserve">Construction costs are based on estimates by the contractor, Fariway Construction. </t>
  </si>
  <si>
    <t xml:space="preserve">This multi family project is within an area that qualifies for 4 points under the stable communities. The project is requesting the 130% State Basis Boost in order to make the senior development feasible. 
</t>
  </si>
  <si>
    <t>There's an IOI between the General Contractor, and the Federal and State Limited Partners, same principal.</t>
  </si>
  <si>
    <t>2014-028</t>
  </si>
</sst>
</file>

<file path=xl/styles.xml><?xml version="1.0" encoding="utf-8"?>
<styleSheet xmlns="http://schemas.openxmlformats.org/spreadsheetml/2006/main">
  <numFmts count="20">
    <numFmt numFmtId="6" formatCode="&quot;$&quot;#,##0_);[Red]\(&quot;$&quot;#,##0\)"/>
    <numFmt numFmtId="8" formatCode="&quot;$&quot;#,##0.00_);[Red]\(&quot;$&quot;#,##0.00\)"/>
    <numFmt numFmtId="42" formatCode="_(&quot;$&quot;* #,##0_);_(&quot;$&quot;* \(#,##0\);_(&quot;$&quot;* &quot;-&quot;_);_(@_)"/>
    <numFmt numFmtId="44" formatCode="_(&quot;$&quot;* #,##0.00_);_(&quot;$&quot;* \(#,##0.00\);_(&quot;$&quot;* &quot;-&quot;??_);_(@_)"/>
    <numFmt numFmtId="43" formatCode="_(* #,##0.00_);_(* \(#,##0.00\);_(* &quot;-&quot;??_);_(@_)"/>
    <numFmt numFmtId="164" formatCode="_(* #,##0_);_(* \(#,##0\);_(* &quot;-&quot;??_);_(@_)"/>
    <numFmt numFmtId="165" formatCode="0.0%"/>
    <numFmt numFmtId="166" formatCode="0.000%"/>
    <numFmt numFmtId="167" formatCode="[&lt;=9999999]###\-####;\(###\)\ ###\-####"/>
    <numFmt numFmtId="168" formatCode="#,##0.0000_);[Red]\(#,##0.0000\)"/>
    <numFmt numFmtId="169" formatCode="00000\-0000"/>
    <numFmt numFmtId="170" formatCode="0.0000"/>
    <numFmt numFmtId="171" formatCode="0.00000%"/>
    <numFmt numFmtId="172" formatCode="0.000&quot;  &quot;"/>
    <numFmt numFmtId="173" formatCode="_(* #,##0.0_);_(* \(#,##0.0\);_(* &quot;-&quot;??_);_(@_)"/>
    <numFmt numFmtId="174" formatCode="0.0000%"/>
    <numFmt numFmtId="175" formatCode="[$-409]mmmm\ d\,\ yyyy;@"/>
    <numFmt numFmtId="176" formatCode="m/d/yy;@"/>
    <numFmt numFmtId="177" formatCode="&quot;$&quot;#,##0.00"/>
    <numFmt numFmtId="178" formatCode="#,##0.0000"/>
  </numFmts>
  <fonts count="174">
    <font>
      <sz val="10"/>
      <name val="Arial"/>
    </font>
    <font>
      <sz val="11"/>
      <color theme="1"/>
      <name val="Calibri"/>
      <family val="2"/>
      <scheme val="minor"/>
    </font>
    <font>
      <sz val="10"/>
      <name val="Arial"/>
      <family val="2"/>
    </font>
    <font>
      <sz val="8"/>
      <name val="Arial"/>
      <family val="2"/>
    </font>
    <font>
      <b/>
      <sz val="12"/>
      <name val="Arial"/>
      <family val="2"/>
    </font>
    <font>
      <u/>
      <sz val="10"/>
      <color indexed="12"/>
      <name val="Arial"/>
      <family val="2"/>
    </font>
    <font>
      <sz val="8"/>
      <name val="Arial"/>
      <family val="2"/>
    </font>
    <font>
      <b/>
      <sz val="10"/>
      <name val="Arial"/>
      <family val="2"/>
    </font>
    <font>
      <sz val="11"/>
      <name val="Arial"/>
      <family val="2"/>
    </font>
    <font>
      <b/>
      <sz val="9"/>
      <name val="Arial"/>
      <family val="2"/>
    </font>
    <font>
      <sz val="7"/>
      <name val="Arial"/>
      <family val="2"/>
    </font>
    <font>
      <sz val="10"/>
      <name val="Arial"/>
      <family val="2"/>
    </font>
    <font>
      <sz val="9"/>
      <name val="Arial"/>
      <family val="2"/>
    </font>
    <font>
      <b/>
      <sz val="8"/>
      <name val="Arial"/>
      <family val="2"/>
    </font>
    <font>
      <sz val="9"/>
      <color indexed="10"/>
      <name val="Arial"/>
      <family val="2"/>
    </font>
    <font>
      <i/>
      <sz val="8"/>
      <name val="Arial"/>
      <family val="2"/>
    </font>
    <font>
      <sz val="8"/>
      <name val="Garamond"/>
      <family val="1"/>
    </font>
    <font>
      <sz val="11"/>
      <name val="Garamond"/>
      <family val="1"/>
    </font>
    <font>
      <sz val="9"/>
      <name val="Arial"/>
      <family val="2"/>
    </font>
    <font>
      <b/>
      <i/>
      <sz val="10"/>
      <name val="Arial"/>
      <family val="2"/>
    </font>
    <font>
      <sz val="10"/>
      <name val="Arial"/>
      <family val="2"/>
    </font>
    <font>
      <i/>
      <sz val="10"/>
      <name val="Arial"/>
      <family val="2"/>
    </font>
    <font>
      <b/>
      <i/>
      <sz val="9"/>
      <name val="Arial"/>
      <family val="2"/>
    </font>
    <font>
      <b/>
      <sz val="11"/>
      <name val="Garamond"/>
      <family val="1"/>
    </font>
    <font>
      <b/>
      <i/>
      <sz val="8"/>
      <name val="Arial"/>
      <family val="2"/>
    </font>
    <font>
      <b/>
      <sz val="11"/>
      <name val="Arial"/>
      <family val="2"/>
    </font>
    <font>
      <b/>
      <sz val="10"/>
      <color indexed="10"/>
      <name val="Arial"/>
      <family val="2"/>
    </font>
    <font>
      <sz val="10"/>
      <color indexed="9"/>
      <name val="Arial"/>
      <family val="2"/>
    </font>
    <font>
      <i/>
      <sz val="9"/>
      <name val="Arial"/>
      <family val="2"/>
    </font>
    <font>
      <b/>
      <sz val="10"/>
      <color indexed="9"/>
      <name val="Arial"/>
      <family val="2"/>
    </font>
    <font>
      <sz val="10"/>
      <name val="Garamond"/>
      <family val="1"/>
    </font>
    <font>
      <sz val="10"/>
      <name val="Arial"/>
      <family val="2"/>
    </font>
    <font>
      <sz val="10"/>
      <name val="Geneva"/>
    </font>
    <font>
      <sz val="10"/>
      <color indexed="9"/>
      <name val="Arial"/>
      <family val="2"/>
    </font>
    <font>
      <b/>
      <sz val="9"/>
      <color indexed="9"/>
      <name val="Arial"/>
      <family val="2"/>
    </font>
    <font>
      <b/>
      <sz val="9"/>
      <color indexed="10"/>
      <name val="Arial"/>
      <family val="2"/>
    </font>
    <font>
      <b/>
      <sz val="16"/>
      <color indexed="10"/>
      <name val="Arial"/>
      <family val="2"/>
    </font>
    <font>
      <b/>
      <u/>
      <sz val="8"/>
      <name val="Arial"/>
      <family val="2"/>
    </font>
    <font>
      <b/>
      <i/>
      <sz val="14"/>
      <color indexed="22"/>
      <name val="Times New Roman"/>
      <family val="1"/>
    </font>
    <font>
      <sz val="12"/>
      <name val="Times New Roman"/>
      <family val="1"/>
    </font>
    <font>
      <b/>
      <sz val="12"/>
      <name val="Times New Roman"/>
      <family val="1"/>
    </font>
    <font>
      <i/>
      <sz val="12"/>
      <name val="Times New Roman"/>
      <family val="1"/>
    </font>
    <font>
      <b/>
      <sz val="11"/>
      <name val="Times New Roman"/>
      <family val="1"/>
    </font>
    <font>
      <sz val="11"/>
      <name val="Times New Roman"/>
      <family val="1"/>
    </font>
    <font>
      <sz val="11"/>
      <name val="Arial"/>
      <family val="2"/>
    </font>
    <font>
      <sz val="8"/>
      <name val="Times New Roman"/>
      <family val="1"/>
    </font>
    <font>
      <b/>
      <i/>
      <sz val="16"/>
      <color indexed="9"/>
      <name val="Arial"/>
      <family val="2"/>
    </font>
    <font>
      <sz val="9"/>
      <color indexed="9"/>
      <name val="Arial"/>
      <family val="2"/>
    </font>
    <font>
      <b/>
      <sz val="12"/>
      <color indexed="10"/>
      <name val="Arial"/>
      <family val="2"/>
    </font>
    <font>
      <sz val="9"/>
      <name val="Arial Narrow"/>
      <family val="2"/>
    </font>
    <font>
      <sz val="8"/>
      <name val="Arial Narrow"/>
      <family val="2"/>
    </font>
    <font>
      <b/>
      <sz val="9"/>
      <color indexed="12"/>
      <name val="Arial Narrow"/>
      <family val="2"/>
    </font>
    <font>
      <b/>
      <sz val="9"/>
      <name val="Arial Narrow"/>
      <family val="2"/>
    </font>
    <font>
      <sz val="10"/>
      <name val="Arial Narrow"/>
      <family val="2"/>
    </font>
    <font>
      <b/>
      <u/>
      <sz val="8"/>
      <name val="Arial Narrow"/>
      <family val="2"/>
    </font>
    <font>
      <u/>
      <sz val="8"/>
      <name val="Arial Narrow"/>
      <family val="2"/>
    </font>
    <font>
      <b/>
      <sz val="8"/>
      <color indexed="12"/>
      <name val="Arial Narrow"/>
      <family val="2"/>
    </font>
    <font>
      <sz val="7"/>
      <name val="Arial Narrow"/>
      <family val="2"/>
    </font>
    <font>
      <sz val="8"/>
      <color indexed="8"/>
      <name val="Arial Narrow"/>
      <family val="2"/>
    </font>
    <font>
      <i/>
      <sz val="8"/>
      <name val="Arial Narrow"/>
      <family val="2"/>
    </font>
    <font>
      <b/>
      <u/>
      <sz val="10"/>
      <name val="Arial"/>
      <family val="2"/>
    </font>
    <font>
      <b/>
      <sz val="10"/>
      <name val="Arial Narrow"/>
      <family val="2"/>
    </font>
    <font>
      <b/>
      <sz val="10"/>
      <color indexed="9"/>
      <name val="Arial Narrow"/>
      <family val="2"/>
    </font>
    <font>
      <b/>
      <sz val="10"/>
      <color indexed="10"/>
      <name val="Arial Narrow"/>
      <family val="2"/>
    </font>
    <font>
      <b/>
      <u/>
      <sz val="10"/>
      <name val="Arial Narrow"/>
      <family val="2"/>
    </font>
    <font>
      <sz val="10"/>
      <color indexed="9"/>
      <name val="Arial Narrow"/>
      <family val="2"/>
    </font>
    <font>
      <sz val="8"/>
      <color indexed="9"/>
      <name val="Arial Narrow"/>
      <family val="2"/>
    </font>
    <font>
      <sz val="10"/>
      <color indexed="10"/>
      <name val="Arial Narrow"/>
      <family val="2"/>
    </font>
    <font>
      <b/>
      <i/>
      <sz val="10"/>
      <color indexed="9"/>
      <name val="Arial Narrow"/>
      <family val="2"/>
    </font>
    <font>
      <b/>
      <i/>
      <sz val="10"/>
      <name val="Arial Narrow"/>
      <family val="2"/>
    </font>
    <font>
      <i/>
      <sz val="10"/>
      <name val="Arial Narrow"/>
      <family val="2"/>
    </font>
    <font>
      <b/>
      <i/>
      <u/>
      <sz val="10"/>
      <name val="Arial Narrow"/>
      <family val="2"/>
    </font>
    <font>
      <u/>
      <sz val="10"/>
      <name val="Arial Narrow"/>
      <family val="2"/>
    </font>
    <font>
      <sz val="8"/>
      <color indexed="10"/>
      <name val="Arial Narrow"/>
      <family val="2"/>
    </font>
    <font>
      <b/>
      <sz val="12"/>
      <color indexed="10"/>
      <name val="Arial Narrow"/>
      <family val="2"/>
    </font>
    <font>
      <b/>
      <sz val="9"/>
      <color indexed="10"/>
      <name val="Arial Narrow"/>
      <family val="2"/>
    </font>
    <font>
      <u/>
      <sz val="9"/>
      <color indexed="12"/>
      <name val="Arial Narrow"/>
      <family val="2"/>
    </font>
    <font>
      <sz val="10"/>
      <color indexed="10"/>
      <name val="Arial"/>
      <family val="2"/>
    </font>
    <font>
      <b/>
      <i/>
      <sz val="10"/>
      <color indexed="17"/>
      <name val="Arial"/>
      <family val="2"/>
    </font>
    <font>
      <b/>
      <i/>
      <sz val="10"/>
      <color indexed="10"/>
      <name val="Arial"/>
      <family val="2"/>
    </font>
    <font>
      <i/>
      <sz val="10"/>
      <color indexed="10"/>
      <name val="Arial"/>
      <family val="2"/>
    </font>
    <font>
      <b/>
      <i/>
      <sz val="9"/>
      <color indexed="10"/>
      <name val="Arial"/>
      <family val="2"/>
    </font>
    <font>
      <i/>
      <u/>
      <sz val="8"/>
      <name val="Arial Narrow"/>
      <family val="2"/>
    </font>
    <font>
      <u/>
      <sz val="9"/>
      <name val="Arial Narrow"/>
      <family val="2"/>
    </font>
    <font>
      <sz val="11"/>
      <name val="Arial Narrow"/>
      <family val="2"/>
    </font>
    <font>
      <b/>
      <sz val="12"/>
      <name val="Arial Narrow"/>
      <family val="2"/>
    </font>
    <font>
      <sz val="8"/>
      <color indexed="10"/>
      <name val="Arial"/>
      <family val="2"/>
    </font>
    <font>
      <b/>
      <sz val="8"/>
      <color indexed="9"/>
      <name val="Arial"/>
      <family val="2"/>
    </font>
    <font>
      <b/>
      <sz val="11"/>
      <color indexed="10"/>
      <name val="Arial Narrow"/>
      <family val="2"/>
    </font>
    <font>
      <b/>
      <sz val="8"/>
      <color indexed="10"/>
      <name val="Arial Narrow"/>
      <family val="2"/>
    </font>
    <font>
      <u/>
      <sz val="8"/>
      <name val="Arial"/>
      <family val="2"/>
    </font>
    <font>
      <sz val="8"/>
      <color rgb="FFFF0000"/>
      <name val="Arial Narrow"/>
      <family val="2"/>
    </font>
    <font>
      <sz val="9"/>
      <color rgb="FF00B050"/>
      <name val="Arial"/>
      <family val="2"/>
    </font>
    <font>
      <sz val="10"/>
      <color rgb="FF00B050"/>
      <name val="Arial"/>
      <family val="2"/>
    </font>
    <font>
      <b/>
      <sz val="9"/>
      <color rgb="FF00B050"/>
      <name val="Arial"/>
      <family val="2"/>
    </font>
    <font>
      <b/>
      <sz val="10"/>
      <color theme="0"/>
      <name val="Arial"/>
      <family val="2"/>
    </font>
    <font>
      <b/>
      <sz val="9"/>
      <color theme="0"/>
      <name val="Arial"/>
      <family val="2"/>
    </font>
    <font>
      <b/>
      <sz val="8"/>
      <name val="Arial Narrow"/>
      <family val="2"/>
    </font>
    <font>
      <b/>
      <sz val="10"/>
      <color rgb="FFFF0000"/>
      <name val="Arial Narrow"/>
      <family val="2"/>
    </font>
    <font>
      <b/>
      <sz val="10"/>
      <color theme="0"/>
      <name val="Arial Narrow"/>
      <family val="2"/>
    </font>
    <font>
      <b/>
      <sz val="9"/>
      <color theme="0"/>
      <name val="Arial Narrow"/>
      <family val="2"/>
    </font>
    <font>
      <b/>
      <sz val="11"/>
      <name val="Arial Narrow"/>
      <family val="2"/>
    </font>
    <font>
      <b/>
      <i/>
      <sz val="8"/>
      <color indexed="10"/>
      <name val="Arial Narrow"/>
      <family val="2"/>
    </font>
    <font>
      <i/>
      <sz val="9"/>
      <color indexed="10"/>
      <name val="Arial"/>
      <family val="2"/>
    </font>
    <font>
      <sz val="8"/>
      <color rgb="FFFF0000"/>
      <name val="Arial"/>
      <family val="2"/>
    </font>
    <font>
      <b/>
      <sz val="8"/>
      <color rgb="FFFF0000"/>
      <name val="Arial"/>
      <family val="2"/>
    </font>
    <font>
      <sz val="10"/>
      <color theme="0"/>
      <name val="Arial"/>
      <family val="2"/>
    </font>
    <font>
      <sz val="8"/>
      <color theme="0"/>
      <name val="Arial"/>
      <family val="2"/>
    </font>
    <font>
      <sz val="7"/>
      <color rgb="FFFF0000"/>
      <name val="Arial Narrow"/>
      <family val="2"/>
    </font>
    <font>
      <sz val="8"/>
      <color theme="0"/>
      <name val="Arial Narrow"/>
      <family val="2"/>
    </font>
    <font>
      <sz val="9"/>
      <color theme="0"/>
      <name val="Arial"/>
      <family val="2"/>
    </font>
    <font>
      <b/>
      <sz val="11"/>
      <color theme="0"/>
      <name val="Arial"/>
      <family val="2"/>
    </font>
    <font>
      <b/>
      <sz val="11"/>
      <color indexed="10"/>
      <name val="Arial"/>
      <family val="2"/>
    </font>
    <font>
      <b/>
      <sz val="10"/>
      <color rgb="FFFF0000"/>
      <name val="Arial"/>
      <family val="2"/>
    </font>
    <font>
      <b/>
      <sz val="14"/>
      <color indexed="10"/>
      <name val="Arial"/>
      <family val="2"/>
    </font>
    <font>
      <b/>
      <sz val="8"/>
      <color rgb="FF4F81BD"/>
      <name val="Arial"/>
      <family val="2"/>
    </font>
    <font>
      <b/>
      <sz val="7"/>
      <color rgb="FFFF0000"/>
      <name val="Arial Narrow"/>
      <family val="2"/>
    </font>
    <font>
      <i/>
      <sz val="11"/>
      <name val="Arial Narrow"/>
      <family val="2"/>
    </font>
    <font>
      <b/>
      <sz val="11"/>
      <color rgb="FFFF0000"/>
      <name val="Arial Narrow"/>
      <family val="2"/>
    </font>
    <font>
      <sz val="7"/>
      <color theme="0"/>
      <name val="Arial Narrow"/>
      <family val="2"/>
    </font>
    <font>
      <b/>
      <i/>
      <sz val="8"/>
      <color theme="0"/>
      <name val="Arial"/>
      <family val="2"/>
    </font>
    <font>
      <b/>
      <sz val="8"/>
      <color theme="0"/>
      <name val="Arial"/>
      <family val="2"/>
    </font>
    <font>
      <sz val="10"/>
      <color theme="0"/>
      <name val="Arial Narrow"/>
      <family val="2"/>
    </font>
    <font>
      <b/>
      <sz val="8"/>
      <color theme="0"/>
      <name val="Arial Narrow"/>
      <family val="2"/>
    </font>
    <font>
      <b/>
      <u/>
      <sz val="9"/>
      <name val="Arial Narrow"/>
      <family val="2"/>
    </font>
    <font>
      <b/>
      <sz val="9"/>
      <color rgb="FFFF0000"/>
      <name val="Arial Narrow"/>
      <family val="2"/>
    </font>
    <font>
      <b/>
      <sz val="9"/>
      <color rgb="FFFF0000"/>
      <name val="Arial"/>
      <family val="2"/>
    </font>
    <font>
      <sz val="9"/>
      <color rgb="FFFF0000"/>
      <name val="Arial"/>
      <family val="2"/>
    </font>
    <font>
      <b/>
      <u/>
      <sz val="7"/>
      <color rgb="FFFF0000"/>
      <name val="Arial Narrow"/>
      <family val="2"/>
    </font>
    <font>
      <u/>
      <sz val="8"/>
      <color indexed="12"/>
      <name val="Arial"/>
      <family val="2"/>
    </font>
    <font>
      <u/>
      <sz val="8"/>
      <color indexed="12"/>
      <name val="Arial Narrow"/>
      <family val="2"/>
    </font>
    <font>
      <sz val="10"/>
      <color rgb="FFFF0000"/>
      <name val="Arial Narrow"/>
      <family val="2"/>
    </font>
    <font>
      <b/>
      <sz val="12"/>
      <color rgb="FFFF0000"/>
      <name val="Arial"/>
      <family val="2"/>
    </font>
    <font>
      <sz val="6"/>
      <name val="Arial Narrow"/>
      <family val="2"/>
    </font>
    <font>
      <b/>
      <i/>
      <sz val="8"/>
      <color indexed="10"/>
      <name val="Arial"/>
      <family val="2"/>
    </font>
    <font>
      <sz val="11"/>
      <color theme="0"/>
      <name val="Times New Roman"/>
      <family val="1"/>
    </font>
    <font>
      <b/>
      <i/>
      <sz val="9"/>
      <color rgb="FFFF0000"/>
      <name val="Arial"/>
      <family val="2"/>
    </font>
    <font>
      <u/>
      <sz val="8"/>
      <color theme="0"/>
      <name val="Arial Narrow"/>
      <family val="2"/>
    </font>
    <font>
      <sz val="11"/>
      <color theme="0"/>
      <name val="Calibri"/>
      <family val="2"/>
    </font>
    <font>
      <b/>
      <sz val="8"/>
      <color rgb="FFFF0000"/>
      <name val="Arial Narrow"/>
      <family val="2"/>
    </font>
    <font>
      <sz val="11"/>
      <color theme="0"/>
      <name val="Arial"/>
      <family val="2"/>
    </font>
    <font>
      <b/>
      <sz val="12"/>
      <color theme="0"/>
      <name val="Arial Narrow"/>
      <family val="2"/>
    </font>
    <font>
      <sz val="11"/>
      <color theme="0"/>
      <name val="Arial Narrow"/>
      <family val="2"/>
    </font>
    <font>
      <sz val="9"/>
      <color theme="0"/>
      <name val="Arial Narrow"/>
      <family val="2"/>
    </font>
    <font>
      <b/>
      <sz val="11"/>
      <color theme="0"/>
      <name val="Arial Narrow"/>
      <family val="2"/>
    </font>
    <font>
      <u/>
      <sz val="8"/>
      <color theme="0"/>
      <name val="Arial"/>
      <family val="2"/>
    </font>
    <font>
      <i/>
      <sz val="8"/>
      <color theme="0"/>
      <name val="Arial Narrow"/>
      <family val="2"/>
    </font>
    <font>
      <b/>
      <u/>
      <sz val="10"/>
      <color theme="0"/>
      <name val="Arial Narrow"/>
      <family val="2"/>
    </font>
    <font>
      <u/>
      <sz val="9"/>
      <color theme="0"/>
      <name val="Arial Narrow"/>
      <family val="2"/>
    </font>
    <font>
      <i/>
      <sz val="10"/>
      <color theme="0"/>
      <name val="Arial Narrow"/>
      <family val="2"/>
    </font>
    <font>
      <u/>
      <sz val="10"/>
      <color theme="0"/>
      <name val="Arial Narrow"/>
      <family val="2"/>
    </font>
    <font>
      <b/>
      <i/>
      <sz val="10"/>
      <color theme="0"/>
      <name val="Arial Narrow"/>
      <family val="2"/>
    </font>
    <font>
      <b/>
      <i/>
      <u/>
      <sz val="10"/>
      <color theme="0"/>
      <name val="Arial Narrow"/>
      <family val="2"/>
    </font>
    <font>
      <i/>
      <u/>
      <sz val="8"/>
      <color theme="0"/>
      <name val="Arial Narrow"/>
      <family val="2"/>
    </font>
    <font>
      <b/>
      <u/>
      <sz val="9"/>
      <color theme="0"/>
      <name val="Arial Narrow"/>
      <family val="2"/>
    </font>
    <font>
      <i/>
      <sz val="9"/>
      <color theme="0"/>
      <name val="Arial"/>
      <family val="2"/>
    </font>
    <font>
      <b/>
      <i/>
      <sz val="8"/>
      <color theme="0"/>
      <name val="Arial Narrow"/>
      <family val="2"/>
    </font>
    <font>
      <i/>
      <sz val="10"/>
      <color theme="0"/>
      <name val="Arial"/>
      <family val="2"/>
    </font>
    <font>
      <b/>
      <i/>
      <sz val="10"/>
      <color theme="0"/>
      <name val="Arial"/>
      <family val="2"/>
    </font>
    <font>
      <b/>
      <sz val="12"/>
      <color theme="0"/>
      <name val="Arial"/>
      <family val="2"/>
    </font>
    <font>
      <b/>
      <i/>
      <sz val="16"/>
      <color theme="0"/>
      <name val="Arial"/>
      <family val="2"/>
    </font>
    <font>
      <b/>
      <i/>
      <sz val="9"/>
      <color theme="0"/>
      <name val="Arial"/>
      <family val="2"/>
    </font>
    <font>
      <b/>
      <sz val="14"/>
      <color theme="0"/>
      <name val="Arial"/>
      <family val="2"/>
    </font>
    <font>
      <i/>
      <sz val="8"/>
      <color theme="0"/>
      <name val="Arial"/>
      <family val="2"/>
    </font>
    <font>
      <b/>
      <sz val="7"/>
      <color theme="0"/>
      <name val="Arial Narrow"/>
      <family val="2"/>
    </font>
    <font>
      <b/>
      <u/>
      <sz val="7"/>
      <color theme="0"/>
      <name val="Arial Narrow"/>
      <family val="2"/>
    </font>
    <font>
      <b/>
      <u/>
      <sz val="8"/>
      <color theme="0"/>
      <name val="Arial"/>
      <family val="2"/>
    </font>
    <font>
      <sz val="10"/>
      <color theme="0"/>
      <name val="Garamond"/>
      <family val="1"/>
    </font>
    <font>
      <sz val="11"/>
      <color theme="0"/>
      <name val="Garamond"/>
      <family val="1"/>
    </font>
    <font>
      <sz val="8"/>
      <color theme="0"/>
      <name val="Garamond"/>
      <family val="1"/>
    </font>
    <font>
      <b/>
      <u/>
      <sz val="10"/>
      <color theme="0"/>
      <name val="Arial"/>
      <family val="2"/>
    </font>
    <font>
      <b/>
      <sz val="11"/>
      <color theme="0"/>
      <name val="Garamond"/>
      <family val="1"/>
    </font>
    <font>
      <sz val="7"/>
      <color theme="0"/>
      <name val="Arial"/>
      <family val="2"/>
    </font>
    <font>
      <i/>
      <sz val="11"/>
      <color theme="0"/>
      <name val="Arial Narrow"/>
      <family val="2"/>
    </font>
  </fonts>
  <fills count="17">
    <fill>
      <patternFill patternType="none"/>
    </fill>
    <fill>
      <patternFill patternType="gray125"/>
    </fill>
    <fill>
      <patternFill patternType="solid">
        <fgColor indexed="22"/>
        <bgColor indexed="64"/>
      </patternFill>
    </fill>
    <fill>
      <patternFill patternType="solid">
        <fgColor indexed="26"/>
        <bgColor indexed="64"/>
      </patternFill>
    </fill>
    <fill>
      <patternFill patternType="solid">
        <fgColor indexed="43"/>
        <bgColor indexed="64"/>
      </patternFill>
    </fill>
    <fill>
      <patternFill patternType="solid">
        <fgColor indexed="41"/>
        <bgColor indexed="64"/>
      </patternFill>
    </fill>
    <fill>
      <patternFill patternType="solid">
        <fgColor indexed="42"/>
        <bgColor indexed="64"/>
      </patternFill>
    </fill>
    <fill>
      <patternFill patternType="solid">
        <fgColor indexed="9"/>
        <bgColor indexed="64"/>
      </patternFill>
    </fill>
    <fill>
      <patternFill patternType="solid">
        <fgColor indexed="12"/>
        <bgColor indexed="64"/>
      </patternFill>
    </fill>
    <fill>
      <patternFill patternType="solid">
        <fgColor indexed="48"/>
        <bgColor indexed="64"/>
      </patternFill>
    </fill>
    <fill>
      <patternFill patternType="solid">
        <fgColor rgb="FFCCFFFF"/>
        <bgColor indexed="64"/>
      </patternFill>
    </fill>
    <fill>
      <patternFill patternType="solid">
        <fgColor rgb="FFCCFFCC"/>
        <bgColor indexed="64"/>
      </patternFill>
    </fill>
    <fill>
      <patternFill patternType="solid">
        <fgColor rgb="FF0066CC"/>
        <bgColor indexed="64"/>
      </patternFill>
    </fill>
    <fill>
      <patternFill patternType="solid">
        <fgColor rgb="FFFFFFCC"/>
        <bgColor indexed="64"/>
      </patternFill>
    </fill>
    <fill>
      <patternFill patternType="solid">
        <fgColor rgb="FF0066FF"/>
        <bgColor indexed="64"/>
      </patternFill>
    </fill>
    <fill>
      <patternFill patternType="solid">
        <fgColor rgb="FF0000FF"/>
        <bgColor indexed="64"/>
      </patternFill>
    </fill>
    <fill>
      <patternFill patternType="solid">
        <fgColor rgb="FFFFFF99"/>
        <bgColor indexed="64"/>
      </patternFill>
    </fill>
  </fills>
  <borders count="99">
    <border>
      <left/>
      <right/>
      <top/>
      <bottom/>
      <diagonal/>
    </border>
    <border>
      <left/>
      <right/>
      <top style="medium">
        <color indexed="64"/>
      </top>
      <bottom style="medium">
        <color indexed="64"/>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top/>
      <bottom style="thin">
        <color indexed="64"/>
      </bottom>
      <diagonal/>
    </border>
    <border>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thin">
        <color indexed="64"/>
      </bottom>
      <diagonal/>
    </border>
    <border>
      <left/>
      <right/>
      <top style="hair">
        <color indexed="64"/>
      </top>
      <bottom/>
      <diagonal/>
    </border>
    <border>
      <left/>
      <right/>
      <top/>
      <bottom style="hair">
        <color indexed="64"/>
      </bottom>
      <diagonal/>
    </border>
    <border>
      <left/>
      <right/>
      <top style="hair">
        <color indexed="64"/>
      </top>
      <bottom style="hair">
        <color indexed="64"/>
      </bottom>
      <diagonal/>
    </border>
    <border>
      <left style="thin">
        <color indexed="64"/>
      </left>
      <right style="thin">
        <color indexed="64"/>
      </right>
      <top/>
      <bottom style="hair">
        <color indexed="64"/>
      </bottom>
      <diagonal/>
    </border>
    <border>
      <left style="hair">
        <color indexed="64"/>
      </left>
      <right style="thin">
        <color indexed="64"/>
      </right>
      <top style="thin">
        <color indexed="64"/>
      </top>
      <bottom style="hair">
        <color indexed="64"/>
      </bottom>
      <diagonal/>
    </border>
    <border>
      <left style="hair">
        <color indexed="64"/>
      </left>
      <right style="thin">
        <color indexed="64"/>
      </right>
      <top style="hair">
        <color indexed="64"/>
      </top>
      <bottom style="thin">
        <color indexed="64"/>
      </bottom>
      <diagonal/>
    </border>
    <border>
      <left style="hair">
        <color indexed="64"/>
      </left>
      <right style="thin">
        <color indexed="64"/>
      </right>
      <top style="hair">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top style="hair">
        <color indexed="64"/>
      </top>
      <bottom style="hair">
        <color indexed="64"/>
      </bottom>
      <diagonal/>
    </border>
    <border>
      <left/>
      <right style="thin">
        <color indexed="64"/>
      </right>
      <top style="hair">
        <color indexed="64"/>
      </top>
      <bottom style="hair">
        <color indexed="64"/>
      </bottom>
      <diagonal/>
    </border>
    <border>
      <left/>
      <right style="thin">
        <color indexed="64"/>
      </right>
      <top style="hair">
        <color indexed="64"/>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medium">
        <color indexed="64"/>
      </right>
      <top style="medium">
        <color indexed="64"/>
      </top>
      <bottom style="medium">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hair">
        <color indexed="64"/>
      </left>
      <right style="hair">
        <color indexed="64"/>
      </right>
      <top style="hair">
        <color indexed="64"/>
      </top>
      <bottom style="hair">
        <color indexed="64"/>
      </bottom>
      <diagonal/>
    </border>
    <border>
      <left/>
      <right style="hair">
        <color indexed="64"/>
      </right>
      <top style="hair">
        <color indexed="64"/>
      </top>
      <bottom/>
      <diagonal/>
    </border>
    <border>
      <left style="hair">
        <color indexed="64"/>
      </left>
      <right/>
      <top/>
      <bottom/>
      <diagonal/>
    </border>
    <border>
      <left/>
      <right style="hair">
        <color indexed="64"/>
      </right>
      <top/>
      <bottom/>
      <diagonal/>
    </border>
    <border>
      <left style="hair">
        <color indexed="64"/>
      </left>
      <right/>
      <top/>
      <bottom style="hair">
        <color indexed="64"/>
      </bottom>
      <diagonal/>
    </border>
    <border>
      <left style="thin">
        <color indexed="64"/>
      </left>
      <right style="thin">
        <color indexed="64"/>
      </right>
      <top style="thin">
        <color indexed="64"/>
      </top>
      <bottom style="double">
        <color indexed="64"/>
      </bottom>
      <diagonal/>
    </border>
    <border>
      <left style="hair">
        <color indexed="64"/>
      </left>
      <right/>
      <top style="hair">
        <color indexed="64"/>
      </top>
      <bottom/>
      <diagonal/>
    </border>
    <border>
      <left style="medium">
        <color indexed="64"/>
      </left>
      <right/>
      <top/>
      <bottom/>
      <diagonal/>
    </border>
    <border>
      <left style="medium">
        <color indexed="64"/>
      </left>
      <right/>
      <top/>
      <bottom style="medium">
        <color indexed="64"/>
      </bottom>
      <diagonal/>
    </border>
    <border>
      <left style="thin">
        <color indexed="64"/>
      </left>
      <right style="medium">
        <color indexed="64"/>
      </right>
      <top style="thin">
        <color indexed="64"/>
      </top>
      <bottom style="medium">
        <color indexed="64"/>
      </bottom>
      <diagonal/>
    </border>
    <border>
      <left/>
      <right style="medium">
        <color indexed="64"/>
      </right>
      <top/>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58"/>
      </left>
      <right/>
      <top style="thin">
        <color indexed="58"/>
      </top>
      <bottom style="thin">
        <color indexed="58"/>
      </bottom>
      <diagonal/>
    </border>
    <border>
      <left/>
      <right/>
      <top style="thin">
        <color indexed="58"/>
      </top>
      <bottom style="thin">
        <color indexed="58"/>
      </bottom>
      <diagonal/>
    </border>
    <border>
      <left/>
      <right style="thin">
        <color indexed="58"/>
      </right>
      <top style="thin">
        <color indexed="58"/>
      </top>
      <bottom style="thin">
        <color indexed="58"/>
      </bottom>
      <diagonal/>
    </border>
    <border>
      <left style="medium">
        <color indexed="64"/>
      </left>
      <right/>
      <top style="medium">
        <color indexed="64"/>
      </top>
      <bottom style="medium">
        <color indexed="64"/>
      </bottom>
      <diagonal/>
    </border>
    <border>
      <left/>
      <right/>
      <top style="thin">
        <color indexed="64"/>
      </top>
      <bottom style="hair">
        <color indexed="64"/>
      </bottom>
      <diagonal/>
    </border>
    <border>
      <left/>
      <right/>
      <top style="hair">
        <color indexed="64"/>
      </top>
      <bottom style="thin">
        <color indexed="64"/>
      </bottom>
      <diagonal/>
    </border>
    <border>
      <left/>
      <right style="hair">
        <color indexed="64"/>
      </right>
      <top/>
      <bottom style="hair">
        <color indexed="64"/>
      </bottom>
      <diagonal/>
    </border>
    <border>
      <left style="thin">
        <color indexed="64"/>
      </left>
      <right/>
      <top style="double">
        <color indexed="64"/>
      </top>
      <bottom style="thin">
        <color indexed="64"/>
      </bottom>
      <diagonal/>
    </border>
    <border>
      <left/>
      <right style="thin">
        <color indexed="64"/>
      </right>
      <top style="double">
        <color indexed="64"/>
      </top>
      <bottom style="thin">
        <color indexed="64"/>
      </bottom>
      <diagonal/>
    </border>
    <border>
      <left style="medium">
        <color indexed="64"/>
      </left>
      <right/>
      <top style="medium">
        <color indexed="64"/>
      </top>
      <bottom/>
      <diagonal/>
    </border>
    <border>
      <left/>
      <right style="medium">
        <color indexed="64"/>
      </right>
      <top style="medium">
        <color indexed="64"/>
      </top>
      <bottom/>
      <diagonal/>
    </border>
    <border>
      <left/>
      <right style="medium">
        <color indexed="64"/>
      </right>
      <top/>
      <bottom style="medium">
        <color indexed="64"/>
      </bottom>
      <diagonal/>
    </border>
    <border>
      <left style="thin">
        <color indexed="64"/>
      </left>
      <right/>
      <top style="thin">
        <color indexed="64"/>
      </top>
      <bottom style="double">
        <color indexed="64"/>
      </bottom>
      <diagonal/>
    </border>
    <border>
      <left/>
      <right style="thin">
        <color indexed="64"/>
      </right>
      <top style="thin">
        <color indexed="64"/>
      </top>
      <bottom style="double">
        <color indexed="64"/>
      </bottom>
      <diagonal/>
    </border>
    <border>
      <left/>
      <right/>
      <top style="thin">
        <color indexed="64"/>
      </top>
      <bottom style="double">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right/>
      <top style="medium">
        <color indexed="64"/>
      </top>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right style="hair">
        <color indexed="64"/>
      </right>
      <top style="hair">
        <color indexed="64"/>
      </top>
      <bottom style="hair">
        <color indexed="64"/>
      </bottom>
      <diagonal/>
    </border>
    <border>
      <left/>
      <right style="hair">
        <color indexed="64"/>
      </right>
      <top style="thin">
        <color indexed="64"/>
      </top>
      <bottom style="hair">
        <color indexed="64"/>
      </bottom>
      <diagonal/>
    </border>
    <border>
      <left/>
      <right style="hair">
        <color indexed="64"/>
      </right>
      <top style="hair">
        <color indexed="64"/>
      </top>
      <bottom style="thin">
        <color indexed="64"/>
      </bottom>
      <diagonal/>
    </border>
    <border>
      <left style="hair">
        <color auto="1"/>
      </left>
      <right/>
      <top style="hair">
        <color auto="1"/>
      </top>
      <bottom style="hair">
        <color auto="1"/>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style="thin">
        <color auto="1"/>
      </left>
      <right/>
      <top style="thin">
        <color auto="1"/>
      </top>
      <bottom/>
      <diagonal/>
    </border>
    <border>
      <left/>
      <right style="thin">
        <color auto="1"/>
      </right>
      <top style="thin">
        <color auto="1"/>
      </top>
      <bottom/>
      <diagonal/>
    </border>
    <border>
      <left/>
      <right/>
      <top style="thin">
        <color indexed="64"/>
      </top>
      <bottom style="thin">
        <color indexed="64"/>
      </bottom>
      <diagonal/>
    </border>
    <border>
      <left/>
      <right/>
      <top/>
      <bottom style="medium">
        <color indexed="64"/>
      </bottom>
      <diagonal/>
    </border>
    <border>
      <left style="thin">
        <color indexed="64"/>
      </left>
      <right style="thin">
        <color indexed="64"/>
      </right>
      <top style="thin">
        <color indexed="64"/>
      </top>
      <bottom/>
      <diagonal/>
    </border>
    <border>
      <left/>
      <right/>
      <top style="thin">
        <color indexed="64"/>
      </top>
      <bottom/>
      <diagonal/>
    </border>
    <border>
      <left style="thin">
        <color auto="1"/>
      </left>
      <right style="thin">
        <color auto="1"/>
      </right>
      <top style="thin">
        <color auto="1"/>
      </top>
      <bottom style="thin">
        <color auto="1"/>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hair">
        <color indexed="64"/>
      </left>
      <right style="hair">
        <color indexed="64"/>
      </right>
      <top style="hair">
        <color indexed="64"/>
      </top>
      <bottom/>
      <diagonal/>
    </border>
    <border>
      <left style="hair">
        <color indexed="64"/>
      </left>
      <right style="hair">
        <color indexed="64"/>
      </right>
      <top/>
      <bottom style="hair">
        <color indexed="64"/>
      </bottom>
      <diagonal/>
    </border>
    <border>
      <left style="thin">
        <color indexed="64"/>
      </left>
      <right style="thin">
        <color indexed="64"/>
      </right>
      <top style="hair">
        <color indexed="64"/>
      </top>
      <bottom/>
      <diagonal/>
    </border>
    <border>
      <left style="hair">
        <color auto="1"/>
      </left>
      <right/>
      <top style="hair">
        <color auto="1"/>
      </top>
      <bottom style="thin">
        <color auto="1"/>
      </bottom>
      <diagonal/>
    </border>
    <border>
      <left style="hair">
        <color auto="1"/>
      </left>
      <right/>
      <top/>
      <bottom style="thin">
        <color indexed="64"/>
      </bottom>
      <diagonal/>
    </border>
    <border>
      <left/>
      <right style="hair">
        <color auto="1"/>
      </right>
      <top/>
      <bottom style="thin">
        <color indexed="64"/>
      </bottom>
      <diagonal/>
    </border>
  </borders>
  <cellStyleXfs count="14">
    <xf numFmtId="0" fontId="0" fillId="0" borderId="0"/>
    <xf numFmtId="43" fontId="2" fillId="0" borderId="0" applyFont="0" applyFill="0" applyBorder="0" applyAlignment="0" applyProtection="0"/>
    <xf numFmtId="44" fontId="2" fillId="0" borderId="0" applyFont="0" applyFill="0" applyBorder="0" applyAlignment="0" applyProtection="0"/>
    <xf numFmtId="38" fontId="3" fillId="2" borderId="0" applyNumberFormat="0" applyBorder="0" applyAlignment="0" applyProtection="0"/>
    <xf numFmtId="0" fontId="4" fillId="0" borderId="1" applyNumberFormat="0" applyAlignment="0" applyProtection="0">
      <alignment horizontal="left" vertical="center"/>
    </xf>
    <xf numFmtId="0" fontId="4" fillId="0" borderId="2">
      <alignment horizontal="left" vertical="center"/>
    </xf>
    <xf numFmtId="0" fontId="5" fillId="0" borderId="0" applyNumberFormat="0" applyFill="0" applyBorder="0" applyAlignment="0" applyProtection="0">
      <alignment vertical="top"/>
      <protection locked="0"/>
    </xf>
    <xf numFmtId="10" fontId="3" fillId="3" borderId="3" applyNumberFormat="0" applyBorder="0" applyAlignment="0" applyProtection="0"/>
    <xf numFmtId="172" fontId="2" fillId="0" borderId="0"/>
    <xf numFmtId="0" fontId="32" fillId="0" borderId="0"/>
    <xf numFmtId="9" fontId="2" fillId="0" borderId="0" applyFont="0" applyFill="0" applyBorder="0" applyAlignment="0" applyProtection="0"/>
    <xf numFmtId="10" fontId="2" fillId="0" borderId="0" applyFont="0" applyFill="0" applyBorder="0" applyAlignment="0" applyProtection="0"/>
    <xf numFmtId="0" fontId="1" fillId="0" borderId="0"/>
    <xf numFmtId="0" fontId="2" fillId="0" borderId="0"/>
  </cellStyleXfs>
  <cellXfs count="2292">
    <xf numFmtId="0" fontId="0" fillId="0" borderId="0" xfId="0"/>
    <xf numFmtId="0" fontId="11" fillId="0" borderId="0" xfId="0" applyFont="1" applyFill="1" applyAlignment="1" applyProtection="1">
      <alignment vertical="center"/>
    </xf>
    <xf numFmtId="0" fontId="7" fillId="0" borderId="0" xfId="0" applyFont="1" applyFill="1" applyAlignment="1" applyProtection="1">
      <alignment horizontal="center" vertical="center"/>
    </xf>
    <xf numFmtId="0" fontId="7" fillId="0" borderId="0" xfId="0" applyFont="1" applyFill="1" applyBorder="1" applyAlignment="1" applyProtection="1">
      <alignment horizontal="left" vertical="center"/>
    </xf>
    <xf numFmtId="38" fontId="7" fillId="0" borderId="0" xfId="0" applyNumberFormat="1" applyFont="1" applyFill="1" applyBorder="1" applyAlignment="1" applyProtection="1">
      <alignment horizontal="center" vertical="center"/>
    </xf>
    <xf numFmtId="0" fontId="7" fillId="0" borderId="0" xfId="0" applyFont="1" applyFill="1" applyAlignment="1" applyProtection="1">
      <alignment vertical="center"/>
    </xf>
    <xf numFmtId="0" fontId="11" fillId="0" borderId="0" xfId="0" applyFont="1" applyFill="1" applyBorder="1" applyAlignment="1" applyProtection="1">
      <alignment vertical="center"/>
    </xf>
    <xf numFmtId="0" fontId="11" fillId="0" borderId="0" xfId="0" applyFont="1" applyFill="1" applyAlignment="1" applyProtection="1">
      <alignment horizontal="center" vertical="center"/>
    </xf>
    <xf numFmtId="0" fontId="11" fillId="0" borderId="0" xfId="0" applyFont="1" applyFill="1" applyBorder="1" applyAlignment="1" applyProtection="1">
      <alignment horizontal="center" vertical="center"/>
    </xf>
    <xf numFmtId="0" fontId="11" fillId="0" borderId="0" xfId="0" applyFont="1" applyFill="1" applyProtection="1"/>
    <xf numFmtId="38" fontId="11" fillId="0" borderId="0" xfId="0" applyNumberFormat="1" applyFont="1" applyFill="1" applyAlignment="1" applyProtection="1">
      <alignment horizontal="center" vertical="center"/>
    </xf>
    <xf numFmtId="0" fontId="7" fillId="0" borderId="0" xfId="0" applyFont="1" applyFill="1" applyBorder="1" applyAlignment="1" applyProtection="1">
      <alignment vertical="center"/>
    </xf>
    <xf numFmtId="0" fontId="11" fillId="0" borderId="0" xfId="0" applyFont="1" applyFill="1" applyBorder="1" applyAlignment="1" applyProtection="1">
      <alignment horizontal="left" vertical="center"/>
    </xf>
    <xf numFmtId="0" fontId="19" fillId="0" borderId="0" xfId="0" applyFont="1" applyFill="1" applyAlignment="1" applyProtection="1">
      <alignment horizontal="right" vertical="center"/>
    </xf>
    <xf numFmtId="38" fontId="11" fillId="0" borderId="0" xfId="1" applyNumberFormat="1" applyFont="1" applyFill="1" applyBorder="1" applyAlignment="1" applyProtection="1">
      <alignment horizontal="right" vertical="center"/>
    </xf>
    <xf numFmtId="0" fontId="11" fillId="0" borderId="0" xfId="0" applyFont="1" applyFill="1" applyAlignment="1" applyProtection="1">
      <alignment horizontal="right" vertical="center"/>
    </xf>
    <xf numFmtId="0" fontId="7" fillId="0" borderId="0" xfId="0" applyFont="1" applyFill="1" applyProtection="1"/>
    <xf numFmtId="0" fontId="7" fillId="0" borderId="0" xfId="0" applyFont="1" applyFill="1" applyAlignment="1" applyProtection="1">
      <alignment horizontal="right" vertical="center"/>
    </xf>
    <xf numFmtId="164" fontId="7" fillId="0" borderId="0" xfId="1" applyNumberFormat="1" applyFont="1" applyFill="1" applyProtection="1"/>
    <xf numFmtId="0" fontId="11" fillId="0" borderId="0" xfId="0" applyFont="1" applyFill="1" applyBorder="1" applyProtection="1"/>
    <xf numFmtId="164" fontId="11" fillId="0" borderId="0" xfId="1" applyNumberFormat="1" applyFont="1" applyFill="1" applyProtection="1"/>
    <xf numFmtId="0" fontId="11" fillId="0" borderId="4" xfId="0" applyFont="1" applyFill="1" applyBorder="1" applyProtection="1"/>
    <xf numFmtId="164" fontId="11" fillId="0" borderId="5" xfId="1" applyNumberFormat="1" applyFont="1" applyFill="1" applyBorder="1" applyProtection="1"/>
    <xf numFmtId="164" fontId="11" fillId="0" borderId="6" xfId="1" applyNumberFormat="1" applyFont="1" applyFill="1" applyBorder="1" applyProtection="1"/>
    <xf numFmtId="0" fontId="11" fillId="0" borderId="7" xfId="0" applyFont="1" applyFill="1" applyBorder="1" applyProtection="1"/>
    <xf numFmtId="164" fontId="11" fillId="0" borderId="0" xfId="1" applyNumberFormat="1" applyFont="1" applyFill="1" applyBorder="1" applyProtection="1"/>
    <xf numFmtId="164" fontId="11" fillId="0" borderId="8" xfId="1" applyNumberFormat="1" applyFont="1" applyFill="1" applyBorder="1" applyProtection="1"/>
    <xf numFmtId="43" fontId="11" fillId="0" borderId="0" xfId="1" applyNumberFormat="1" applyFont="1" applyFill="1" applyBorder="1" applyProtection="1"/>
    <xf numFmtId="43" fontId="11" fillId="0" borderId="8" xfId="1" applyNumberFormat="1" applyFont="1" applyFill="1" applyBorder="1" applyProtection="1"/>
    <xf numFmtId="0" fontId="11" fillId="0" borderId="9" xfId="0" applyFont="1" applyFill="1" applyBorder="1" applyProtection="1"/>
    <xf numFmtId="0" fontId="28" fillId="0" borderId="0" xfId="0" applyFont="1" applyFill="1" applyBorder="1" applyAlignment="1" applyProtection="1">
      <alignment vertical="center"/>
    </xf>
    <xf numFmtId="0" fontId="0" fillId="0" borderId="0" xfId="0" applyProtection="1"/>
    <xf numFmtId="0" fontId="7" fillId="0" borderId="0" xfId="0" applyFont="1" applyFill="1" applyBorder="1" applyProtection="1"/>
    <xf numFmtId="0" fontId="7" fillId="0" borderId="0" xfId="0" applyFont="1" applyFill="1" applyBorder="1" applyAlignment="1" applyProtection="1">
      <alignment horizontal="left"/>
    </xf>
    <xf numFmtId="0" fontId="7" fillId="0" borderId="0" xfId="0" applyFont="1" applyFill="1" applyBorder="1" applyAlignment="1" applyProtection="1">
      <alignment horizontal="center"/>
    </xf>
    <xf numFmtId="0" fontId="7" fillId="0" borderId="0" xfId="0" applyFont="1" applyFill="1" applyAlignment="1" applyProtection="1"/>
    <xf numFmtId="0" fontId="7" fillId="0" borderId="0" xfId="0" quotePrefix="1" applyFont="1" applyFill="1" applyAlignment="1" applyProtection="1">
      <alignment horizontal="center" vertical="center"/>
    </xf>
    <xf numFmtId="0" fontId="11" fillId="0" borderId="0" xfId="0" applyFont="1" applyFill="1" applyBorder="1" applyAlignment="1" applyProtection="1">
      <alignment vertical="center" wrapText="1"/>
    </xf>
    <xf numFmtId="0" fontId="3" fillId="0" borderId="0" xfId="0" applyFont="1" applyFill="1" applyBorder="1" applyAlignment="1" applyProtection="1">
      <alignment horizontal="left" vertical="center"/>
    </xf>
    <xf numFmtId="164" fontId="11" fillId="0" borderId="3" xfId="1" applyNumberFormat="1" applyFont="1" applyFill="1" applyBorder="1" applyProtection="1"/>
    <xf numFmtId="0" fontId="0" fillId="0" borderId="0" xfId="0" applyAlignment="1" applyProtection="1">
      <alignment vertical="center"/>
    </xf>
    <xf numFmtId="9" fontId="11" fillId="0" borderId="0" xfId="10" applyFont="1" applyFill="1" applyBorder="1" applyProtection="1"/>
    <xf numFmtId="44" fontId="11" fillId="0" borderId="0" xfId="0" applyNumberFormat="1" applyFont="1" applyFill="1" applyProtection="1"/>
    <xf numFmtId="0" fontId="20" fillId="0" borderId="0" xfId="0" applyFont="1" applyFill="1" applyProtection="1"/>
    <xf numFmtId="0" fontId="3" fillId="0" borderId="0" xfId="0" applyFont="1" applyFill="1" applyAlignment="1" applyProtection="1">
      <alignment vertical="center"/>
    </xf>
    <xf numFmtId="1" fontId="3" fillId="0" borderId="0" xfId="0" applyNumberFormat="1" applyFont="1" applyFill="1" applyAlignment="1" applyProtection="1">
      <alignment horizontal="left" vertical="center"/>
    </xf>
    <xf numFmtId="0" fontId="6" fillId="0" borderId="0" xfId="0" applyFont="1" applyFill="1" applyAlignment="1" applyProtection="1">
      <alignment horizontal="center" vertical="center"/>
    </xf>
    <xf numFmtId="0" fontId="6" fillId="0" borderId="0" xfId="0" applyFont="1" applyFill="1" applyAlignment="1" applyProtection="1">
      <alignment vertical="center"/>
    </xf>
    <xf numFmtId="0" fontId="3" fillId="0" borderId="0" xfId="0" applyFont="1" applyFill="1" applyAlignment="1" applyProtection="1">
      <alignment horizontal="left" vertical="center"/>
    </xf>
    <xf numFmtId="0" fontId="16" fillId="0" borderId="0" xfId="0" applyFont="1" applyFill="1" applyProtection="1"/>
    <xf numFmtId="0" fontId="20" fillId="0" borderId="0" xfId="0" applyFont="1" applyFill="1" applyAlignment="1" applyProtection="1">
      <alignment vertical="center"/>
    </xf>
    <xf numFmtId="0" fontId="17" fillId="0" borderId="0" xfId="0" applyFont="1" applyFill="1" applyProtection="1"/>
    <xf numFmtId="0" fontId="8" fillId="0" borderId="0" xfId="0" applyFont="1" applyFill="1" applyAlignment="1" applyProtection="1">
      <alignment vertical="center"/>
    </xf>
    <xf numFmtId="0" fontId="24" fillId="0" borderId="0" xfId="0" applyFont="1" applyFill="1" applyAlignment="1" applyProtection="1">
      <alignment vertical="center"/>
    </xf>
    <xf numFmtId="0" fontId="20" fillId="0" borderId="0" xfId="0" applyFont="1" applyFill="1" applyAlignment="1" applyProtection="1">
      <alignment horizontal="center" vertical="center"/>
    </xf>
    <xf numFmtId="0" fontId="13" fillId="0" borderId="0" xfId="0" applyFont="1" applyFill="1" applyAlignment="1" applyProtection="1">
      <alignment horizontal="right" vertical="center"/>
    </xf>
    <xf numFmtId="0" fontId="18" fillId="0" borderId="0" xfId="0" applyFont="1" applyFill="1" applyAlignment="1" applyProtection="1">
      <alignment vertical="center"/>
    </xf>
    <xf numFmtId="0" fontId="15" fillId="0" borderId="0" xfId="0" applyFont="1" applyFill="1" applyAlignment="1" applyProtection="1">
      <alignment vertical="center"/>
    </xf>
    <xf numFmtId="0" fontId="20" fillId="0" borderId="0" xfId="0" applyFont="1" applyFill="1" applyBorder="1" applyAlignment="1" applyProtection="1">
      <alignment vertical="center"/>
    </xf>
    <xf numFmtId="0" fontId="23" fillId="0" borderId="0" xfId="0" applyFont="1" applyFill="1" applyAlignment="1" applyProtection="1">
      <alignment horizontal="right"/>
    </xf>
    <xf numFmtId="0" fontId="9" fillId="0" borderId="0" xfId="0" applyFont="1" applyFill="1" applyBorder="1" applyAlignment="1" applyProtection="1">
      <alignment horizontal="center" vertical="center"/>
    </xf>
    <xf numFmtId="0" fontId="13" fillId="0" borderId="0" xfId="0" applyFont="1" applyFill="1" applyAlignment="1" applyProtection="1">
      <alignment horizontal="center" vertical="center"/>
    </xf>
    <xf numFmtId="0" fontId="3" fillId="0" borderId="0" xfId="0" applyFont="1" applyFill="1" applyBorder="1" applyAlignment="1" applyProtection="1">
      <alignment vertical="center"/>
    </xf>
    <xf numFmtId="0" fontId="18" fillId="0" borderId="0" xfId="0" applyFont="1" applyFill="1" applyBorder="1" applyAlignment="1" applyProtection="1">
      <alignment vertical="center"/>
    </xf>
    <xf numFmtId="0" fontId="17" fillId="0" borderId="0" xfId="0" applyFont="1" applyFill="1" applyBorder="1" applyProtection="1"/>
    <xf numFmtId="0" fontId="3" fillId="0" borderId="0" xfId="0" applyFont="1" applyFill="1" applyProtection="1"/>
    <xf numFmtId="0" fontId="20" fillId="0" borderId="0" xfId="0" applyFont="1" applyFill="1" applyBorder="1" applyAlignment="1" applyProtection="1">
      <alignment horizontal="center" vertical="center"/>
    </xf>
    <xf numFmtId="0" fontId="10" fillId="0" borderId="0" xfId="0" applyFont="1" applyFill="1" applyBorder="1" applyAlignment="1" applyProtection="1">
      <alignment horizontal="right"/>
    </xf>
    <xf numFmtId="0" fontId="6" fillId="0" borderId="0" xfId="0" applyFont="1" applyFill="1" applyBorder="1" applyAlignment="1" applyProtection="1">
      <alignment vertical="center"/>
    </xf>
    <xf numFmtId="0" fontId="3" fillId="0" borderId="0" xfId="0" applyFont="1" applyFill="1" applyBorder="1" applyAlignment="1" applyProtection="1"/>
    <xf numFmtId="0" fontId="24" fillId="0" borderId="0" xfId="0" applyFont="1" applyFill="1" applyBorder="1" applyAlignment="1" applyProtection="1">
      <alignment vertical="center"/>
    </xf>
    <xf numFmtId="0" fontId="6" fillId="0" borderId="0" xfId="0" applyFont="1" applyFill="1" applyBorder="1" applyAlignment="1" applyProtection="1">
      <alignment horizontal="center" vertical="center"/>
    </xf>
    <xf numFmtId="0" fontId="24" fillId="0" borderId="0" xfId="0" applyFont="1" applyFill="1" applyAlignment="1" applyProtection="1">
      <alignment horizontal="left" vertical="center"/>
    </xf>
    <xf numFmtId="0" fontId="11" fillId="0" borderId="0" xfId="0" applyFont="1" applyFill="1" applyAlignment="1" applyProtection="1">
      <alignment horizontal="center"/>
    </xf>
    <xf numFmtId="0" fontId="23" fillId="0" borderId="0" xfId="0" applyFont="1" applyFill="1" applyProtection="1"/>
    <xf numFmtId="0" fontId="13" fillId="0" borderId="0" xfId="0" applyFont="1" applyFill="1" applyBorder="1" applyAlignment="1" applyProtection="1">
      <alignment horizontal="right" vertical="center"/>
    </xf>
    <xf numFmtId="38" fontId="7" fillId="0" borderId="3" xfId="0" applyNumberFormat="1" applyFont="1" applyFill="1" applyBorder="1" applyAlignment="1" applyProtection="1">
      <alignment horizontal="center" vertical="center"/>
    </xf>
    <xf numFmtId="0" fontId="3" fillId="0" borderId="0" xfId="0" applyFont="1" applyFill="1" applyBorder="1" applyAlignment="1" applyProtection="1">
      <alignment horizontal="right" vertical="center"/>
    </xf>
    <xf numFmtId="0" fontId="6" fillId="0" borderId="0" xfId="0" applyFont="1" applyFill="1" applyAlignment="1" applyProtection="1">
      <alignment horizontal="right" vertical="center"/>
    </xf>
    <xf numFmtId="0" fontId="15" fillId="0" borderId="0" xfId="0" applyFont="1" applyFill="1" applyBorder="1" applyAlignment="1" applyProtection="1">
      <alignment vertical="center"/>
    </xf>
    <xf numFmtId="0" fontId="10" fillId="0" borderId="0" xfId="0" applyFont="1" applyFill="1" applyBorder="1" applyProtection="1"/>
    <xf numFmtId="0" fontId="20" fillId="0" borderId="0" xfId="0" applyFont="1" applyFill="1" applyAlignment="1" applyProtection="1"/>
    <xf numFmtId="0" fontId="4" fillId="0" borderId="0" xfId="0" applyFont="1" applyFill="1" applyAlignment="1" applyProtection="1">
      <alignment horizontal="center" vertical="center"/>
    </xf>
    <xf numFmtId="0" fontId="7" fillId="0" borderId="0" xfId="0" applyFont="1" applyFill="1" applyBorder="1" applyAlignment="1" applyProtection="1">
      <alignment horizontal="center" vertical="top" wrapText="1"/>
    </xf>
    <xf numFmtId="0" fontId="7" fillId="0" borderId="0" xfId="0" applyFont="1" applyAlignment="1" applyProtection="1">
      <alignment horizontal="center"/>
    </xf>
    <xf numFmtId="0" fontId="2" fillId="0" borderId="0" xfId="0" applyFont="1" applyFill="1" applyAlignment="1" applyProtection="1">
      <alignment horizontal="center" vertical="center"/>
    </xf>
    <xf numFmtId="0" fontId="31" fillId="0" borderId="0" xfId="0" applyFont="1" applyFill="1" applyAlignment="1" applyProtection="1">
      <alignment horizontal="center" vertical="center"/>
    </xf>
    <xf numFmtId="0" fontId="11" fillId="0" borderId="0" xfId="0" applyFont="1" applyFill="1" applyBorder="1" applyAlignment="1" applyProtection="1">
      <alignment horizontal="center" vertical="top" wrapText="1"/>
    </xf>
    <xf numFmtId="0" fontId="20" fillId="0" borderId="0" xfId="0" applyFont="1" applyAlignment="1" applyProtection="1">
      <alignment horizontal="center"/>
    </xf>
    <xf numFmtId="0" fontId="7" fillId="0" borderId="3" xfId="0" applyFont="1" applyFill="1" applyBorder="1" applyAlignment="1" applyProtection="1">
      <alignment horizontal="center" vertical="center"/>
    </xf>
    <xf numFmtId="0" fontId="11" fillId="0" borderId="5" xfId="0" applyFont="1" applyFill="1" applyBorder="1" applyAlignment="1" applyProtection="1">
      <alignment vertical="center"/>
    </xf>
    <xf numFmtId="10" fontId="11" fillId="0" borderId="0" xfId="0" applyNumberFormat="1" applyFont="1" applyFill="1" applyBorder="1" applyAlignment="1" applyProtection="1">
      <alignment horizontal="left"/>
    </xf>
    <xf numFmtId="0" fontId="11" fillId="0" borderId="0" xfId="0" applyFont="1" applyAlignment="1" applyProtection="1">
      <alignment vertical="center"/>
    </xf>
    <xf numFmtId="0" fontId="11" fillId="0" borderId="0" xfId="0" applyFont="1" applyBorder="1" applyAlignment="1" applyProtection="1">
      <alignment vertical="center"/>
    </xf>
    <xf numFmtId="0" fontId="0" fillId="0" borderId="0" xfId="0" applyAlignment="1" applyProtection="1">
      <alignment horizontal="center"/>
    </xf>
    <xf numFmtId="0" fontId="11" fillId="0" borderId="0" xfId="0" applyFont="1" applyFill="1" applyAlignment="1" applyProtection="1">
      <alignment horizontal="right"/>
    </xf>
    <xf numFmtId="0" fontId="27" fillId="0" borderId="0" xfId="0" applyFont="1" applyFill="1" applyProtection="1"/>
    <xf numFmtId="0" fontId="7" fillId="0" borderId="4" xfId="0" applyFont="1" applyFill="1" applyBorder="1" applyAlignment="1" applyProtection="1">
      <alignment horizontal="center" vertical="center"/>
    </xf>
    <xf numFmtId="0" fontId="7" fillId="0" borderId="12" xfId="0" applyFont="1" applyFill="1" applyBorder="1" applyAlignment="1" applyProtection="1">
      <alignment horizontal="center"/>
    </xf>
    <xf numFmtId="0" fontId="7" fillId="0" borderId="8" xfId="0" applyFont="1" applyFill="1" applyBorder="1" applyAlignment="1" applyProtection="1">
      <alignment vertical="center"/>
    </xf>
    <xf numFmtId="0" fontId="15" fillId="0" borderId="13" xfId="0" applyFont="1" applyFill="1" applyBorder="1" applyAlignment="1" applyProtection="1">
      <alignment vertical="top"/>
    </xf>
    <xf numFmtId="0" fontId="13" fillId="0" borderId="0" xfId="0" applyFont="1" applyFill="1" applyAlignment="1" applyProtection="1">
      <alignment vertical="center"/>
    </xf>
    <xf numFmtId="0" fontId="13" fillId="0" borderId="0" xfId="0" applyFont="1" applyFill="1" applyBorder="1" applyAlignment="1" applyProtection="1"/>
    <xf numFmtId="0" fontId="13" fillId="0" borderId="0" xfId="0" applyFont="1" applyFill="1" applyAlignment="1" applyProtection="1"/>
    <xf numFmtId="0" fontId="12" fillId="0" borderId="0" xfId="0" applyFont="1" applyFill="1" applyProtection="1"/>
    <xf numFmtId="0" fontId="27" fillId="0" borderId="0" xfId="0" applyFont="1" applyFill="1" applyAlignment="1" applyProtection="1">
      <alignment vertical="center"/>
    </xf>
    <xf numFmtId="0" fontId="27" fillId="0" borderId="0" xfId="0" applyFont="1" applyProtection="1"/>
    <xf numFmtId="0" fontId="7" fillId="0" borderId="0" xfId="0" applyFont="1" applyFill="1" applyAlignment="1" applyProtection="1">
      <alignment horizontal="center" wrapText="1"/>
    </xf>
    <xf numFmtId="0" fontId="6" fillId="0" borderId="0" xfId="0" quotePrefix="1" applyFont="1" applyFill="1" applyAlignment="1" applyProtection="1">
      <alignment horizontal="right" vertical="center"/>
    </xf>
    <xf numFmtId="0" fontId="17" fillId="0" borderId="0" xfId="0" applyFont="1" applyFill="1" applyBorder="1" applyAlignment="1" applyProtection="1">
      <alignment vertical="center"/>
    </xf>
    <xf numFmtId="0" fontId="11" fillId="0" borderId="0" xfId="0" applyFont="1" applyFill="1" applyBorder="1" applyAlignment="1" applyProtection="1">
      <alignment horizontal="center" vertical="center" wrapText="1"/>
    </xf>
    <xf numFmtId="0" fontId="2" fillId="0" borderId="0" xfId="0" applyFont="1" applyFill="1" applyAlignment="1" applyProtection="1">
      <alignment vertical="center"/>
    </xf>
    <xf numFmtId="0" fontId="15" fillId="0" borderId="0" xfId="0" applyFont="1" applyFill="1" applyBorder="1" applyAlignment="1" applyProtection="1">
      <alignment horizontal="left" vertical="center"/>
    </xf>
    <xf numFmtId="0" fontId="11" fillId="0" borderId="0" xfId="0" applyFont="1" applyFill="1" applyAlignment="1" applyProtection="1">
      <alignment horizontal="left"/>
    </xf>
    <xf numFmtId="0" fontId="15" fillId="0" borderId="13" xfId="0" applyFont="1" applyFill="1" applyBorder="1" applyAlignment="1" applyProtection="1">
      <alignment vertical="center"/>
    </xf>
    <xf numFmtId="0" fontId="20" fillId="0" borderId="13" xfId="0" applyFont="1" applyFill="1" applyBorder="1" applyAlignment="1" applyProtection="1">
      <alignment vertical="center"/>
    </xf>
    <xf numFmtId="0" fontId="3" fillId="0" borderId="13" xfId="0" applyFont="1" applyFill="1" applyBorder="1" applyAlignment="1" applyProtection="1">
      <alignment horizontal="left" vertical="top" wrapText="1"/>
    </xf>
    <xf numFmtId="0" fontId="6" fillId="0" borderId="0" xfId="0" applyFont="1" applyProtection="1"/>
    <xf numFmtId="10" fontId="11" fillId="0" borderId="0" xfId="0" applyNumberFormat="1" applyFont="1" applyFill="1" applyAlignment="1" applyProtection="1">
      <alignment horizontal="center"/>
    </xf>
    <xf numFmtId="0" fontId="17" fillId="0" borderId="0" xfId="0" applyFont="1" applyFill="1" applyAlignment="1" applyProtection="1">
      <alignment vertical="center"/>
    </xf>
    <xf numFmtId="0" fontId="12" fillId="0" borderId="0" xfId="0" applyFont="1" applyFill="1" applyBorder="1" applyAlignment="1" applyProtection="1">
      <alignment vertical="center"/>
    </xf>
    <xf numFmtId="0" fontId="0" fillId="0" borderId="0" xfId="0" applyAlignment="1" applyProtection="1">
      <alignment vertical="top" wrapText="1"/>
    </xf>
    <xf numFmtId="0" fontId="19" fillId="0" borderId="0" xfId="0" applyFont="1" applyFill="1" applyAlignment="1" applyProtection="1">
      <alignment vertical="center"/>
    </xf>
    <xf numFmtId="0" fontId="19" fillId="0" borderId="0" xfId="0" applyFont="1" applyFill="1" applyBorder="1" applyAlignment="1" applyProtection="1">
      <alignment vertical="center"/>
    </xf>
    <xf numFmtId="0" fontId="30" fillId="0" borderId="0" xfId="0" applyFont="1" applyFill="1" applyAlignment="1" applyProtection="1">
      <alignment horizontal="center" vertical="center"/>
    </xf>
    <xf numFmtId="0" fontId="12" fillId="0" borderId="0" xfId="0" applyFont="1" applyFill="1" applyAlignment="1" applyProtection="1">
      <alignment horizontal="left" indent="2"/>
    </xf>
    <xf numFmtId="0" fontId="26" fillId="0" borderId="0" xfId="0" applyFont="1" applyFill="1" applyAlignment="1" applyProtection="1">
      <alignment horizontal="center" vertical="center"/>
    </xf>
    <xf numFmtId="0" fontId="12" fillId="0" borderId="0" xfId="0" applyFont="1" applyFill="1" applyAlignment="1" applyProtection="1">
      <alignment vertical="center"/>
    </xf>
    <xf numFmtId="0" fontId="17" fillId="0" borderId="0" xfId="0" applyFont="1" applyFill="1" applyAlignment="1" applyProtection="1">
      <alignment horizontal="center"/>
    </xf>
    <xf numFmtId="0" fontId="47" fillId="0" borderId="0" xfId="0" applyFont="1" applyFill="1" applyProtection="1"/>
    <xf numFmtId="0" fontId="19" fillId="0" borderId="0" xfId="0" applyFont="1" applyFill="1" applyBorder="1" applyAlignment="1" applyProtection="1"/>
    <xf numFmtId="0" fontId="19" fillId="0" borderId="0" xfId="0" applyFont="1" applyFill="1" applyAlignment="1" applyProtection="1"/>
    <xf numFmtId="0" fontId="13" fillId="0" borderId="0" xfId="0" applyFont="1" applyFill="1" applyAlignment="1" applyProtection="1">
      <alignment horizontal="left" vertical="center"/>
    </xf>
    <xf numFmtId="0" fontId="13" fillId="0" borderId="0" xfId="0" applyFont="1" applyFill="1" applyBorder="1" applyAlignment="1" applyProtection="1">
      <alignment horizontal="left"/>
    </xf>
    <xf numFmtId="0" fontId="20" fillId="0" borderId="0" xfId="0" applyFont="1" applyAlignment="1" applyProtection="1">
      <alignment horizontal="center" vertical="center"/>
    </xf>
    <xf numFmtId="0" fontId="6" fillId="0" borderId="0" xfId="0" applyFont="1" applyAlignment="1" applyProtection="1">
      <alignment horizontal="left" vertical="center"/>
    </xf>
    <xf numFmtId="0" fontId="16" fillId="0" borderId="0" xfId="0" applyFont="1" applyFill="1" applyBorder="1" applyProtection="1"/>
    <xf numFmtId="0" fontId="0" fillId="0" borderId="0" xfId="0" applyBorder="1" applyProtection="1"/>
    <xf numFmtId="0" fontId="6" fillId="0" borderId="0" xfId="0" applyFont="1" applyAlignment="1" applyProtection="1">
      <alignment vertical="center"/>
    </xf>
    <xf numFmtId="0" fontId="6" fillId="0" borderId="0" xfId="0" applyFont="1" applyAlignment="1" applyProtection="1">
      <alignment horizontal="center"/>
    </xf>
    <xf numFmtId="164" fontId="11" fillId="0" borderId="5" xfId="1" applyNumberFormat="1" applyFont="1" applyFill="1" applyBorder="1" applyAlignment="1" applyProtection="1">
      <alignment vertical="center"/>
    </xf>
    <xf numFmtId="164" fontId="11" fillId="0" borderId="0" xfId="1" applyNumberFormat="1" applyFont="1" applyFill="1" applyBorder="1" applyAlignment="1" applyProtection="1">
      <alignment vertical="center"/>
    </xf>
    <xf numFmtId="0" fontId="25" fillId="0" borderId="0" xfId="0" applyFont="1" applyFill="1" applyAlignment="1" applyProtection="1">
      <alignment horizontal="right"/>
    </xf>
    <xf numFmtId="0" fontId="2" fillId="0" borderId="0" xfId="0" applyFont="1" applyAlignment="1" applyProtection="1">
      <alignment horizontal="center"/>
    </xf>
    <xf numFmtId="0" fontId="33" fillId="0" borderId="0" xfId="0" applyFont="1" applyProtection="1"/>
    <xf numFmtId="0" fontId="26" fillId="0" borderId="0" xfId="0" applyFont="1" applyFill="1" applyAlignment="1" applyProtection="1">
      <alignment vertical="center"/>
    </xf>
    <xf numFmtId="0" fontId="19" fillId="0" borderId="0" xfId="0" applyFont="1" applyFill="1" applyBorder="1" applyAlignment="1" applyProtection="1">
      <alignment horizontal="right" vertical="center"/>
    </xf>
    <xf numFmtId="164" fontId="12" fillId="0" borderId="3" xfId="1" applyNumberFormat="1" applyFont="1" applyFill="1" applyBorder="1" applyAlignment="1" applyProtection="1">
      <alignment horizontal="center" vertical="center"/>
    </xf>
    <xf numFmtId="164" fontId="12" fillId="0" borderId="12" xfId="1" applyNumberFormat="1" applyFont="1" applyFill="1" applyBorder="1" applyAlignment="1" applyProtection="1">
      <alignment horizontal="center" vertical="center"/>
    </xf>
    <xf numFmtId="164" fontId="12" fillId="0" borderId="14" xfId="1" applyNumberFormat="1" applyFont="1" applyFill="1" applyBorder="1" applyAlignment="1" applyProtection="1">
      <alignment horizontal="center" vertical="center"/>
    </xf>
    <xf numFmtId="0" fontId="29" fillId="0" borderId="0" xfId="0" applyFont="1" applyFill="1" applyProtection="1"/>
    <xf numFmtId="0" fontId="4" fillId="0" borderId="0" xfId="0" applyFont="1" applyFill="1" applyProtection="1"/>
    <xf numFmtId="0" fontId="28" fillId="0" borderId="0" xfId="0" applyFont="1" applyFill="1" applyBorder="1" applyAlignment="1" applyProtection="1">
      <alignment horizontal="left" vertical="top"/>
    </xf>
    <xf numFmtId="0" fontId="20" fillId="0" borderId="0" xfId="0" applyFont="1" applyFill="1" applyBorder="1" applyProtection="1"/>
    <xf numFmtId="0" fontId="7" fillId="0" borderId="0" xfId="0" applyFont="1" applyFill="1" applyAlignment="1" applyProtection="1">
      <alignment horizontal="left" vertical="top"/>
    </xf>
    <xf numFmtId="0" fontId="7" fillId="0" borderId="0" xfId="0" applyFont="1" applyFill="1" applyAlignment="1" applyProtection="1">
      <alignment vertical="top"/>
    </xf>
    <xf numFmtId="0" fontId="13" fillId="0" borderId="0" xfId="0" applyFont="1" applyFill="1" applyAlignment="1" applyProtection="1">
      <alignment vertical="top"/>
    </xf>
    <xf numFmtId="0" fontId="13" fillId="0" borderId="0" xfId="0" applyFont="1" applyFill="1" applyBorder="1" applyAlignment="1" applyProtection="1">
      <alignment horizontal="right" vertical="top" wrapText="1"/>
    </xf>
    <xf numFmtId="0" fontId="20" fillId="0" borderId="0" xfId="0" applyFont="1" applyFill="1" applyAlignment="1" applyProtection="1">
      <alignment vertical="top"/>
    </xf>
    <xf numFmtId="0" fontId="3" fillId="0" borderId="0" xfId="0" applyFont="1" applyFill="1" applyBorder="1" applyAlignment="1" applyProtection="1">
      <alignment vertical="center" wrapText="1"/>
    </xf>
    <xf numFmtId="0" fontId="3" fillId="0" borderId="0" xfId="0" applyFont="1" applyAlignment="1" applyProtection="1">
      <alignment vertical="center"/>
    </xf>
    <xf numFmtId="0" fontId="0" fillId="0" borderId="0" xfId="0" applyBorder="1" applyAlignment="1" applyProtection="1"/>
    <xf numFmtId="0" fontId="35" fillId="0" borderId="0" xfId="0" applyFont="1" applyFill="1" applyAlignment="1" applyProtection="1">
      <alignment vertical="center"/>
    </xf>
    <xf numFmtId="0" fontId="15" fillId="0" borderId="0" xfId="0" applyFont="1" applyFill="1" applyBorder="1" applyAlignment="1" applyProtection="1">
      <alignment vertical="top"/>
    </xf>
    <xf numFmtId="0" fontId="15" fillId="0" borderId="0" xfId="0" applyFont="1" applyFill="1" applyBorder="1" applyAlignment="1" applyProtection="1">
      <alignment vertical="top" wrapText="1"/>
    </xf>
    <xf numFmtId="0" fontId="9" fillId="0" borderId="0" xfId="0" applyFont="1" applyFill="1" applyAlignment="1" applyProtection="1">
      <alignment horizontal="right" vertical="center"/>
    </xf>
    <xf numFmtId="0" fontId="3" fillId="0" borderId="0" xfId="0" applyFont="1" applyFill="1" applyBorder="1" applyAlignment="1" applyProtection="1">
      <alignment vertical="top"/>
    </xf>
    <xf numFmtId="0" fontId="15" fillId="0" borderId="13" xfId="0" applyFont="1" applyFill="1" applyBorder="1" applyAlignment="1" applyProtection="1">
      <alignment horizontal="left" vertical="center"/>
    </xf>
    <xf numFmtId="0" fontId="13" fillId="0" borderId="0" xfId="0" applyFont="1" applyFill="1" applyAlignment="1" applyProtection="1">
      <alignment horizontal="right" vertical="top"/>
    </xf>
    <xf numFmtId="0" fontId="6" fillId="0" borderId="0" xfId="0" applyFont="1" applyFill="1" applyAlignment="1" applyProtection="1">
      <alignment vertical="top" wrapText="1"/>
    </xf>
    <xf numFmtId="0" fontId="9" fillId="0" borderId="0" xfId="0" applyFont="1" applyFill="1" applyAlignment="1" applyProtection="1">
      <alignment horizontal="right" vertical="top"/>
    </xf>
    <xf numFmtId="0" fontId="6" fillId="0" borderId="0" xfId="0" applyFont="1" applyFill="1" applyProtection="1"/>
    <xf numFmtId="0" fontId="6" fillId="0" borderId="0" xfId="0" applyFont="1" applyFill="1" applyAlignment="1" applyProtection="1">
      <alignment horizontal="left" vertical="center"/>
    </xf>
    <xf numFmtId="0" fontId="3" fillId="0" borderId="0" xfId="0" applyFont="1" applyFill="1" applyBorder="1" applyAlignment="1" applyProtection="1">
      <alignment horizontal="left" vertical="top"/>
    </xf>
    <xf numFmtId="0" fontId="11" fillId="0" borderId="0" xfId="0" applyFont="1" applyFill="1" applyBorder="1" applyAlignment="1" applyProtection="1">
      <alignment horizontal="left" vertical="top" wrapText="1"/>
    </xf>
    <xf numFmtId="0" fontId="2" fillId="0" borderId="0" xfId="0" applyFont="1" applyFill="1" applyProtection="1"/>
    <xf numFmtId="0" fontId="7" fillId="0" borderId="0" xfId="0" applyFont="1" applyFill="1" applyBorder="1" applyAlignment="1" applyProtection="1">
      <alignment horizontal="left" vertical="top" wrapText="1"/>
    </xf>
    <xf numFmtId="0" fontId="6" fillId="0" borderId="0" xfId="0" applyFont="1" applyFill="1" applyAlignment="1" applyProtection="1">
      <alignment horizontal="right" vertical="top"/>
    </xf>
    <xf numFmtId="0" fontId="0" fillId="0" borderId="0" xfId="0" applyAlignment="1" applyProtection="1">
      <alignment vertical="center" wrapText="1"/>
    </xf>
    <xf numFmtId="38" fontId="11" fillId="0" borderId="3" xfId="0" applyNumberFormat="1" applyFont="1" applyFill="1" applyBorder="1" applyAlignment="1" applyProtection="1">
      <alignment horizontal="center" vertical="center"/>
    </xf>
    <xf numFmtId="0" fontId="7" fillId="0" borderId="0" xfId="0" applyFont="1" applyAlignment="1" applyProtection="1">
      <alignment horizontal="center" vertical="center"/>
    </xf>
    <xf numFmtId="0" fontId="27" fillId="0" borderId="0" xfId="0" applyFont="1" applyFill="1" applyBorder="1" applyProtection="1"/>
    <xf numFmtId="0" fontId="19" fillId="0" borderId="0" xfId="0" quotePrefix="1" applyFont="1" applyFill="1" applyAlignment="1" applyProtection="1">
      <alignment vertical="center"/>
    </xf>
    <xf numFmtId="0" fontId="19" fillId="0" borderId="0" xfId="0" quotePrefix="1" applyFont="1" applyFill="1" applyBorder="1" applyAlignment="1" applyProtection="1">
      <alignment horizontal="left" vertical="center"/>
    </xf>
    <xf numFmtId="0" fontId="25" fillId="0" borderId="0" xfId="0" applyFont="1" applyFill="1" applyAlignment="1" applyProtection="1">
      <alignment vertical="center"/>
    </xf>
    <xf numFmtId="0" fontId="44" fillId="0" borderId="0" xfId="0" applyFont="1" applyFill="1" applyAlignment="1" applyProtection="1">
      <alignment vertical="center"/>
    </xf>
    <xf numFmtId="38" fontId="44" fillId="0" borderId="0" xfId="0" applyNumberFormat="1" applyFont="1" applyFill="1" applyAlignment="1" applyProtection="1">
      <alignment horizontal="center" vertical="center"/>
    </xf>
    <xf numFmtId="38" fontId="25" fillId="0" borderId="15" xfId="0" applyNumberFormat="1" applyFont="1" applyFill="1" applyBorder="1" applyAlignment="1" applyProtection="1">
      <alignment horizontal="center" vertical="center"/>
    </xf>
    <xf numFmtId="0" fontId="36" fillId="0" borderId="0" xfId="0" applyFont="1" applyFill="1" applyAlignment="1" applyProtection="1">
      <alignment vertical="center" wrapText="1"/>
    </xf>
    <xf numFmtId="0" fontId="2" fillId="0" borderId="0" xfId="0" applyFont="1" applyProtection="1"/>
    <xf numFmtId="0" fontId="0" fillId="0" borderId="0" xfId="0" applyAlignment="1" applyProtection="1">
      <alignment wrapText="1"/>
    </xf>
    <xf numFmtId="0" fontId="9" fillId="0" borderId="0" xfId="0" applyFont="1" applyFill="1" applyAlignment="1" applyProtection="1">
      <alignment horizontal="center" vertical="center" wrapText="1"/>
    </xf>
    <xf numFmtId="0" fontId="3" fillId="0" borderId="0" xfId="0" applyFont="1" applyFill="1" applyAlignment="1" applyProtection="1">
      <alignment horizontal="right" vertical="top"/>
    </xf>
    <xf numFmtId="164" fontId="11" fillId="0" borderId="3" xfId="1" applyNumberFormat="1" applyFont="1" applyFill="1" applyBorder="1" applyAlignment="1" applyProtection="1">
      <alignment vertical="center"/>
    </xf>
    <xf numFmtId="164" fontId="11" fillId="0" borderId="16" xfId="1" applyNumberFormat="1" applyFont="1" applyFill="1" applyBorder="1" applyAlignment="1" applyProtection="1">
      <alignment vertical="center"/>
    </xf>
    <xf numFmtId="164" fontId="12" fillId="0" borderId="0" xfId="1" applyNumberFormat="1" applyFont="1" applyFill="1" applyBorder="1" applyAlignment="1" applyProtection="1">
      <alignment horizontal="center" vertical="center"/>
    </xf>
    <xf numFmtId="164" fontId="11" fillId="0" borderId="17" xfId="1" applyNumberFormat="1" applyFont="1" applyFill="1" applyBorder="1" applyAlignment="1" applyProtection="1">
      <alignment vertical="center"/>
    </xf>
    <xf numFmtId="164" fontId="12" fillId="0" borderId="16" xfId="1" applyNumberFormat="1" applyFont="1" applyFill="1" applyBorder="1" applyAlignment="1" applyProtection="1">
      <alignment horizontal="center" vertical="center"/>
    </xf>
    <xf numFmtId="164" fontId="12" fillId="0" borderId="17" xfId="1" applyNumberFormat="1" applyFont="1" applyFill="1" applyBorder="1" applyAlignment="1" applyProtection="1">
      <alignment horizontal="center" vertical="center"/>
    </xf>
    <xf numFmtId="164" fontId="12" fillId="0" borderId="18" xfId="1" applyNumberFormat="1" applyFont="1" applyFill="1" applyBorder="1" applyAlignment="1" applyProtection="1">
      <alignment horizontal="center" vertical="center"/>
    </xf>
    <xf numFmtId="0" fontId="29" fillId="0" borderId="0" xfId="0" applyFont="1" applyFill="1" applyBorder="1" applyAlignment="1" applyProtection="1">
      <alignment horizontal="center" vertical="center"/>
    </xf>
    <xf numFmtId="0" fontId="29" fillId="0" borderId="0" xfId="0" applyFont="1" applyFill="1" applyBorder="1" applyAlignment="1" applyProtection="1">
      <alignment vertical="center"/>
    </xf>
    <xf numFmtId="0" fontId="11" fillId="0" borderId="0" xfId="0" quotePrefix="1" applyFont="1" applyAlignment="1" applyProtection="1">
      <alignment horizontal="left" vertical="center"/>
    </xf>
    <xf numFmtId="0" fontId="6" fillId="0" borderId="0" xfId="0" applyFont="1" applyBorder="1" applyProtection="1"/>
    <xf numFmtId="0" fontId="11" fillId="0" borderId="0" xfId="0" applyFont="1" applyProtection="1"/>
    <xf numFmtId="0" fontId="9" fillId="0" borderId="0" xfId="0" applyFont="1" applyFill="1" applyAlignment="1" applyProtection="1">
      <alignment vertical="center"/>
    </xf>
    <xf numFmtId="0" fontId="49" fillId="0" borderId="0" xfId="0" applyFont="1" applyAlignment="1" applyProtection="1"/>
    <xf numFmtId="0" fontId="51" fillId="0" borderId="0" xfId="0" applyFont="1" applyFill="1" applyBorder="1" applyAlignment="1" applyProtection="1">
      <alignment horizontal="center"/>
    </xf>
    <xf numFmtId="0" fontId="53" fillId="0" borderId="0" xfId="0" applyFont="1" applyAlignment="1" applyProtection="1">
      <alignment vertical="center"/>
    </xf>
    <xf numFmtId="0" fontId="54" fillId="0" borderId="0" xfId="0" applyFont="1" applyFill="1" applyBorder="1" applyAlignment="1" applyProtection="1">
      <alignment horizontal="center" vertical="center"/>
    </xf>
    <xf numFmtId="0" fontId="50" fillId="0" borderId="0" xfId="0" applyFont="1" applyAlignment="1" applyProtection="1">
      <alignment vertical="center"/>
    </xf>
    <xf numFmtId="0" fontId="55" fillId="0" borderId="0" xfId="0" applyFont="1" applyAlignment="1" applyProtection="1">
      <alignment horizontal="center" vertical="center"/>
    </xf>
    <xf numFmtId="164" fontId="50" fillId="0" borderId="3" xfId="1" applyNumberFormat="1" applyFont="1" applyFill="1" applyBorder="1" applyAlignment="1" applyProtection="1">
      <alignment horizontal="center" vertical="center"/>
    </xf>
    <xf numFmtId="0" fontId="50" fillId="0" borderId="0" xfId="0" applyFont="1" applyFill="1" applyAlignment="1" applyProtection="1">
      <alignment vertical="center"/>
    </xf>
    <xf numFmtId="0" fontId="7" fillId="0" borderId="10" xfId="0" applyFont="1" applyFill="1" applyBorder="1" applyAlignment="1" applyProtection="1">
      <alignment horizontal="center"/>
    </xf>
    <xf numFmtId="0" fontId="7" fillId="0" borderId="12" xfId="0" applyFont="1" applyFill="1" applyBorder="1" applyAlignment="1" applyProtection="1">
      <alignment horizontal="center" vertical="center"/>
    </xf>
    <xf numFmtId="0" fontId="7" fillId="0" borderId="13" xfId="0" applyFont="1" applyFill="1" applyBorder="1" applyAlignment="1" applyProtection="1">
      <alignment horizontal="center" wrapText="1"/>
    </xf>
    <xf numFmtId="0" fontId="3" fillId="0" borderId="0" xfId="0" quotePrefix="1" applyFont="1" applyFill="1" applyAlignment="1" applyProtection="1">
      <alignment horizontal="right" vertical="center"/>
    </xf>
    <xf numFmtId="0" fontId="2" fillId="0" borderId="0" xfId="0" applyFont="1" applyFill="1" applyAlignment="1" applyProtection="1">
      <alignment horizontal="right" vertical="center"/>
    </xf>
    <xf numFmtId="0" fontId="0" fillId="0" borderId="0" xfId="0" applyAlignment="1" applyProtection="1">
      <alignment horizontal="right"/>
    </xf>
    <xf numFmtId="0" fontId="6" fillId="0" borderId="0" xfId="0" applyFont="1" applyAlignment="1" applyProtection="1"/>
    <xf numFmtId="0" fontId="9" fillId="0" borderId="0" xfId="0" applyFont="1" applyAlignment="1" applyProtection="1">
      <alignment vertical="center"/>
    </xf>
    <xf numFmtId="0" fontId="9" fillId="0" borderId="0" xfId="0" applyFont="1" applyFill="1" applyBorder="1" applyAlignment="1" applyProtection="1">
      <alignment horizontal="right" vertical="center"/>
    </xf>
    <xf numFmtId="0" fontId="9" fillId="0" borderId="0" xfId="0" applyFont="1" applyFill="1" applyAlignment="1" applyProtection="1">
      <alignment horizontal="left" vertical="center"/>
    </xf>
    <xf numFmtId="0" fontId="7" fillId="0" borderId="0" xfId="0" applyFont="1" applyFill="1" applyBorder="1" applyAlignment="1" applyProtection="1">
      <alignment horizontal="center" vertical="center" wrapText="1"/>
    </xf>
    <xf numFmtId="0" fontId="3" fillId="0" borderId="13" xfId="0" applyFont="1" applyFill="1" applyBorder="1" applyAlignment="1" applyProtection="1">
      <alignment horizontal="left" vertical="center" wrapText="1"/>
    </xf>
    <xf numFmtId="0" fontId="13" fillId="0" borderId="0" xfId="0" applyFont="1" applyFill="1" applyBorder="1" applyAlignment="1" applyProtection="1">
      <alignment horizontal="left" vertical="center"/>
    </xf>
    <xf numFmtId="0" fontId="0" fillId="0" borderId="0" xfId="0" applyFill="1" applyProtection="1"/>
    <xf numFmtId="177" fontId="11" fillId="0" borderId="0" xfId="0" applyNumberFormat="1" applyFont="1" applyAlignment="1" applyProtection="1">
      <alignment horizontal="center"/>
    </xf>
    <xf numFmtId="0" fontId="0" fillId="0" borderId="19" xfId="0" applyBorder="1" applyAlignment="1" applyProtection="1">
      <alignment horizontal="center"/>
    </xf>
    <xf numFmtId="177" fontId="11" fillId="0" borderId="19" xfId="0" applyNumberFormat="1" applyFont="1" applyBorder="1" applyAlignment="1" applyProtection="1">
      <alignment horizontal="center"/>
    </xf>
    <xf numFmtId="0" fontId="0" fillId="0" borderId="0" xfId="0" applyFill="1" applyBorder="1" applyAlignment="1" applyProtection="1">
      <alignment horizontal="center"/>
    </xf>
    <xf numFmtId="177" fontId="11" fillId="0" borderId="0" xfId="0" applyNumberFormat="1" applyFont="1" applyBorder="1" applyAlignment="1" applyProtection="1">
      <alignment horizontal="center"/>
    </xf>
    <xf numFmtId="8" fontId="11" fillId="0" borderId="0" xfId="0" applyNumberFormat="1" applyFont="1" applyBorder="1" applyAlignment="1" applyProtection="1">
      <alignment horizontal="center"/>
    </xf>
    <xf numFmtId="0" fontId="0" fillId="0" borderId="20" xfId="0" applyFill="1" applyBorder="1" applyAlignment="1" applyProtection="1">
      <alignment horizontal="center"/>
    </xf>
    <xf numFmtId="177" fontId="11" fillId="0" borderId="20" xfId="0" applyNumberFormat="1" applyFont="1" applyBorder="1" applyAlignment="1" applyProtection="1">
      <alignment horizontal="center"/>
    </xf>
    <xf numFmtId="0" fontId="0" fillId="0" borderId="0" xfId="0" applyFill="1" applyAlignment="1" applyProtection="1">
      <alignment horizontal="center"/>
    </xf>
    <xf numFmtId="8" fontId="0" fillId="0" borderId="0" xfId="0" applyNumberFormat="1" applyProtection="1"/>
    <xf numFmtId="0" fontId="0" fillId="0" borderId="19" xfId="0" applyFill="1" applyBorder="1" applyAlignment="1" applyProtection="1">
      <alignment horizontal="center"/>
    </xf>
    <xf numFmtId="0" fontId="4" fillId="0" borderId="0" xfId="0" applyFont="1" applyFill="1" applyAlignment="1" applyProtection="1">
      <alignment horizontal="center"/>
    </xf>
    <xf numFmtId="0" fontId="60" fillId="0" borderId="0" xfId="0" applyFont="1" applyAlignment="1" applyProtection="1">
      <alignment horizontal="center"/>
    </xf>
    <xf numFmtId="0" fontId="60" fillId="0" borderId="0" xfId="0" applyFont="1" applyAlignment="1" applyProtection="1">
      <alignment horizontal="right"/>
    </xf>
    <xf numFmtId="0" fontId="0" fillId="0" borderId="0" xfId="0" applyFill="1" applyAlignment="1" applyProtection="1"/>
    <xf numFmtId="0" fontId="0" fillId="0" borderId="0" xfId="0" applyBorder="1" applyAlignment="1" applyProtection="1">
      <alignment horizontal="center"/>
    </xf>
    <xf numFmtId="0" fontId="0" fillId="0" borderId="20" xfId="0" applyBorder="1" applyAlignment="1" applyProtection="1">
      <alignment horizontal="center"/>
    </xf>
    <xf numFmtId="0" fontId="0" fillId="0" borderId="20" xfId="0" applyBorder="1" applyProtection="1"/>
    <xf numFmtId="8" fontId="0" fillId="0" borderId="20" xfId="0" applyNumberFormat="1" applyBorder="1" applyProtection="1"/>
    <xf numFmtId="0" fontId="0" fillId="0" borderId="21" xfId="0" applyBorder="1" applyAlignment="1" applyProtection="1">
      <alignment horizontal="center"/>
    </xf>
    <xf numFmtId="8" fontId="0" fillId="0" borderId="21" xfId="0" applyNumberFormat="1" applyBorder="1" applyProtection="1"/>
    <xf numFmtId="0" fontId="0" fillId="0" borderId="21" xfId="0" applyFill="1" applyBorder="1" applyAlignment="1" applyProtection="1">
      <alignment horizontal="center"/>
    </xf>
    <xf numFmtId="0" fontId="7" fillId="0" borderId="0" xfId="0" applyFont="1" applyBorder="1" applyAlignment="1" applyProtection="1">
      <alignment wrapText="1"/>
    </xf>
    <xf numFmtId="8" fontId="11" fillId="0" borderId="0" xfId="0" applyNumberFormat="1" applyFont="1" applyAlignment="1" applyProtection="1">
      <alignment horizontal="center"/>
    </xf>
    <xf numFmtId="170" fontId="7" fillId="0" borderId="13" xfId="0" applyNumberFormat="1" applyFont="1" applyBorder="1" applyAlignment="1" applyProtection="1">
      <alignment horizontal="center" vertical="center"/>
    </xf>
    <xf numFmtId="0" fontId="7" fillId="0" borderId="13" xfId="0" applyFont="1" applyBorder="1" applyAlignment="1" applyProtection="1">
      <alignment horizontal="center" vertical="center" wrapText="1"/>
    </xf>
    <xf numFmtId="8" fontId="11" fillId="0" borderId="20" xfId="0" applyNumberFormat="1" applyFont="1" applyBorder="1" applyAlignment="1" applyProtection="1">
      <alignment horizontal="center"/>
    </xf>
    <xf numFmtId="8" fontId="11" fillId="0" borderId="19" xfId="0" applyNumberFormat="1" applyFont="1" applyBorder="1" applyAlignment="1" applyProtection="1">
      <alignment horizontal="center"/>
    </xf>
    <xf numFmtId="8" fontId="0" fillId="0" borderId="0" xfId="0" applyNumberFormat="1" applyFill="1" applyAlignment="1" applyProtection="1">
      <alignment horizontal="center"/>
    </xf>
    <xf numFmtId="8" fontId="0" fillId="0" borderId="0" xfId="0" applyNumberFormat="1" applyAlignment="1" applyProtection="1">
      <alignment horizontal="center"/>
    </xf>
    <xf numFmtId="8" fontId="11" fillId="0" borderId="0" xfId="0" applyNumberFormat="1" applyFont="1" applyFill="1" applyAlignment="1" applyProtection="1">
      <alignment horizontal="center"/>
    </xf>
    <xf numFmtId="0" fontId="3" fillId="0" borderId="0" xfId="0" applyFont="1" applyFill="1" applyBorder="1" applyAlignment="1" applyProtection="1">
      <alignment horizontal="center" vertical="top"/>
    </xf>
    <xf numFmtId="0" fontId="6" fillId="0" borderId="0" xfId="0" applyFont="1" applyFill="1" applyBorder="1" applyAlignment="1" applyProtection="1">
      <alignment vertical="top"/>
    </xf>
    <xf numFmtId="0" fontId="13" fillId="0" borderId="0" xfId="0" applyFont="1" applyFill="1" applyBorder="1" applyAlignment="1" applyProtection="1">
      <alignment vertical="center"/>
    </xf>
    <xf numFmtId="0" fontId="18" fillId="0" borderId="0" xfId="0" applyFont="1" applyAlignment="1" applyProtection="1">
      <alignment vertical="center"/>
    </xf>
    <xf numFmtId="0" fontId="3" fillId="0" borderId="0" xfId="0" applyFont="1" applyFill="1" applyBorder="1" applyAlignment="1" applyProtection="1">
      <alignment horizontal="right" vertical="top"/>
    </xf>
    <xf numFmtId="0" fontId="7" fillId="6" borderId="3" xfId="0" applyFont="1" applyFill="1" applyBorder="1" applyAlignment="1" applyProtection="1">
      <alignment horizontal="center" vertical="center"/>
    </xf>
    <xf numFmtId="3" fontId="0" fillId="5" borderId="3" xfId="0" applyNumberFormat="1" applyFill="1" applyBorder="1" applyAlignment="1" applyProtection="1">
      <alignment horizontal="center"/>
      <protection locked="0"/>
    </xf>
    <xf numFmtId="10" fontId="0" fillId="5" borderId="3" xfId="0" applyNumberFormat="1" applyFill="1" applyBorder="1" applyAlignment="1" applyProtection="1">
      <alignment horizontal="center"/>
      <protection locked="0"/>
    </xf>
    <xf numFmtId="177" fontId="0" fillId="5" borderId="3" xfId="0" applyNumberFormat="1" applyFill="1" applyBorder="1" applyProtection="1">
      <protection locked="0"/>
    </xf>
    <xf numFmtId="166" fontId="0" fillId="5" borderId="3" xfId="0" applyNumberFormat="1" applyFill="1" applyBorder="1" applyAlignment="1" applyProtection="1">
      <alignment horizontal="center"/>
      <protection locked="0"/>
    </xf>
    <xf numFmtId="170" fontId="60" fillId="0" borderId="0" xfId="0" applyNumberFormat="1" applyFont="1" applyAlignment="1" applyProtection="1">
      <alignment horizontal="center"/>
    </xf>
    <xf numFmtId="0" fontId="11" fillId="0" borderId="14" xfId="0" applyFont="1" applyFill="1" applyBorder="1" applyProtection="1"/>
    <xf numFmtId="0" fontId="0" fillId="0" borderId="7" xfId="0" applyBorder="1" applyAlignment="1" applyProtection="1">
      <alignment horizontal="center"/>
    </xf>
    <xf numFmtId="0" fontId="25" fillId="0" borderId="0" xfId="0" applyFont="1" applyFill="1" applyAlignment="1" applyProtection="1"/>
    <xf numFmtId="166" fontId="0" fillId="0" borderId="0" xfId="0" applyNumberFormat="1" applyAlignment="1" applyProtection="1">
      <alignment horizontal="center"/>
    </xf>
    <xf numFmtId="0" fontId="26" fillId="0" borderId="0" xfId="0" applyFont="1" applyAlignment="1" applyProtection="1">
      <alignment vertical="center" wrapText="1"/>
    </xf>
    <xf numFmtId="8" fontId="0" fillId="0" borderId="0" xfId="0" applyNumberFormat="1" applyFill="1" applyProtection="1"/>
    <xf numFmtId="8" fontId="11" fillId="0" borderId="0" xfId="0" applyNumberFormat="1" applyFont="1" applyAlignment="1" applyProtection="1"/>
    <xf numFmtId="170" fontId="7" fillId="0" borderId="0" xfId="0" applyNumberFormat="1" applyFont="1" applyAlignment="1" applyProtection="1">
      <alignment horizontal="center"/>
    </xf>
    <xf numFmtId="170" fontId="7" fillId="0" borderId="7" xfId="0" applyNumberFormat="1" applyFont="1" applyBorder="1" applyAlignment="1" applyProtection="1">
      <alignment horizontal="center"/>
    </xf>
    <xf numFmtId="0" fontId="18" fillId="0" borderId="0" xfId="0" applyFont="1" applyAlignment="1" applyProtection="1">
      <alignment horizontal="center"/>
    </xf>
    <xf numFmtId="0" fontId="18" fillId="0" borderId="7" xfId="0" applyFont="1" applyBorder="1" applyAlignment="1" applyProtection="1">
      <alignment horizontal="center"/>
    </xf>
    <xf numFmtId="0" fontId="18" fillId="0" borderId="19" xfId="0" applyFont="1" applyBorder="1" applyAlignment="1" applyProtection="1">
      <alignment horizontal="center"/>
    </xf>
    <xf numFmtId="0" fontId="18" fillId="0" borderId="26" xfId="0" applyFont="1" applyBorder="1" applyAlignment="1" applyProtection="1">
      <alignment horizontal="center"/>
    </xf>
    <xf numFmtId="0" fontId="18" fillId="0" borderId="0" xfId="0" applyFont="1" applyFill="1" applyBorder="1" applyAlignment="1" applyProtection="1">
      <alignment horizontal="center"/>
    </xf>
    <xf numFmtId="0" fontId="18" fillId="0" borderId="20" xfId="0" applyFont="1" applyFill="1" applyBorder="1" applyAlignment="1" applyProtection="1">
      <alignment horizontal="center"/>
    </xf>
    <xf numFmtId="0" fontId="18" fillId="0" borderId="27" xfId="0" applyFont="1" applyBorder="1" applyAlignment="1" applyProtection="1">
      <alignment horizontal="center"/>
    </xf>
    <xf numFmtId="0" fontId="18" fillId="0" borderId="0" xfId="0" applyFont="1" applyFill="1" applyAlignment="1" applyProtection="1">
      <alignment horizontal="center"/>
    </xf>
    <xf numFmtId="0" fontId="18" fillId="0" borderId="19" xfId="0" applyFont="1" applyFill="1" applyBorder="1" applyAlignment="1" applyProtection="1">
      <alignment horizontal="center"/>
    </xf>
    <xf numFmtId="0" fontId="25" fillId="0" borderId="0" xfId="0" applyFont="1" applyAlignment="1" applyProtection="1"/>
    <xf numFmtId="0" fontId="60" fillId="0" borderId="0" xfId="0" applyFont="1" applyFill="1" applyAlignment="1" applyProtection="1">
      <alignment horizontal="center"/>
    </xf>
    <xf numFmtId="0" fontId="0" fillId="0" borderId="21" xfId="0" applyBorder="1" applyProtection="1"/>
    <xf numFmtId="8" fontId="0" fillId="0" borderId="0" xfId="0" applyNumberFormat="1" applyFill="1" applyAlignment="1" applyProtection="1"/>
    <xf numFmtId="0" fontId="0" fillId="0" borderId="21" xfId="0" applyFill="1" applyBorder="1" applyProtection="1"/>
    <xf numFmtId="0" fontId="7" fillId="0" borderId="0" xfId="0" applyFont="1" applyProtection="1"/>
    <xf numFmtId="0" fontId="7" fillId="0" borderId="13" xfId="0" applyFont="1" applyFill="1" applyBorder="1" applyAlignment="1" applyProtection="1">
      <alignment horizontal="center"/>
    </xf>
    <xf numFmtId="0" fontId="7" fillId="0" borderId="13" xfId="0" applyFont="1" applyBorder="1" applyAlignment="1" applyProtection="1">
      <alignment horizontal="center"/>
    </xf>
    <xf numFmtId="0" fontId="0" fillId="0" borderId="28" xfId="0" applyBorder="1" applyProtection="1"/>
    <xf numFmtId="0" fontId="11" fillId="0" borderId="29" xfId="0" applyFont="1" applyFill="1" applyBorder="1" applyProtection="1"/>
    <xf numFmtId="0" fontId="11" fillId="0" borderId="22" xfId="0" applyFont="1" applyFill="1" applyBorder="1" applyProtection="1"/>
    <xf numFmtId="0" fontId="0" fillId="0" borderId="30" xfId="0" applyBorder="1" applyProtection="1"/>
    <xf numFmtId="0" fontId="11" fillId="0" borderId="31" xfId="0" applyFont="1" applyFill="1" applyBorder="1" applyProtection="1"/>
    <xf numFmtId="0" fontId="11" fillId="0" borderId="17" xfId="0" applyFont="1" applyFill="1" applyBorder="1" applyProtection="1"/>
    <xf numFmtId="0" fontId="11" fillId="0" borderId="32" xfId="0" applyFont="1" applyFill="1" applyBorder="1" applyProtection="1"/>
    <xf numFmtId="0" fontId="0" fillId="0" borderId="33" xfId="0" applyBorder="1" applyProtection="1"/>
    <xf numFmtId="0" fontId="11" fillId="0" borderId="34" xfId="0" applyFont="1" applyFill="1" applyBorder="1" applyProtection="1"/>
    <xf numFmtId="0" fontId="11" fillId="0" borderId="18" xfId="0" applyFont="1" applyFill="1" applyBorder="1" applyProtection="1"/>
    <xf numFmtId="0" fontId="28" fillId="0" borderId="0" xfId="0" applyFont="1" applyProtection="1"/>
    <xf numFmtId="8" fontId="18" fillId="0" borderId="0" xfId="0" applyNumberFormat="1" applyFont="1" applyAlignment="1" applyProtection="1">
      <alignment horizontal="center"/>
    </xf>
    <xf numFmtId="8" fontId="18" fillId="0" borderId="0" xfId="0" applyNumberFormat="1" applyFont="1" applyFill="1" applyAlignment="1" applyProtection="1">
      <alignment horizontal="center"/>
    </xf>
    <xf numFmtId="8" fontId="18" fillId="0" borderId="20" xfId="0" applyNumberFormat="1" applyFont="1" applyBorder="1" applyAlignment="1" applyProtection="1">
      <alignment horizontal="center"/>
    </xf>
    <xf numFmtId="8" fontId="18" fillId="0" borderId="19" xfId="0" applyNumberFormat="1" applyFont="1" applyBorder="1" applyAlignment="1" applyProtection="1">
      <alignment horizontal="center"/>
    </xf>
    <xf numFmtId="8" fontId="18" fillId="0" borderId="0" xfId="0" applyNumberFormat="1" applyFont="1" applyBorder="1" applyAlignment="1" applyProtection="1">
      <alignment horizontal="center"/>
    </xf>
    <xf numFmtId="177" fontId="0" fillId="5" borderId="3" xfId="0" applyNumberFormat="1" applyFill="1" applyBorder="1" applyAlignment="1" applyProtection="1">
      <alignment horizontal="center" vertical="center"/>
      <protection locked="0"/>
    </xf>
    <xf numFmtId="8" fontId="33" fillId="0" borderId="0" xfId="0" applyNumberFormat="1" applyFont="1" applyAlignment="1" applyProtection="1">
      <alignment vertical="center"/>
    </xf>
    <xf numFmtId="8" fontId="33" fillId="0" borderId="0" xfId="0" applyNumberFormat="1" applyFont="1" applyAlignment="1" applyProtection="1">
      <alignment horizontal="right" vertical="center"/>
    </xf>
    <xf numFmtId="10" fontId="0" fillId="0" borderId="0" xfId="0" applyNumberFormat="1" applyFill="1" applyAlignment="1" applyProtection="1">
      <alignment horizontal="center" vertical="center"/>
    </xf>
    <xf numFmtId="10" fontId="0" fillId="5" borderId="3" xfId="0" applyNumberFormat="1" applyFill="1" applyBorder="1" applyAlignment="1" applyProtection="1">
      <alignment horizontal="center" vertical="center"/>
      <protection locked="0"/>
    </xf>
    <xf numFmtId="3" fontId="0" fillId="5" borderId="3" xfId="0" applyNumberFormat="1" applyFill="1" applyBorder="1" applyAlignment="1" applyProtection="1">
      <alignment horizontal="center" vertical="center"/>
      <protection locked="0"/>
    </xf>
    <xf numFmtId="8" fontId="0" fillId="0" borderId="0" xfId="0" applyNumberFormat="1" applyFill="1" applyAlignment="1" applyProtection="1">
      <alignment horizontal="center" vertical="center"/>
    </xf>
    <xf numFmtId="8" fontId="0" fillId="0" borderId="0" xfId="0" applyNumberFormat="1" applyAlignment="1" applyProtection="1">
      <alignment horizontal="center" vertical="center"/>
    </xf>
    <xf numFmtId="39" fontId="11" fillId="0" borderId="0" xfId="1" applyNumberFormat="1" applyFont="1" applyFill="1" applyBorder="1" applyAlignment="1" applyProtection="1">
      <alignment horizontal="right"/>
    </xf>
    <xf numFmtId="39" fontId="11" fillId="0" borderId="14" xfId="1" applyNumberFormat="1" applyFont="1" applyFill="1" applyBorder="1" applyAlignment="1" applyProtection="1">
      <alignment horizontal="right"/>
    </xf>
    <xf numFmtId="164" fontId="11" fillId="0" borderId="16" xfId="1" applyNumberFormat="1" applyFont="1" applyFill="1" applyBorder="1" applyAlignment="1" applyProtection="1">
      <alignment horizontal="right" vertical="center"/>
    </xf>
    <xf numFmtId="164" fontId="11" fillId="0" borderId="17" xfId="1" applyNumberFormat="1" applyFont="1" applyFill="1" applyBorder="1" applyAlignment="1" applyProtection="1">
      <alignment horizontal="right" vertical="center"/>
    </xf>
    <xf numFmtId="164" fontId="11" fillId="0" borderId="3" xfId="1" applyNumberFormat="1" applyFont="1" applyFill="1" applyBorder="1" applyAlignment="1" applyProtection="1">
      <alignment horizontal="right" vertical="center"/>
    </xf>
    <xf numFmtId="164" fontId="11" fillId="0" borderId="22" xfId="1" applyNumberFormat="1" applyFont="1" applyFill="1" applyBorder="1" applyAlignment="1" applyProtection="1">
      <alignment horizontal="right" vertical="center"/>
    </xf>
    <xf numFmtId="164" fontId="11" fillId="0" borderId="18" xfId="1" applyNumberFormat="1" applyFont="1" applyFill="1" applyBorder="1" applyAlignment="1" applyProtection="1">
      <alignment horizontal="right" vertical="center"/>
    </xf>
    <xf numFmtId="0" fontId="3" fillId="0" borderId="7" xfId="0" applyFont="1" applyFill="1" applyBorder="1" applyAlignment="1" applyProtection="1">
      <alignment vertical="center" wrapText="1"/>
    </xf>
    <xf numFmtId="38" fontId="7" fillId="0" borderId="0" xfId="0" applyNumberFormat="1" applyFont="1" applyFill="1" applyAlignment="1" applyProtection="1">
      <alignment horizontal="center" vertical="center"/>
    </xf>
    <xf numFmtId="0" fontId="61" fillId="0" borderId="0" xfId="0" applyFont="1" applyFill="1" applyBorder="1" applyAlignment="1" applyProtection="1">
      <alignment horizontal="left" vertical="center"/>
    </xf>
    <xf numFmtId="0" fontId="49" fillId="0" borderId="0" xfId="0" applyFont="1" applyFill="1" applyAlignment="1" applyProtection="1">
      <alignment vertical="center"/>
    </xf>
    <xf numFmtId="0" fontId="49" fillId="0" borderId="0" xfId="0" applyFont="1" applyFill="1" applyBorder="1" applyAlignment="1" applyProtection="1">
      <alignment horizontal="left" vertical="center"/>
    </xf>
    <xf numFmtId="0" fontId="53" fillId="0" borderId="0" xfId="0" applyFont="1" applyProtection="1"/>
    <xf numFmtId="0" fontId="55" fillId="0" borderId="0" xfId="0" applyFont="1" applyAlignment="1" applyProtection="1">
      <alignment vertical="center"/>
    </xf>
    <xf numFmtId="0" fontId="55" fillId="0" borderId="0" xfId="0" applyFont="1" applyAlignment="1" applyProtection="1">
      <alignment horizontal="right" vertical="center"/>
    </xf>
    <xf numFmtId="0" fontId="55" fillId="0" borderId="0" xfId="0" applyFont="1" applyAlignment="1" applyProtection="1">
      <alignment horizontal="left" vertical="center"/>
    </xf>
    <xf numFmtId="0" fontId="55" fillId="0" borderId="0" xfId="0" applyFont="1" applyProtection="1"/>
    <xf numFmtId="0" fontId="56" fillId="0" borderId="0" xfId="0" applyFont="1" applyAlignment="1" applyProtection="1">
      <alignment vertical="center"/>
    </xf>
    <xf numFmtId="3" fontId="50" fillId="0" borderId="3" xfId="10" applyNumberFormat="1" applyFont="1" applyBorder="1" applyAlignment="1" applyProtection="1">
      <alignment horizontal="center" vertical="center"/>
    </xf>
    <xf numFmtId="0" fontId="55" fillId="0" borderId="0" xfId="0" applyFont="1" applyAlignment="1" applyProtection="1">
      <alignment horizontal="center"/>
    </xf>
    <xf numFmtId="0" fontId="50" fillId="0" borderId="0" xfId="0" applyFont="1" applyAlignment="1" applyProtection="1">
      <alignment vertical="center" wrapText="1"/>
    </xf>
    <xf numFmtId="0" fontId="50" fillId="0" borderId="0" xfId="0" applyFont="1" applyAlignment="1" applyProtection="1">
      <alignment horizontal="center"/>
    </xf>
    <xf numFmtId="0" fontId="50" fillId="0" borderId="0" xfId="0" applyFont="1" applyAlignment="1" applyProtection="1">
      <alignment horizontal="center" vertical="center"/>
    </xf>
    <xf numFmtId="3" fontId="50" fillId="0" borderId="0" xfId="10" applyNumberFormat="1" applyFont="1" applyBorder="1" applyAlignment="1" applyProtection="1">
      <alignment horizontal="center" vertical="center"/>
    </xf>
    <xf numFmtId="38" fontId="50" fillId="0" borderId="3" xfId="0" applyNumberFormat="1" applyFont="1" applyBorder="1" applyAlignment="1" applyProtection="1">
      <alignment horizontal="center" vertical="center"/>
    </xf>
    <xf numFmtId="38" fontId="57" fillId="0" borderId="0" xfId="0" applyNumberFormat="1" applyFont="1" applyBorder="1" applyAlignment="1" applyProtection="1">
      <alignment horizontal="center" vertical="center"/>
    </xf>
    <xf numFmtId="38" fontId="50" fillId="0" borderId="0" xfId="0" applyNumberFormat="1" applyFont="1" applyBorder="1" applyAlignment="1" applyProtection="1">
      <alignment horizontal="center" vertical="center"/>
    </xf>
    <xf numFmtId="0" fontId="50" fillId="0" borderId="3" xfId="0" applyFont="1" applyBorder="1" applyAlignment="1" applyProtection="1">
      <alignment horizontal="center" vertical="center"/>
    </xf>
    <xf numFmtId="0" fontId="50" fillId="0" borderId="0" xfId="0" applyFont="1" applyProtection="1"/>
    <xf numFmtId="164" fontId="50" fillId="0" borderId="3" xfId="1" applyNumberFormat="1" applyFont="1" applyBorder="1" applyAlignment="1" applyProtection="1">
      <alignment horizontal="center" vertical="center"/>
    </xf>
    <xf numFmtId="9" fontId="50" fillId="0" borderId="3" xfId="10" applyFont="1" applyBorder="1" applyAlignment="1" applyProtection="1">
      <alignment horizontal="center" vertical="center"/>
    </xf>
    <xf numFmtId="0" fontId="50" fillId="0" borderId="3" xfId="0" applyNumberFormat="1" applyFont="1" applyBorder="1" applyAlignment="1" applyProtection="1">
      <alignment horizontal="center" vertical="center"/>
    </xf>
    <xf numFmtId="0" fontId="58" fillId="0" borderId="0" xfId="0" applyFont="1" applyBorder="1" applyAlignment="1" applyProtection="1">
      <alignment vertical="center"/>
    </xf>
    <xf numFmtId="0" fontId="58" fillId="0" borderId="3" xfId="0" applyFont="1" applyBorder="1" applyAlignment="1" applyProtection="1">
      <alignment horizontal="center" vertical="top" wrapText="1"/>
    </xf>
    <xf numFmtId="9" fontId="58" fillId="0" borderId="3" xfId="0" applyNumberFormat="1" applyFont="1" applyBorder="1" applyAlignment="1" applyProtection="1">
      <alignment horizontal="center" vertical="top" wrapText="1"/>
    </xf>
    <xf numFmtId="0" fontId="58" fillId="0" borderId="0" xfId="0" applyFont="1" applyBorder="1" applyAlignment="1" applyProtection="1">
      <alignment vertical="top" wrapText="1"/>
    </xf>
    <xf numFmtId="0" fontId="49" fillId="0" borderId="0" xfId="0" applyFont="1" applyFill="1" applyAlignment="1" applyProtection="1">
      <alignment horizontal="left" vertical="center"/>
    </xf>
    <xf numFmtId="0" fontId="29" fillId="0" borderId="0" xfId="0" applyFont="1" applyFill="1" applyAlignment="1" applyProtection="1">
      <alignment vertical="center"/>
    </xf>
    <xf numFmtId="3" fontId="29" fillId="0" borderId="0" xfId="0" applyNumberFormat="1" applyFont="1" applyFill="1" applyAlignment="1" applyProtection="1">
      <alignment horizontal="center"/>
    </xf>
    <xf numFmtId="0" fontId="50" fillId="0" borderId="0" xfId="0" applyFont="1" applyAlignment="1" applyProtection="1">
      <alignment horizontal="left" vertical="center"/>
    </xf>
    <xf numFmtId="0" fontId="50" fillId="0" borderId="0" xfId="0" applyFont="1" applyFill="1" applyBorder="1" applyAlignment="1" applyProtection="1">
      <alignment horizontal="center" vertical="center"/>
    </xf>
    <xf numFmtId="0" fontId="50" fillId="0" borderId="13" xfId="0" applyFont="1" applyFill="1" applyBorder="1" applyAlignment="1" applyProtection="1">
      <alignment vertical="center"/>
    </xf>
    <xf numFmtId="0" fontId="50" fillId="0" borderId="0" xfId="0" applyFont="1" applyFill="1" applyBorder="1" applyAlignment="1" applyProtection="1">
      <alignment horizontal="right" vertical="center"/>
    </xf>
    <xf numFmtId="0" fontId="53" fillId="0" borderId="0" xfId="0" applyFont="1" applyFill="1" applyAlignment="1" applyProtection="1">
      <alignment vertical="center"/>
    </xf>
    <xf numFmtId="0" fontId="61" fillId="0" borderId="0" xfId="0" applyFont="1" applyFill="1" applyBorder="1" applyAlignment="1" applyProtection="1">
      <alignment horizontal="center" vertical="center"/>
    </xf>
    <xf numFmtId="0" fontId="61" fillId="5" borderId="3" xfId="0" applyFont="1" applyFill="1" applyBorder="1" applyAlignment="1" applyProtection="1">
      <alignment horizontal="center" vertical="center"/>
    </xf>
    <xf numFmtId="0" fontId="61" fillId="0" borderId="0" xfId="0" applyFont="1" applyFill="1" applyAlignment="1" applyProtection="1">
      <alignment vertical="center"/>
    </xf>
    <xf numFmtId="0" fontId="61" fillId="6" borderId="3" xfId="0" applyFont="1" applyFill="1" applyBorder="1" applyAlignment="1" applyProtection="1">
      <alignment horizontal="center" vertical="center"/>
    </xf>
    <xf numFmtId="0" fontId="53" fillId="0" borderId="0" xfId="0" applyFont="1" applyFill="1" applyAlignment="1" applyProtection="1">
      <alignment horizontal="centerContinuous" vertical="center"/>
    </xf>
    <xf numFmtId="0" fontId="53" fillId="0" borderId="0" xfId="0" applyFont="1" applyFill="1" applyAlignment="1" applyProtection="1">
      <alignment horizontal="left" vertical="center"/>
    </xf>
    <xf numFmtId="0" fontId="61" fillId="0" borderId="0" xfId="0" applyFont="1" applyFill="1" applyAlignment="1" applyProtection="1">
      <alignment horizontal="left" vertical="center"/>
    </xf>
    <xf numFmtId="0" fontId="53" fillId="0" borderId="0" xfId="0" applyFont="1" applyFill="1" applyBorder="1" applyAlignment="1" applyProtection="1">
      <alignment horizontal="right" vertical="center"/>
    </xf>
    <xf numFmtId="0" fontId="53" fillId="0" borderId="0" xfId="0" applyFont="1" applyFill="1" applyBorder="1" applyAlignment="1" applyProtection="1">
      <alignment horizontal="centerContinuous" vertical="center"/>
    </xf>
    <xf numFmtId="0" fontId="53" fillId="0" borderId="0" xfId="0" applyFont="1" applyFill="1" applyBorder="1" applyProtection="1"/>
    <xf numFmtId="0" fontId="53" fillId="0" borderId="0" xfId="0" applyNumberFormat="1" applyFont="1" applyFill="1" applyBorder="1" applyAlignment="1" applyProtection="1">
      <alignment horizontal="center" vertical="center"/>
    </xf>
    <xf numFmtId="0" fontId="61" fillId="0" borderId="0" xfId="0" applyFont="1" applyFill="1" applyBorder="1" applyAlignment="1" applyProtection="1">
      <alignment vertical="center"/>
    </xf>
    <xf numFmtId="0" fontId="61" fillId="0" borderId="0" xfId="0" applyFont="1" applyFill="1" applyAlignment="1" applyProtection="1">
      <alignment horizontal="right" vertical="center"/>
    </xf>
    <xf numFmtId="0" fontId="53" fillId="0" borderId="0" xfId="0" applyFont="1" applyFill="1" applyAlignment="1" applyProtection="1">
      <alignment horizontal="right" vertical="center"/>
    </xf>
    <xf numFmtId="0" fontId="53" fillId="0" borderId="0" xfId="0" quotePrefix="1" applyFont="1" applyFill="1" applyBorder="1" applyAlignment="1" applyProtection="1">
      <alignment horizontal="center" vertical="center"/>
    </xf>
    <xf numFmtId="0" fontId="53" fillId="0" borderId="0" xfId="0" applyNumberFormat="1" applyFont="1" applyFill="1" applyBorder="1" applyAlignment="1" applyProtection="1">
      <alignment horizontal="left" vertical="center"/>
    </xf>
    <xf numFmtId="0" fontId="61" fillId="0" borderId="0" xfId="0" applyFont="1" applyFill="1" applyBorder="1" applyAlignment="1" applyProtection="1">
      <alignment horizontal="center"/>
    </xf>
    <xf numFmtId="0" fontId="53" fillId="0" borderId="0" xfId="0" applyFont="1" applyFill="1" applyBorder="1" applyAlignment="1" applyProtection="1">
      <alignment horizontal="center"/>
    </xf>
    <xf numFmtId="0" fontId="59" fillId="0" borderId="0" xfId="0" applyFont="1" applyFill="1" applyAlignment="1" applyProtection="1">
      <alignment vertical="center"/>
    </xf>
    <xf numFmtId="0" fontId="53" fillId="0" borderId="0" xfId="0" applyFont="1" applyFill="1" applyProtection="1"/>
    <xf numFmtId="1" fontId="53" fillId="0" borderId="3" xfId="1" applyNumberFormat="1" applyFont="1" applyFill="1" applyBorder="1" applyAlignment="1" applyProtection="1">
      <alignment horizontal="center" vertical="center"/>
    </xf>
    <xf numFmtId="0" fontId="53" fillId="0" borderId="0" xfId="1" applyNumberFormat="1" applyFont="1" applyFill="1" applyBorder="1" applyAlignment="1" applyProtection="1">
      <alignment horizontal="left" vertical="center"/>
    </xf>
    <xf numFmtId="0" fontId="61" fillId="0" borderId="0" xfId="0" applyFont="1" applyFill="1" applyBorder="1" applyProtection="1"/>
    <xf numFmtId="3" fontId="53" fillId="0" borderId="3" xfId="1" applyNumberFormat="1" applyFont="1" applyFill="1" applyBorder="1" applyAlignment="1" applyProtection="1">
      <alignment horizontal="center" vertical="center"/>
    </xf>
    <xf numFmtId="0" fontId="53" fillId="0" borderId="0" xfId="0" applyFont="1" applyFill="1" applyBorder="1" applyAlignment="1" applyProtection="1"/>
    <xf numFmtId="0" fontId="61" fillId="0" borderId="0" xfId="0" applyFont="1" applyFill="1" applyBorder="1" applyAlignment="1" applyProtection="1"/>
    <xf numFmtId="0" fontId="53" fillId="0" borderId="0" xfId="0" applyFont="1" applyFill="1" applyBorder="1" applyAlignment="1" applyProtection="1">
      <alignment horizontal="right"/>
    </xf>
    <xf numFmtId="165" fontId="53" fillId="0" borderId="3" xfId="1" applyNumberFormat="1" applyFont="1" applyFill="1" applyBorder="1" applyAlignment="1" applyProtection="1">
      <alignment horizontal="center" vertical="center"/>
    </xf>
    <xf numFmtId="0" fontId="61" fillId="0" borderId="0" xfId="0" applyFont="1" applyFill="1" applyProtection="1"/>
    <xf numFmtId="166" fontId="61" fillId="0" borderId="0" xfId="10" applyNumberFormat="1" applyFont="1" applyFill="1" applyBorder="1" applyAlignment="1" applyProtection="1">
      <alignment horizontal="center" vertical="center"/>
    </xf>
    <xf numFmtId="0" fontId="53" fillId="0" borderId="5" xfId="0" applyFont="1" applyFill="1" applyBorder="1" applyAlignment="1" applyProtection="1">
      <alignment horizontal="center" vertical="center"/>
    </xf>
    <xf numFmtId="0" fontId="53" fillId="0" borderId="0" xfId="0" applyFont="1" applyAlignment="1" applyProtection="1">
      <alignment wrapText="1"/>
    </xf>
    <xf numFmtId="0" fontId="53" fillId="0" borderId="0" xfId="0" applyFont="1" applyAlignment="1" applyProtection="1">
      <alignment horizontal="left" wrapText="1"/>
    </xf>
    <xf numFmtId="0" fontId="53" fillId="0" borderId="0" xfId="0" applyFont="1" applyFill="1" applyBorder="1" applyAlignment="1" applyProtection="1">
      <alignment vertical="top"/>
    </xf>
    <xf numFmtId="9" fontId="53" fillId="0" borderId="3" xfId="1" applyNumberFormat="1" applyFont="1" applyFill="1" applyBorder="1" applyAlignment="1" applyProtection="1">
      <alignment horizontal="center" vertical="center"/>
    </xf>
    <xf numFmtId="0" fontId="53" fillId="0" borderId="11" xfId="0" applyFont="1" applyFill="1" applyBorder="1" applyAlignment="1" applyProtection="1">
      <alignment horizontal="left" vertical="center"/>
    </xf>
    <xf numFmtId="0" fontId="53" fillId="0" borderId="10" xfId="0" applyFont="1" applyFill="1" applyBorder="1" applyAlignment="1" applyProtection="1">
      <alignment horizontal="center" vertical="center"/>
    </xf>
    <xf numFmtId="167" fontId="53" fillId="0" borderId="0" xfId="0" applyNumberFormat="1" applyFont="1" applyFill="1" applyBorder="1" applyAlignment="1" applyProtection="1">
      <alignment horizontal="center" vertical="center"/>
    </xf>
    <xf numFmtId="0" fontId="53" fillId="0" borderId="0" xfId="0" applyFont="1" applyAlignment="1" applyProtection="1">
      <alignment horizontal="center"/>
    </xf>
    <xf numFmtId="10" fontId="61" fillId="0" borderId="3" xfId="10" applyNumberFormat="1" applyFont="1" applyFill="1" applyBorder="1" applyAlignment="1" applyProtection="1">
      <alignment horizontal="center" vertical="center"/>
    </xf>
    <xf numFmtId="0" fontId="53" fillId="0" borderId="0" xfId="0" quotePrefix="1" applyFont="1" applyFill="1" applyBorder="1" applyAlignment="1" applyProtection="1">
      <alignment horizontal="left" vertical="center"/>
    </xf>
    <xf numFmtId="0" fontId="52" fillId="0" borderId="0" xfId="0" applyFont="1" applyFill="1" applyBorder="1" applyAlignment="1" applyProtection="1">
      <alignment vertical="center"/>
    </xf>
    <xf numFmtId="0" fontId="61" fillId="0" borderId="0" xfId="0" applyFont="1" applyFill="1" applyAlignment="1" applyProtection="1"/>
    <xf numFmtId="0" fontId="61" fillId="0" borderId="0" xfId="0" quotePrefix="1" applyFont="1" applyFill="1" applyAlignment="1" applyProtection="1">
      <alignment horizontal="center" vertical="center"/>
    </xf>
    <xf numFmtId="0" fontId="61" fillId="0" borderId="0" xfId="0" applyFont="1" applyFill="1" applyAlignment="1" applyProtection="1">
      <alignment horizontal="right"/>
    </xf>
    <xf numFmtId="0" fontId="61" fillId="0" borderId="0" xfId="0" quotePrefix="1" applyFont="1" applyFill="1" applyAlignment="1" applyProtection="1"/>
    <xf numFmtId="0" fontId="53" fillId="0" borderId="0" xfId="0" applyFont="1" applyFill="1" applyAlignment="1" applyProtection="1"/>
    <xf numFmtId="0" fontId="61" fillId="0" borderId="0" xfId="0" quotePrefix="1" applyFont="1" applyFill="1" applyAlignment="1" applyProtection="1">
      <alignment horizontal="right"/>
    </xf>
    <xf numFmtId="0" fontId="61" fillId="0" borderId="0" xfId="0" quotePrefix="1" applyFont="1" applyFill="1" applyBorder="1" applyAlignment="1" applyProtection="1">
      <alignment horizontal="center" vertical="center"/>
    </xf>
    <xf numFmtId="0" fontId="53" fillId="0" borderId="14" xfId="0" applyFont="1" applyFill="1" applyBorder="1" applyAlignment="1" applyProtection="1">
      <alignment vertical="center"/>
    </xf>
    <xf numFmtId="0" fontId="61" fillId="0" borderId="0" xfId="0" applyNumberFormat="1" applyFont="1" applyFill="1" applyBorder="1" applyAlignment="1" applyProtection="1">
      <alignment horizontal="center" vertical="center"/>
    </xf>
    <xf numFmtId="0" fontId="49" fillId="0" borderId="0" xfId="0" applyFont="1" applyFill="1" applyProtection="1"/>
    <xf numFmtId="0" fontId="52" fillId="0" borderId="0" xfId="0" applyFont="1" applyFill="1" applyAlignment="1" applyProtection="1">
      <alignment vertical="center"/>
    </xf>
    <xf numFmtId="0" fontId="52" fillId="0" borderId="0" xfId="0" applyFont="1" applyFill="1" applyAlignment="1" applyProtection="1">
      <alignment horizontal="center" vertical="center"/>
    </xf>
    <xf numFmtId="0" fontId="52" fillId="0" borderId="0" xfId="0" applyFont="1" applyFill="1" applyAlignment="1" applyProtection="1"/>
    <xf numFmtId="0" fontId="52" fillId="0" borderId="0" xfId="0" applyFont="1" applyFill="1" applyAlignment="1" applyProtection="1">
      <alignment horizontal="left" vertical="center"/>
    </xf>
    <xf numFmtId="0" fontId="52" fillId="0" borderId="0" xfId="0" quotePrefix="1" applyFont="1" applyFill="1" applyAlignment="1" applyProtection="1">
      <alignment horizontal="center" vertical="center"/>
    </xf>
    <xf numFmtId="164" fontId="53" fillId="0" borderId="0" xfId="1" applyNumberFormat="1" applyFont="1" applyFill="1" applyAlignment="1" applyProtection="1">
      <alignment vertical="center"/>
    </xf>
    <xf numFmtId="0" fontId="69" fillId="0" borderId="0" xfId="0" applyFont="1" applyFill="1" applyAlignment="1" applyProtection="1">
      <alignment horizontal="right" vertical="center"/>
    </xf>
    <xf numFmtId="164" fontId="61" fillId="0" borderId="0" xfId="1" applyNumberFormat="1" applyFont="1" applyFill="1" applyAlignment="1" applyProtection="1">
      <alignment horizontal="center" vertical="center"/>
    </xf>
    <xf numFmtId="164" fontId="53" fillId="0" borderId="0" xfId="1" applyNumberFormat="1" applyFont="1" applyFill="1" applyAlignment="1" applyProtection="1">
      <alignment horizontal="center" vertical="center"/>
    </xf>
    <xf numFmtId="164" fontId="69" fillId="0" borderId="0" xfId="1" applyNumberFormat="1" applyFont="1" applyFill="1" applyBorder="1" applyAlignment="1" applyProtection="1">
      <alignment horizontal="right" vertical="center"/>
    </xf>
    <xf numFmtId="10" fontId="53" fillId="0" borderId="0" xfId="0" applyNumberFormat="1" applyFont="1" applyFill="1" applyAlignment="1" applyProtection="1">
      <alignment horizontal="center"/>
    </xf>
    <xf numFmtId="164" fontId="53" fillId="0" borderId="0" xfId="1" applyNumberFormat="1" applyFont="1" applyFill="1" applyAlignment="1" applyProtection="1">
      <alignment horizontal="center"/>
    </xf>
    <xf numFmtId="0" fontId="53" fillId="0" borderId="0" xfId="0" applyFont="1" applyFill="1" applyAlignment="1" applyProtection="1">
      <alignment horizontal="left" vertical="top"/>
    </xf>
    <xf numFmtId="0" fontId="53" fillId="0" borderId="0" xfId="0" applyFont="1" applyBorder="1" applyAlignment="1" applyProtection="1">
      <alignment horizontal="left" vertical="top"/>
    </xf>
    <xf numFmtId="6" fontId="53" fillId="0" borderId="0" xfId="0" applyNumberFormat="1" applyFont="1" applyFill="1" applyBorder="1" applyAlignment="1" applyProtection="1">
      <alignment horizontal="center" vertical="center"/>
    </xf>
    <xf numFmtId="0" fontId="70" fillId="0" borderId="0" xfId="0" applyFont="1" applyFill="1" applyAlignment="1" applyProtection="1">
      <alignment horizontal="right" vertical="center"/>
    </xf>
    <xf numFmtId="164" fontId="53" fillId="0" borderId="0" xfId="1" applyNumberFormat="1" applyFont="1" applyFill="1" applyBorder="1" applyProtection="1"/>
    <xf numFmtId="164" fontId="53" fillId="0" borderId="0" xfId="1" applyNumberFormat="1" applyFont="1" applyFill="1" applyProtection="1"/>
    <xf numFmtId="0" fontId="69" fillId="0" borderId="0" xfId="0" applyFont="1" applyFill="1" applyAlignment="1" applyProtection="1">
      <alignment horizontal="center" vertical="center"/>
    </xf>
    <xf numFmtId="38" fontId="61" fillId="0" borderId="0" xfId="0" applyNumberFormat="1" applyFont="1" applyFill="1" applyBorder="1" applyAlignment="1" applyProtection="1">
      <alignment horizontal="right" vertical="center"/>
    </xf>
    <xf numFmtId="164" fontId="53" fillId="0" borderId="0" xfId="1" applyNumberFormat="1" applyFont="1" applyFill="1" applyBorder="1" applyAlignment="1" applyProtection="1">
      <alignment horizontal="left" vertical="center"/>
    </xf>
    <xf numFmtId="0" fontId="71" fillId="0" borderId="0" xfId="0" applyFont="1" applyFill="1" applyBorder="1" applyAlignment="1" applyProtection="1">
      <alignment horizontal="right" vertical="center"/>
    </xf>
    <xf numFmtId="0" fontId="53" fillId="0" borderId="0" xfId="0" quotePrefix="1" applyFont="1" applyFill="1" applyAlignment="1" applyProtection="1">
      <alignment horizontal="right" vertical="center"/>
    </xf>
    <xf numFmtId="38" fontId="61" fillId="0" borderId="0" xfId="0" applyNumberFormat="1" applyFont="1" applyFill="1" applyBorder="1" applyAlignment="1" applyProtection="1">
      <alignment horizontal="center" vertical="center"/>
    </xf>
    <xf numFmtId="38" fontId="53" fillId="0" borderId="0" xfId="0" applyNumberFormat="1" applyFont="1" applyFill="1" applyBorder="1" applyAlignment="1" applyProtection="1">
      <alignment horizontal="center" vertical="center"/>
    </xf>
    <xf numFmtId="0" fontId="63" fillId="0" borderId="7" xfId="0" applyFont="1" applyFill="1" applyBorder="1" applyAlignment="1" applyProtection="1">
      <alignment horizontal="left" vertical="center"/>
    </xf>
    <xf numFmtId="0" fontId="63" fillId="0" borderId="0" xfId="0" applyFont="1" applyFill="1" applyAlignment="1" applyProtection="1">
      <alignment vertical="center"/>
    </xf>
    <xf numFmtId="0" fontId="53" fillId="0" borderId="0" xfId="0" applyFont="1" applyFill="1" applyAlignment="1" applyProtection="1">
      <alignment horizontal="center"/>
    </xf>
    <xf numFmtId="10" fontId="53" fillId="0" borderId="3" xfId="0" applyNumberFormat="1" applyFont="1" applyFill="1" applyBorder="1" applyAlignment="1" applyProtection="1">
      <alignment horizontal="center" vertical="center"/>
    </xf>
    <xf numFmtId="0" fontId="53" fillId="0" borderId="0" xfId="0" applyFont="1" applyBorder="1" applyAlignment="1" applyProtection="1">
      <alignment vertical="center"/>
    </xf>
    <xf numFmtId="0" fontId="53" fillId="0" borderId="0" xfId="0" applyFont="1" applyFill="1" applyBorder="1" applyAlignment="1" applyProtection="1">
      <alignment vertical="center" wrapText="1"/>
    </xf>
    <xf numFmtId="0" fontId="53" fillId="0" borderId="0" xfId="0" applyFont="1" applyAlignment="1" applyProtection="1">
      <alignment horizontal="center" vertical="center"/>
    </xf>
    <xf numFmtId="0" fontId="63" fillId="0" borderId="0" xfId="0" applyFont="1" applyFill="1" applyAlignment="1" applyProtection="1">
      <alignment horizontal="left" vertical="center"/>
    </xf>
    <xf numFmtId="0" fontId="74" fillId="0" borderId="0" xfId="0" applyFont="1" applyFill="1" applyAlignment="1" applyProtection="1">
      <alignment horizontal="center" vertical="center"/>
    </xf>
    <xf numFmtId="0" fontId="11" fillId="0" borderId="0" xfId="0" applyFont="1" applyFill="1" applyAlignment="1" applyProtection="1">
      <alignment horizontal="centerContinuous" vertical="center"/>
    </xf>
    <xf numFmtId="0" fontId="26" fillId="0" borderId="0" xfId="0" applyFont="1" applyAlignment="1" applyProtection="1">
      <alignment horizontal="center"/>
    </xf>
    <xf numFmtId="0" fontId="13" fillId="0" borderId="0" xfId="0" quotePrefix="1" applyFont="1" applyFill="1" applyAlignment="1" applyProtection="1">
      <alignment horizontal="center" vertical="center"/>
    </xf>
    <xf numFmtId="0" fontId="6" fillId="0" borderId="0" xfId="0" applyFont="1" applyAlignment="1" applyProtection="1">
      <alignment horizontal="right" vertical="center"/>
    </xf>
    <xf numFmtId="0" fontId="78" fillId="0" borderId="0" xfId="0" applyFont="1" applyFill="1" applyProtection="1"/>
    <xf numFmtId="0" fontId="79" fillId="0" borderId="0" xfId="0" applyFont="1" applyFill="1" applyProtection="1"/>
    <xf numFmtId="0" fontId="4" fillId="0" borderId="0" xfId="1" applyNumberFormat="1" applyFont="1" applyFill="1" applyAlignment="1" applyProtection="1">
      <alignment horizontal="center"/>
    </xf>
    <xf numFmtId="0" fontId="4" fillId="0" borderId="0" xfId="1" applyNumberFormat="1" applyFont="1" applyFill="1" applyBorder="1" applyAlignment="1" applyProtection="1">
      <alignment horizontal="center"/>
    </xf>
    <xf numFmtId="0" fontId="81" fillId="0" borderId="0" xfId="0" applyFont="1" applyFill="1" applyBorder="1" applyAlignment="1" applyProtection="1">
      <alignment horizontal="center" vertical="center"/>
    </xf>
    <xf numFmtId="0" fontId="47" fillId="0" borderId="0" xfId="0" applyFont="1" applyBorder="1" applyAlignment="1" applyProtection="1">
      <alignment vertical="center"/>
    </xf>
    <xf numFmtId="0" fontId="50" fillId="0" borderId="0" xfId="9" applyFont="1" applyProtection="1"/>
    <xf numFmtId="0" fontId="50" fillId="0" borderId="0" xfId="9" applyFont="1" applyAlignment="1" applyProtection="1">
      <alignment horizontal="left"/>
    </xf>
    <xf numFmtId="0" fontId="82" fillId="0" borderId="0" xfId="9" applyFont="1" applyAlignment="1" applyProtection="1">
      <alignment horizontal="center"/>
    </xf>
    <xf numFmtId="0" fontId="49" fillId="0" borderId="0" xfId="0" applyFont="1"/>
    <xf numFmtId="0" fontId="83" fillId="0" borderId="0" xfId="0" applyFont="1" applyAlignment="1">
      <alignment horizontal="center"/>
    </xf>
    <xf numFmtId="0" fontId="83" fillId="0" borderId="0" xfId="0" applyFont="1" applyAlignment="1" applyProtection="1">
      <alignment horizontal="center" vertical="center"/>
    </xf>
    <xf numFmtId="9" fontId="50" fillId="0" borderId="0" xfId="10" applyFont="1" applyBorder="1" applyAlignment="1" applyProtection="1">
      <alignment horizontal="center" vertical="center"/>
    </xf>
    <xf numFmtId="0" fontId="13" fillId="0" borderId="0" xfId="0" applyFont="1" applyBorder="1" applyProtection="1"/>
    <xf numFmtId="1" fontId="50" fillId="0" borderId="3" xfId="10" applyNumberFormat="1" applyFont="1" applyBorder="1" applyAlignment="1" applyProtection="1">
      <alignment horizontal="center" vertical="center"/>
    </xf>
    <xf numFmtId="9" fontId="50" fillId="0" borderId="0" xfId="10" applyFont="1" applyBorder="1" applyAlignment="1" applyProtection="1">
      <alignment horizontal="left" vertical="center"/>
    </xf>
    <xf numFmtId="0" fontId="26" fillId="0" borderId="0" xfId="0" applyFont="1" applyAlignment="1" applyProtection="1">
      <alignment horizontal="right" vertical="center"/>
    </xf>
    <xf numFmtId="0" fontId="0" fillId="0" borderId="0" xfId="0" applyAlignment="1" applyProtection="1">
      <alignment horizontal="right" vertical="center"/>
    </xf>
    <xf numFmtId="0" fontId="3" fillId="0" borderId="0" xfId="0" applyFont="1" applyAlignment="1" applyProtection="1">
      <alignment horizontal="right" vertical="center"/>
    </xf>
    <xf numFmtId="0" fontId="6" fillId="0" borderId="0" xfId="0" applyFont="1" applyAlignment="1" applyProtection="1">
      <alignment horizontal="right" vertical="top"/>
    </xf>
    <xf numFmtId="0" fontId="50" fillId="0" borderId="0" xfId="0" applyFont="1" applyFill="1" applyProtection="1"/>
    <xf numFmtId="0" fontId="3" fillId="0" borderId="0" xfId="0" quotePrefix="1" applyFont="1" applyFill="1" applyAlignment="1" applyProtection="1">
      <alignment horizontal="right" vertical="top"/>
    </xf>
    <xf numFmtId="0" fontId="3" fillId="0" borderId="0" xfId="0" applyFont="1" applyFill="1" applyAlignment="1" applyProtection="1">
      <alignment vertical="top"/>
    </xf>
    <xf numFmtId="0" fontId="0" fillId="0" borderId="0" xfId="0" applyAlignment="1" applyProtection="1">
      <alignment vertical="top"/>
    </xf>
    <xf numFmtId="0" fontId="84" fillId="0" borderId="0" xfId="0" applyFont="1" applyFill="1" applyProtection="1"/>
    <xf numFmtId="0" fontId="50" fillId="0" borderId="0" xfId="0" applyFont="1" applyFill="1" applyAlignment="1" applyProtection="1">
      <alignment horizontal="left"/>
    </xf>
    <xf numFmtId="4" fontId="12" fillId="0" borderId="0" xfId="1" applyNumberFormat="1" applyFont="1" applyFill="1" applyAlignment="1" applyProtection="1">
      <alignment horizontal="center" vertical="center"/>
    </xf>
    <xf numFmtId="0" fontId="65" fillId="0" borderId="0" xfId="0" applyFont="1" applyFill="1" applyProtection="1"/>
    <xf numFmtId="0" fontId="79" fillId="0" borderId="0" xfId="0" applyFont="1" applyFill="1" applyBorder="1" applyAlignment="1" applyProtection="1">
      <alignment horizontal="center" vertical="center"/>
    </xf>
    <xf numFmtId="0" fontId="86" fillId="0" borderId="0" xfId="0" applyFont="1" applyFill="1" applyAlignment="1" applyProtection="1">
      <alignment vertical="center"/>
    </xf>
    <xf numFmtId="10" fontId="53" fillId="0" borderId="0" xfId="0" applyNumberFormat="1" applyFont="1" applyFill="1" applyBorder="1" applyAlignment="1" applyProtection="1">
      <alignment horizontal="center"/>
    </xf>
    <xf numFmtId="164" fontId="53" fillId="0" borderId="8" xfId="1" applyNumberFormat="1" applyFont="1" applyFill="1" applyBorder="1" applyAlignment="1" applyProtection="1">
      <alignment horizontal="center"/>
    </xf>
    <xf numFmtId="0" fontId="69" fillId="0" borderId="8" xfId="0" applyFont="1" applyFill="1" applyBorder="1" applyAlignment="1" applyProtection="1">
      <alignment horizontal="right" vertical="center"/>
    </xf>
    <xf numFmtId="0" fontId="59" fillId="0" borderId="0" xfId="0" applyFont="1" applyAlignment="1" applyProtection="1">
      <alignment horizontal="center"/>
    </xf>
    <xf numFmtId="0" fontId="50" fillId="0" borderId="0" xfId="0" applyFont="1" applyAlignment="1">
      <alignment horizontal="center"/>
    </xf>
    <xf numFmtId="174" fontId="53" fillId="0" borderId="0" xfId="0" applyNumberFormat="1" applyFont="1" applyFill="1" applyAlignment="1" applyProtection="1">
      <alignment horizontal="center"/>
    </xf>
    <xf numFmtId="166" fontId="53" fillId="0" borderId="0" xfId="0" applyNumberFormat="1" applyFont="1" applyFill="1" applyAlignment="1" applyProtection="1">
      <alignment horizontal="center" vertical="center"/>
    </xf>
    <xf numFmtId="0" fontId="53" fillId="0" borderId="0" xfId="0" applyFont="1" applyBorder="1" applyAlignment="1" applyProtection="1">
      <alignment horizontal="center" vertical="center"/>
    </xf>
    <xf numFmtId="0" fontId="83" fillId="0" borderId="0" xfId="0" applyFont="1" applyBorder="1" applyAlignment="1" applyProtection="1">
      <alignment horizontal="center" vertical="center"/>
    </xf>
    <xf numFmtId="9" fontId="49" fillId="0" borderId="0" xfId="0" applyNumberFormat="1" applyFont="1" applyFill="1" applyBorder="1" applyAlignment="1" applyProtection="1">
      <alignment horizontal="center" vertical="center"/>
    </xf>
    <xf numFmtId="9" fontId="49" fillId="0" borderId="2" xfId="0" applyNumberFormat="1" applyFont="1" applyFill="1" applyBorder="1" applyAlignment="1" applyProtection="1">
      <alignment horizontal="center" vertical="center"/>
    </xf>
    <xf numFmtId="3" fontId="11" fillId="0" borderId="15" xfId="0" applyNumberFormat="1" applyFont="1" applyFill="1" applyBorder="1" applyAlignment="1" applyProtection="1">
      <alignment vertical="center"/>
    </xf>
    <xf numFmtId="3" fontId="11" fillId="0" borderId="15" xfId="1" applyNumberFormat="1" applyFont="1" applyFill="1" applyBorder="1" applyAlignment="1" applyProtection="1">
      <alignment vertical="center"/>
    </xf>
    <xf numFmtId="3" fontId="11" fillId="0" borderId="12" xfId="0" applyNumberFormat="1" applyFont="1" applyFill="1" applyBorder="1" applyAlignment="1" applyProtection="1">
      <alignment vertical="center"/>
    </xf>
    <xf numFmtId="0" fontId="6" fillId="0" borderId="0" xfId="0" applyFont="1" applyFill="1" applyAlignment="1" applyProtection="1"/>
    <xf numFmtId="0" fontId="29" fillId="0" borderId="0" xfId="0" applyFont="1" applyFill="1" applyBorder="1" applyProtection="1"/>
    <xf numFmtId="0" fontId="34" fillId="0" borderId="0" xfId="0" applyFont="1" applyAlignment="1" applyProtection="1">
      <alignment horizontal="center"/>
    </xf>
    <xf numFmtId="0" fontId="27" fillId="0" borderId="0" xfId="0" applyFont="1" applyAlignment="1" applyProtection="1">
      <alignment vertical="center"/>
    </xf>
    <xf numFmtId="0" fontId="49" fillId="0" borderId="46" xfId="0" applyFont="1" applyFill="1" applyBorder="1" applyAlignment="1" applyProtection="1">
      <alignment vertical="top"/>
    </xf>
    <xf numFmtId="0" fontId="13" fillId="0" borderId="0" xfId="0" applyFont="1" applyFill="1" applyProtection="1"/>
    <xf numFmtId="0" fontId="26" fillId="0" borderId="0" xfId="0" applyFont="1" applyAlignment="1" applyProtection="1">
      <alignment horizontal="center" vertical="top"/>
    </xf>
    <xf numFmtId="0" fontId="17" fillId="0" borderId="0" xfId="0" applyFont="1" applyFill="1" applyAlignment="1" applyProtection="1">
      <alignment vertical="top"/>
    </xf>
    <xf numFmtId="0" fontId="11" fillId="0" borderId="0" xfId="0" applyFont="1" applyFill="1" applyAlignment="1" applyProtection="1">
      <alignment horizontal="center" vertical="top"/>
    </xf>
    <xf numFmtId="0" fontId="11" fillId="0" borderId="0" xfId="0" applyFont="1" applyFill="1" applyBorder="1" applyAlignment="1" applyProtection="1">
      <alignment horizontal="center" vertical="top"/>
    </xf>
    <xf numFmtId="0" fontId="3" fillId="0" borderId="0" xfId="0" applyFont="1" applyFill="1" applyBorder="1" applyAlignment="1" applyProtection="1">
      <alignment horizontal="right"/>
    </xf>
    <xf numFmtId="0" fontId="2" fillId="0" borderId="0" xfId="0" applyFont="1" applyFill="1" applyAlignment="1" applyProtection="1">
      <alignment vertical="top"/>
    </xf>
    <xf numFmtId="0" fontId="3" fillId="0" borderId="0" xfId="0" applyFont="1" applyFill="1" applyBorder="1" applyProtection="1"/>
    <xf numFmtId="0" fontId="91" fillId="0" borderId="0" xfId="0" applyFont="1" applyBorder="1" applyProtection="1"/>
    <xf numFmtId="0" fontId="92" fillId="0" borderId="0" xfId="0" applyFont="1" applyFill="1" applyAlignment="1" applyProtection="1">
      <alignment vertical="center"/>
    </xf>
    <xf numFmtId="0" fontId="93" fillId="0" borderId="0" xfId="0" applyFont="1" applyFill="1" applyBorder="1" applyAlignment="1" applyProtection="1">
      <alignment vertical="center" wrapText="1"/>
    </xf>
    <xf numFmtId="0" fontId="93" fillId="0" borderId="0" xfId="0" applyFont="1" applyFill="1" applyAlignment="1" applyProtection="1">
      <alignment vertical="center"/>
    </xf>
    <xf numFmtId="0" fontId="94" fillId="0" borderId="0" xfId="0" applyFont="1" applyFill="1" applyAlignment="1" applyProtection="1">
      <alignment horizontal="center" vertical="center"/>
    </xf>
    <xf numFmtId="0" fontId="92" fillId="0" borderId="0" xfId="0" applyFont="1" applyFill="1" applyProtection="1"/>
    <xf numFmtId="3" fontId="95" fillId="0" borderId="0" xfId="0" applyNumberFormat="1" applyFont="1" applyFill="1" applyBorder="1" applyAlignment="1" applyProtection="1">
      <alignment horizontal="center" vertical="center"/>
    </xf>
    <xf numFmtId="3" fontId="47" fillId="0" borderId="7" xfId="0" applyNumberFormat="1" applyFont="1" applyFill="1" applyBorder="1" applyAlignment="1" applyProtection="1">
      <alignment horizontal="center" vertical="center"/>
    </xf>
    <xf numFmtId="10" fontId="47" fillId="0" borderId="0" xfId="0" applyNumberFormat="1" applyFont="1" applyFill="1" applyBorder="1" applyAlignment="1" applyProtection="1">
      <alignment horizontal="center" vertical="center"/>
    </xf>
    <xf numFmtId="0" fontId="34" fillId="0" borderId="0" xfId="0" applyFont="1" applyFill="1" applyBorder="1" applyAlignment="1" applyProtection="1">
      <alignment horizontal="center" vertical="center"/>
    </xf>
    <xf numFmtId="0" fontId="27" fillId="0" borderId="0" xfId="0" applyFont="1" applyFill="1" applyBorder="1" applyAlignment="1" applyProtection="1">
      <alignment vertical="center"/>
    </xf>
    <xf numFmtId="3" fontId="29" fillId="0" borderId="0" xfId="0" applyNumberFormat="1" applyFont="1" applyFill="1" applyBorder="1" applyAlignment="1" applyProtection="1">
      <alignment horizontal="center"/>
    </xf>
    <xf numFmtId="0" fontId="2" fillId="0" borderId="7" xfId="0" applyFont="1" applyFill="1" applyBorder="1" applyProtection="1"/>
    <xf numFmtId="0" fontId="98" fillId="0" borderId="0" xfId="0" applyFont="1" applyFill="1" applyAlignment="1" applyProtection="1">
      <alignment horizontal="center" vertical="center"/>
    </xf>
    <xf numFmtId="0" fontId="101" fillId="0" borderId="0" xfId="0" applyFont="1" applyFill="1" applyAlignment="1" applyProtection="1">
      <alignment vertical="top"/>
    </xf>
    <xf numFmtId="0" fontId="101" fillId="0" borderId="0" xfId="0" applyFont="1" applyFill="1" applyAlignment="1" applyProtection="1">
      <alignment vertical="center"/>
    </xf>
    <xf numFmtId="0" fontId="101" fillId="0" borderId="0" xfId="0" applyFont="1" applyFill="1" applyBorder="1" applyAlignment="1" applyProtection="1">
      <alignment horizontal="left" vertical="top"/>
    </xf>
    <xf numFmtId="0" fontId="9" fillId="0" borderId="0" xfId="0" applyFont="1" applyFill="1" applyAlignment="1" applyProtection="1">
      <alignment horizontal="right"/>
    </xf>
    <xf numFmtId="0" fontId="17" fillId="0" borderId="0" xfId="0" applyFont="1" applyFill="1" applyAlignment="1" applyProtection="1"/>
    <xf numFmtId="0" fontId="6" fillId="0" borderId="0" xfId="0" applyFont="1" applyFill="1" applyBorder="1" applyAlignment="1" applyProtection="1"/>
    <xf numFmtId="0" fontId="0" fillId="0" borderId="0" xfId="0" applyAlignment="1" applyProtection="1"/>
    <xf numFmtId="0" fontId="3" fillId="0" borderId="0" xfId="0" applyFont="1" applyAlignment="1" applyProtection="1">
      <alignment horizontal="right"/>
    </xf>
    <xf numFmtId="0" fontId="3" fillId="0" borderId="0" xfId="0" applyFont="1" applyFill="1" applyAlignment="1" applyProtection="1">
      <alignment horizontal="left"/>
    </xf>
    <xf numFmtId="0" fontId="26" fillId="0" borderId="0" xfId="0" applyFont="1" applyAlignment="1" applyProtection="1">
      <alignment horizontal="center" vertical="center"/>
    </xf>
    <xf numFmtId="0" fontId="2" fillId="0" borderId="0" xfId="0" applyFont="1" applyFill="1" applyBorder="1" applyAlignment="1" applyProtection="1">
      <alignment horizontal="center" vertical="center"/>
    </xf>
    <xf numFmtId="0" fontId="3" fillId="0" borderId="0" xfId="0" applyFont="1" applyProtection="1"/>
    <xf numFmtId="0" fontId="15" fillId="0" borderId="0" xfId="0" applyFont="1" applyProtection="1"/>
    <xf numFmtId="0" fontId="3" fillId="0" borderId="0" xfId="0" applyFont="1" applyAlignment="1" applyProtection="1">
      <alignment horizontal="left" vertical="center"/>
    </xf>
    <xf numFmtId="174" fontId="86" fillId="0" borderId="3" xfId="0" applyNumberFormat="1" applyFont="1" applyFill="1" applyBorder="1" applyAlignment="1" applyProtection="1">
      <alignment horizontal="center" vertical="center"/>
    </xf>
    <xf numFmtId="0" fontId="3" fillId="0" borderId="13" xfId="0" applyFont="1" applyFill="1" applyBorder="1" applyAlignment="1" applyProtection="1">
      <alignment vertical="center"/>
    </xf>
    <xf numFmtId="0" fontId="0" fillId="0" borderId="13" xfId="0" applyBorder="1" applyProtection="1"/>
    <xf numFmtId="0" fontId="3" fillId="0" borderId="0" xfId="0" applyFont="1" applyAlignment="1" applyProtection="1">
      <alignment horizontal="center"/>
    </xf>
    <xf numFmtId="0" fontId="103" fillId="0" borderId="0" xfId="0" applyFont="1" applyFill="1" applyBorder="1" applyAlignment="1" applyProtection="1">
      <alignment horizontal="center" vertical="center"/>
    </xf>
    <xf numFmtId="3" fontId="3" fillId="0" borderId="0" xfId="0" applyNumberFormat="1" applyFont="1" applyFill="1" applyBorder="1" applyAlignment="1" applyProtection="1">
      <alignment horizontal="center" vertical="center"/>
    </xf>
    <xf numFmtId="0" fontId="2" fillId="0" borderId="3" xfId="0" applyFont="1" applyFill="1" applyBorder="1" applyAlignment="1" applyProtection="1">
      <alignment horizontal="center" vertical="center"/>
    </xf>
    <xf numFmtId="0" fontId="3" fillId="0" borderId="0" xfId="0" applyFont="1" applyFill="1" applyAlignment="1" applyProtection="1">
      <alignment horizontal="center" vertical="top"/>
    </xf>
    <xf numFmtId="0" fontId="3" fillId="0" borderId="0" xfId="0" quotePrefix="1" applyFont="1" applyFill="1" applyAlignment="1" applyProtection="1">
      <alignment horizontal="center" vertical="center"/>
    </xf>
    <xf numFmtId="0" fontId="6" fillId="0" borderId="0" xfId="0" applyFont="1" applyAlignment="1" applyProtection="1">
      <alignment vertical="top"/>
    </xf>
    <xf numFmtId="0" fontId="26" fillId="0" borderId="0" xfId="0" applyFont="1" applyAlignment="1" applyProtection="1">
      <alignment horizontal="right" vertical="top"/>
    </xf>
    <xf numFmtId="0" fontId="104" fillId="0" borderId="0" xfId="0" applyFont="1" applyAlignment="1" applyProtection="1">
      <alignment horizontal="left"/>
    </xf>
    <xf numFmtId="0" fontId="3" fillId="0" borderId="0" xfId="0" applyFont="1" applyBorder="1" applyProtection="1"/>
    <xf numFmtId="0" fontId="13" fillId="0" borderId="0" xfId="0" applyFont="1" applyProtection="1"/>
    <xf numFmtId="0" fontId="13" fillId="0" borderId="0" xfId="0" quotePrefix="1" applyFont="1" applyFill="1" applyAlignment="1" applyProtection="1">
      <alignment horizontal="center" vertical="top"/>
    </xf>
    <xf numFmtId="0" fontId="19" fillId="0" borderId="0" xfId="0" quotePrefix="1" applyFont="1" applyFill="1" applyAlignment="1" applyProtection="1"/>
    <xf numFmtId="38" fontId="25" fillId="0" borderId="0" xfId="0" applyNumberFormat="1" applyFont="1" applyFill="1" applyBorder="1" applyAlignment="1" applyProtection="1">
      <alignment horizontal="center" vertical="center"/>
    </xf>
    <xf numFmtId="0" fontId="3" fillId="0" borderId="0" xfId="0" applyFont="1" applyFill="1" applyBorder="1" applyAlignment="1" applyProtection="1">
      <alignment vertical="top" wrapText="1"/>
    </xf>
    <xf numFmtId="0" fontId="3" fillId="0" borderId="0" xfId="0" applyFont="1" applyFill="1" applyAlignment="1" applyProtection="1">
      <alignment horizontal="right"/>
    </xf>
    <xf numFmtId="0" fontId="13" fillId="0" borderId="0" xfId="0" applyFont="1" applyAlignment="1" applyProtection="1">
      <alignment horizontal="center"/>
    </xf>
    <xf numFmtId="0" fontId="50" fillId="0" borderId="0" xfId="0" applyFont="1" applyFill="1" applyAlignment="1" applyProtection="1">
      <alignment horizontal="right" vertical="center"/>
    </xf>
    <xf numFmtId="37" fontId="50" fillId="0" borderId="0" xfId="1" applyNumberFormat="1" applyFont="1" applyAlignment="1" applyProtection="1">
      <alignment horizontal="center"/>
    </xf>
    <xf numFmtId="10" fontId="50" fillId="0" borderId="3" xfId="0" applyNumberFormat="1" applyFont="1" applyBorder="1" applyAlignment="1" applyProtection="1">
      <alignment vertical="center"/>
    </xf>
    <xf numFmtId="0" fontId="48" fillId="0" borderId="7" xfId="0" applyFont="1" applyFill="1" applyBorder="1" applyAlignment="1" applyProtection="1">
      <alignment vertical="center"/>
    </xf>
    <xf numFmtId="0" fontId="48" fillId="0" borderId="0" xfId="0" applyFont="1" applyFill="1" applyAlignment="1" applyProtection="1">
      <alignment vertical="center"/>
    </xf>
    <xf numFmtId="0" fontId="36" fillId="0" borderId="0" xfId="0" applyFont="1" applyFill="1" applyAlignment="1" applyProtection="1">
      <alignment vertical="center"/>
    </xf>
    <xf numFmtId="0" fontId="98" fillId="0" borderId="0" xfId="0" applyFont="1" applyFill="1" applyBorder="1" applyProtection="1"/>
    <xf numFmtId="0" fontId="107" fillId="0" borderId="0" xfId="0" applyFont="1" applyFill="1" applyBorder="1" applyProtection="1"/>
    <xf numFmtId="0" fontId="106" fillId="0" borderId="0" xfId="0" applyFont="1" applyFill="1" applyProtection="1"/>
    <xf numFmtId="0" fontId="108" fillId="0" borderId="0" xfId="0" applyFont="1" applyFill="1" applyAlignment="1" applyProtection="1">
      <alignment horizontal="center" vertical="center"/>
    </xf>
    <xf numFmtId="0" fontId="106" fillId="0" borderId="0" xfId="0" applyFont="1" applyFill="1" applyAlignment="1" applyProtection="1">
      <alignment vertical="center"/>
    </xf>
    <xf numFmtId="0" fontId="106" fillId="0" borderId="0" xfId="0" applyFont="1" applyFill="1" applyAlignment="1" applyProtection="1">
      <alignment horizontal="center" vertical="center"/>
    </xf>
    <xf numFmtId="0" fontId="95" fillId="0" borderId="0" xfId="0" applyFont="1" applyFill="1" applyAlignment="1" applyProtection="1">
      <alignment vertical="center"/>
    </xf>
    <xf numFmtId="0" fontId="110" fillId="0" borderId="0" xfId="0" applyFont="1" applyFill="1" applyProtection="1"/>
    <xf numFmtId="0" fontId="110" fillId="0" borderId="0" xfId="0" applyFont="1" applyFill="1" applyAlignment="1" applyProtection="1">
      <alignment horizontal="center"/>
    </xf>
    <xf numFmtId="0" fontId="110" fillId="0" borderId="0" xfId="0" applyFont="1" applyFill="1" applyAlignment="1" applyProtection="1">
      <alignment vertical="center"/>
    </xf>
    <xf numFmtId="0" fontId="110" fillId="0" borderId="0" xfId="0" applyFont="1" applyFill="1" applyAlignment="1" applyProtection="1">
      <alignment horizontal="center" vertical="center"/>
    </xf>
    <xf numFmtId="0" fontId="106" fillId="0" borderId="0" xfId="0" applyFont="1" applyFill="1" applyAlignment="1" applyProtection="1">
      <alignment horizontal="center"/>
    </xf>
    <xf numFmtId="3" fontId="106" fillId="0" borderId="0" xfId="0" applyNumberFormat="1" applyFont="1" applyFill="1" applyAlignment="1" applyProtection="1">
      <alignment horizontal="center"/>
    </xf>
    <xf numFmtId="0" fontId="95" fillId="0" borderId="0" xfId="0" applyFont="1" applyFill="1" applyAlignment="1" applyProtection="1">
      <alignment horizontal="center"/>
    </xf>
    <xf numFmtId="3" fontId="95" fillId="0" borderId="0" xfId="0" applyNumberFormat="1" applyFont="1" applyFill="1" applyAlignment="1" applyProtection="1">
      <alignment horizontal="center"/>
    </xf>
    <xf numFmtId="0" fontId="106" fillId="0" borderId="0" xfId="0" applyFont="1" applyFill="1" applyBorder="1" applyProtection="1"/>
    <xf numFmtId="0" fontId="95" fillId="0" borderId="0" xfId="0" applyFont="1" applyFill="1" applyProtection="1"/>
    <xf numFmtId="0" fontId="111" fillId="0" borderId="0" xfId="0" applyFont="1" applyFill="1" applyBorder="1" applyAlignment="1" applyProtection="1">
      <alignment horizontal="right"/>
    </xf>
    <xf numFmtId="0" fontId="106" fillId="0" borderId="0" xfId="0" applyFont="1" applyFill="1" applyBorder="1" applyAlignment="1" applyProtection="1">
      <alignment vertical="center"/>
    </xf>
    <xf numFmtId="0" fontId="107" fillId="0" borderId="0" xfId="0" applyFont="1" applyFill="1" applyBorder="1" applyAlignment="1" applyProtection="1">
      <alignment vertical="center"/>
    </xf>
    <xf numFmtId="164" fontId="106" fillId="0" borderId="0" xfId="1" applyNumberFormat="1" applyFont="1" applyFill="1" applyBorder="1" applyAlignment="1" applyProtection="1">
      <alignment vertical="center"/>
    </xf>
    <xf numFmtId="0" fontId="95" fillId="0" borderId="0" xfId="0" applyFont="1" applyFill="1" applyBorder="1" applyAlignment="1" applyProtection="1">
      <alignment vertical="center"/>
    </xf>
    <xf numFmtId="0" fontId="110" fillId="0" borderId="0" xfId="0" applyFont="1" applyFill="1" applyBorder="1" applyAlignment="1" applyProtection="1">
      <alignment vertical="center"/>
    </xf>
    <xf numFmtId="0" fontId="107" fillId="0" borderId="0" xfId="0" applyFont="1" applyFill="1" applyAlignment="1" applyProtection="1">
      <alignment vertical="center"/>
    </xf>
    <xf numFmtId="166" fontId="53" fillId="0" borderId="81" xfId="0" applyNumberFormat="1" applyFont="1" applyFill="1" applyBorder="1" applyAlignment="1" applyProtection="1">
      <alignment horizontal="center" vertical="center"/>
    </xf>
    <xf numFmtId="2" fontId="53" fillId="0" borderId="85" xfId="0" applyNumberFormat="1" applyFont="1" applyFill="1" applyBorder="1" applyAlignment="1" applyProtection="1">
      <alignment horizontal="center" vertical="center"/>
    </xf>
    <xf numFmtId="3" fontId="53" fillId="0" borderId="0" xfId="0" applyNumberFormat="1" applyFont="1" applyFill="1" applyAlignment="1" applyProtection="1">
      <alignment horizontal="center" vertical="center"/>
    </xf>
    <xf numFmtId="38" fontId="9" fillId="0" borderId="0" xfId="0" applyNumberFormat="1" applyFont="1" applyFill="1" applyAlignment="1" applyProtection="1">
      <alignment horizontal="center" vertical="center"/>
    </xf>
    <xf numFmtId="0" fontId="12" fillId="0" borderId="38" xfId="0" applyFont="1" applyFill="1" applyBorder="1" applyAlignment="1" applyProtection="1">
      <alignment horizontal="center" vertical="center"/>
    </xf>
    <xf numFmtId="0" fontId="3" fillId="0" borderId="0" xfId="0" applyFont="1" applyFill="1" applyAlignment="1" applyProtection="1">
      <alignment horizontal="right" vertical="center"/>
    </xf>
    <xf numFmtId="0" fontId="112" fillId="0" borderId="7" xfId="0" applyFont="1" applyFill="1" applyBorder="1" applyAlignment="1" applyProtection="1">
      <alignment vertical="center"/>
    </xf>
    <xf numFmtId="0" fontId="35" fillId="0" borderId="0" xfId="0" applyFont="1" applyFill="1" applyBorder="1" applyAlignment="1" applyProtection="1">
      <alignment vertical="center"/>
    </xf>
    <xf numFmtId="0" fontId="20" fillId="0" borderId="0" xfId="0" applyFont="1" applyFill="1" applyBorder="1" applyAlignment="1" applyProtection="1">
      <alignment vertical="top"/>
    </xf>
    <xf numFmtId="0" fontId="2" fillId="0" borderId="0" xfId="0" applyFont="1" applyFill="1" applyBorder="1" applyProtection="1"/>
    <xf numFmtId="0" fontId="2" fillId="0" borderId="0" xfId="0" applyFont="1" applyFill="1" applyBorder="1" applyAlignment="1" applyProtection="1">
      <alignment vertical="top"/>
    </xf>
    <xf numFmtId="0" fontId="2" fillId="0" borderId="0" xfId="0" applyFont="1" applyFill="1" applyBorder="1" applyAlignment="1" applyProtection="1">
      <alignment vertical="center"/>
    </xf>
    <xf numFmtId="0" fontId="2" fillId="0" borderId="0" xfId="0" applyFont="1" applyBorder="1" applyProtection="1"/>
    <xf numFmtId="10" fontId="11" fillId="0" borderId="3" xfId="0" applyNumberFormat="1" applyFont="1" applyFill="1" applyBorder="1" applyProtection="1"/>
    <xf numFmtId="0" fontId="48" fillId="0" borderId="0" xfId="0" applyFont="1" applyFill="1" applyAlignment="1" applyProtection="1">
      <alignment vertical="center" wrapText="1"/>
    </xf>
    <xf numFmtId="0" fontId="106" fillId="0" borderId="0" xfId="0" applyFont="1" applyFill="1" applyBorder="1" applyAlignment="1" applyProtection="1">
      <alignment vertical="center" wrapText="1"/>
    </xf>
    <xf numFmtId="0" fontId="95" fillId="0" borderId="0" xfId="0" applyFont="1" applyFill="1" applyBorder="1" applyAlignment="1" applyProtection="1">
      <alignment vertical="center" wrapText="1"/>
    </xf>
    <xf numFmtId="0" fontId="95" fillId="0" borderId="0" xfId="0" applyFont="1" applyFill="1" applyBorder="1" applyAlignment="1" applyProtection="1">
      <alignment horizontal="center" vertical="center" wrapText="1"/>
    </xf>
    <xf numFmtId="3" fontId="47" fillId="0" borderId="0" xfId="0" applyNumberFormat="1" applyFont="1" applyFill="1" applyBorder="1" applyAlignment="1" applyProtection="1">
      <alignment horizontal="center" vertical="center"/>
    </xf>
    <xf numFmtId="38" fontId="49" fillId="0" borderId="0" xfId="0" applyNumberFormat="1" applyFont="1" applyFill="1" applyBorder="1" applyAlignment="1" applyProtection="1">
      <alignment vertical="center"/>
    </xf>
    <xf numFmtId="0" fontId="3" fillId="0" borderId="0" xfId="0" applyFont="1" applyAlignment="1" applyProtection="1">
      <alignment horizontal="left"/>
    </xf>
    <xf numFmtId="0" fontId="50" fillId="0" borderId="0" xfId="0" applyFont="1" applyFill="1" applyBorder="1" applyAlignment="1" applyProtection="1">
      <alignment horizontal="left" vertical="center"/>
    </xf>
    <xf numFmtId="0" fontId="57" fillId="0" borderId="0" xfId="0" applyFont="1" applyFill="1" applyAlignment="1" applyProtection="1">
      <alignment horizontal="left" vertical="center"/>
    </xf>
    <xf numFmtId="0" fontId="7" fillId="0" borderId="0" xfId="0" applyFont="1" applyFill="1" applyBorder="1" applyAlignment="1" applyProtection="1">
      <alignment horizontal="center" vertical="center"/>
    </xf>
    <xf numFmtId="3" fontId="3" fillId="0" borderId="88" xfId="0" applyNumberFormat="1" applyFont="1" applyFill="1" applyBorder="1" applyAlignment="1" applyProtection="1">
      <alignment horizontal="center"/>
    </xf>
    <xf numFmtId="0" fontId="3" fillId="0" borderId="0" xfId="0" applyFont="1" applyFill="1" applyAlignment="1" applyProtection="1">
      <alignment horizontal="left" vertical="top"/>
    </xf>
    <xf numFmtId="3" fontId="50" fillId="0" borderId="88" xfId="0" applyNumberFormat="1" applyFont="1" applyFill="1" applyBorder="1" applyAlignment="1" applyProtection="1">
      <alignment horizontal="center"/>
    </xf>
    <xf numFmtId="3" fontId="50" fillId="0" borderId="0" xfId="0" applyNumberFormat="1" applyFont="1" applyFill="1" applyAlignment="1" applyProtection="1">
      <alignment horizontal="center"/>
    </xf>
    <xf numFmtId="0" fontId="3" fillId="0" borderId="0" xfId="0" applyFont="1" applyAlignment="1" applyProtection="1">
      <alignment horizontal="right" vertical="top"/>
    </xf>
    <xf numFmtId="0" fontId="3" fillId="0" borderId="0" xfId="0" quotePrefix="1" applyFont="1" applyFill="1" applyAlignment="1" applyProtection="1">
      <alignment horizontal="center" vertical="top"/>
    </xf>
    <xf numFmtId="0" fontId="2" fillId="0" borderId="0" xfId="0" applyFont="1" applyFill="1" applyAlignment="1" applyProtection="1"/>
    <xf numFmtId="0" fontId="22" fillId="0" borderId="0" xfId="0" applyFont="1" applyFill="1" applyBorder="1" applyAlignment="1" applyProtection="1">
      <alignment horizontal="center" vertical="center"/>
    </xf>
    <xf numFmtId="0" fontId="61" fillId="0" borderId="0" xfId="0" applyFont="1" applyFill="1" applyAlignment="1" applyProtection="1">
      <alignment horizontal="center" vertical="center"/>
    </xf>
    <xf numFmtId="0" fontId="53" fillId="0" borderId="88" xfId="0" applyFont="1" applyFill="1" applyBorder="1" applyAlignment="1" applyProtection="1">
      <alignment vertical="center"/>
    </xf>
    <xf numFmtId="0" fontId="53" fillId="0" borderId="0" xfId="0" quotePrefix="1" applyFont="1" applyFill="1" applyAlignment="1" applyProtection="1">
      <alignment vertical="center"/>
    </xf>
    <xf numFmtId="0" fontId="106" fillId="0" borderId="0" xfId="0" applyFont="1" applyProtection="1"/>
    <xf numFmtId="0" fontId="109" fillId="0" borderId="0" xfId="0" applyFont="1" applyFill="1" applyBorder="1" applyAlignment="1" applyProtection="1">
      <alignment vertical="top" wrapText="1"/>
    </xf>
    <xf numFmtId="0" fontId="107" fillId="0" borderId="0" xfId="0" applyFont="1" applyProtection="1"/>
    <xf numFmtId="0" fontId="107" fillId="0" borderId="0" xfId="0" applyFont="1" applyFill="1" applyProtection="1"/>
    <xf numFmtId="0" fontId="107" fillId="0" borderId="0" xfId="0" applyFont="1" applyAlignment="1" applyProtection="1">
      <alignment horizontal="left"/>
    </xf>
    <xf numFmtId="0" fontId="107" fillId="0" borderId="0" xfId="0" applyNumberFormat="1" applyFont="1" applyFill="1" applyProtection="1"/>
    <xf numFmtId="0" fontId="107" fillId="0" borderId="0" xfId="0" applyFont="1" applyFill="1" applyAlignment="1" applyProtection="1">
      <alignment horizontal="left"/>
    </xf>
    <xf numFmtId="0" fontId="107" fillId="0" borderId="0" xfId="0" applyFont="1" applyFill="1" applyAlignment="1" applyProtection="1">
      <alignment horizontal="left" vertical="center"/>
    </xf>
    <xf numFmtId="0" fontId="107" fillId="0" borderId="0" xfId="0" applyNumberFormat="1" applyFont="1" applyAlignment="1" applyProtection="1">
      <alignment horizontal="left" vertical="center"/>
    </xf>
    <xf numFmtId="0" fontId="120" fillId="0" borderId="0" xfId="0" applyFont="1" applyFill="1" applyProtection="1"/>
    <xf numFmtId="0" fontId="120" fillId="0" borderId="0" xfId="0" applyFont="1" applyProtection="1"/>
    <xf numFmtId="0" fontId="121" fillId="0" borderId="0" xfId="0" applyFont="1" applyFill="1" applyProtection="1"/>
    <xf numFmtId="0" fontId="118" fillId="0" borderId="0" xfId="0" applyFont="1" applyFill="1" applyBorder="1" applyAlignment="1" applyProtection="1">
      <alignment vertical="top"/>
    </xf>
    <xf numFmtId="10" fontId="61" fillId="0" borderId="13" xfId="0" applyNumberFormat="1" applyFont="1" applyFill="1" applyBorder="1" applyAlignment="1" applyProtection="1">
      <alignment horizontal="center" vertical="center"/>
    </xf>
    <xf numFmtId="0" fontId="99" fillId="0" borderId="0" xfId="0" applyFont="1" applyFill="1" applyAlignment="1" applyProtection="1"/>
    <xf numFmtId="0" fontId="122" fillId="0" borderId="0" xfId="0" applyFont="1" applyFill="1" applyProtection="1"/>
    <xf numFmtId="0" fontId="109" fillId="0" borderId="0" xfId="0" applyFont="1" applyFill="1" applyBorder="1" applyAlignment="1" applyProtection="1">
      <alignment horizontal="left"/>
    </xf>
    <xf numFmtId="0" fontId="109" fillId="0" borderId="0" xfId="0" applyFont="1" applyFill="1" applyBorder="1" applyAlignment="1" applyProtection="1">
      <alignment wrapText="1"/>
    </xf>
    <xf numFmtId="0" fontId="12" fillId="0" borderId="0" xfId="0" applyFont="1" applyFill="1" applyAlignment="1" applyProtection="1">
      <alignment horizontal="left"/>
    </xf>
    <xf numFmtId="0" fontId="55" fillId="0" borderId="0" xfId="9" applyFont="1" applyAlignment="1" applyProtection="1">
      <alignment horizontal="left"/>
    </xf>
    <xf numFmtId="38" fontId="53" fillId="0" borderId="0" xfId="0" applyNumberFormat="1" applyFont="1" applyFill="1" applyBorder="1" applyAlignment="1" applyProtection="1">
      <alignment horizontal="left" vertical="center"/>
    </xf>
    <xf numFmtId="0" fontId="3" fillId="0" borderId="13" xfId="0" applyFont="1" applyFill="1" applyBorder="1" applyAlignment="1" applyProtection="1">
      <alignment vertical="top" wrapText="1"/>
    </xf>
    <xf numFmtId="0" fontId="7" fillId="0" borderId="88" xfId="0" applyFont="1" applyFill="1" applyBorder="1" applyAlignment="1" applyProtection="1"/>
    <xf numFmtId="0" fontId="127" fillId="0" borderId="0" xfId="0" applyFont="1" applyFill="1" applyAlignment="1" applyProtection="1">
      <alignment vertical="center"/>
    </xf>
    <xf numFmtId="3" fontId="53" fillId="0" borderId="0" xfId="0" applyNumberFormat="1" applyFont="1" applyFill="1" applyAlignment="1" applyProtection="1">
      <alignment vertical="center"/>
    </xf>
    <xf numFmtId="3" fontId="53" fillId="0" borderId="0" xfId="0" applyNumberFormat="1" applyFont="1" applyFill="1" applyProtection="1"/>
    <xf numFmtId="0" fontId="3" fillId="0" borderId="0" xfId="0" applyFont="1" applyBorder="1" applyAlignment="1" applyProtection="1">
      <alignment vertical="center"/>
    </xf>
    <xf numFmtId="0" fontId="50" fillId="0" borderId="40" xfId="0" applyFont="1" applyFill="1" applyBorder="1" applyAlignment="1" applyProtection="1">
      <alignment vertical="center"/>
    </xf>
    <xf numFmtId="0" fontId="50" fillId="0" borderId="0" xfId="0" applyFont="1" applyFill="1" applyBorder="1" applyAlignment="1" applyProtection="1">
      <alignment vertical="center"/>
    </xf>
    <xf numFmtId="164" fontId="50" fillId="0" borderId="0" xfId="1" applyNumberFormat="1" applyFont="1" applyFill="1" applyBorder="1" applyAlignment="1" applyProtection="1">
      <alignment horizontal="center" vertical="center"/>
    </xf>
    <xf numFmtId="0" fontId="129" fillId="0" borderId="0" xfId="6" applyFont="1" applyFill="1" applyBorder="1" applyAlignment="1" applyProtection="1">
      <alignment vertical="center"/>
    </xf>
    <xf numFmtId="0" fontId="75" fillId="0" borderId="0" xfId="0" applyFont="1" applyFill="1" applyBorder="1" applyAlignment="1" applyProtection="1">
      <alignment vertical="top"/>
    </xf>
    <xf numFmtId="0" fontId="53" fillId="0" borderId="0" xfId="0" applyFont="1" applyFill="1" applyAlignment="1" applyProtection="1">
      <alignment vertical="top"/>
    </xf>
    <xf numFmtId="0" fontId="70" fillId="0" borderId="85" xfId="0" applyFont="1" applyFill="1" applyBorder="1" applyAlignment="1" applyProtection="1">
      <alignment vertical="center"/>
    </xf>
    <xf numFmtId="0" fontId="70" fillId="0" borderId="85" xfId="0" applyFont="1" applyFill="1" applyBorder="1" applyAlignment="1" applyProtection="1">
      <alignment horizontal="center" vertical="center"/>
    </xf>
    <xf numFmtId="0" fontId="69" fillId="0" borderId="81" xfId="0" applyFont="1" applyFill="1" applyBorder="1" applyAlignment="1" applyProtection="1">
      <alignment horizontal="left" vertical="center"/>
    </xf>
    <xf numFmtId="0" fontId="53" fillId="0" borderId="0" xfId="0" applyNumberFormat="1" applyFont="1" applyFill="1" applyAlignment="1" applyProtection="1">
      <alignment horizontal="center" vertical="center"/>
    </xf>
    <xf numFmtId="0" fontId="50" fillId="0" borderId="0" xfId="0" applyFont="1" applyFill="1" applyBorder="1" applyAlignment="1" applyProtection="1">
      <alignment horizontal="left"/>
    </xf>
    <xf numFmtId="0" fontId="98" fillId="0" borderId="0" xfId="0" applyFont="1" applyFill="1" applyBorder="1" applyAlignment="1" applyProtection="1">
      <alignment vertical="center"/>
    </xf>
    <xf numFmtId="0" fontId="131" fillId="0" borderId="0" xfId="0" applyFont="1" applyFill="1" applyBorder="1" applyAlignment="1" applyProtection="1">
      <alignment horizontal="left" vertical="center"/>
    </xf>
    <xf numFmtId="171" fontId="59" fillId="0" borderId="88" xfId="0" applyNumberFormat="1" applyFont="1" applyFill="1" applyBorder="1" applyAlignment="1" applyProtection="1">
      <alignment horizontal="left" vertical="center"/>
    </xf>
    <xf numFmtId="0" fontId="59" fillId="0" borderId="13" xfId="0" applyFont="1" applyFill="1" applyBorder="1" applyAlignment="1" applyProtection="1">
      <alignment vertical="center"/>
    </xf>
    <xf numFmtId="0" fontId="70" fillId="0" borderId="83" xfId="0" applyFont="1" applyFill="1" applyBorder="1" applyAlignment="1" applyProtection="1">
      <alignment vertical="top"/>
    </xf>
    <xf numFmtId="0" fontId="70" fillId="0" borderId="84" xfId="0" applyFont="1" applyFill="1" applyBorder="1" applyAlignment="1" applyProtection="1">
      <alignment vertical="center"/>
    </xf>
    <xf numFmtId="0" fontId="131" fillId="0" borderId="0" xfId="0" applyFont="1" applyFill="1" applyAlignment="1" applyProtection="1">
      <alignment vertical="center"/>
    </xf>
    <xf numFmtId="0" fontId="105" fillId="0" borderId="0" xfId="0" applyFont="1" applyBorder="1" applyAlignment="1" applyProtection="1">
      <alignment horizontal="right" vertical="center"/>
    </xf>
    <xf numFmtId="0" fontId="131" fillId="0" borderId="89" xfId="0" applyFont="1" applyFill="1" applyBorder="1" applyAlignment="1" applyProtection="1">
      <alignment horizontal="center" vertical="center"/>
    </xf>
    <xf numFmtId="0" fontId="2" fillId="0" borderId="0" xfId="0" applyFont="1" applyFill="1" applyAlignment="1" applyProtection="1">
      <alignment horizontal="center" vertical="top"/>
    </xf>
    <xf numFmtId="0" fontId="81" fillId="0" borderId="0" xfId="0" applyFont="1" applyFill="1" applyBorder="1" applyAlignment="1" applyProtection="1">
      <alignment horizontal="center" vertical="top"/>
    </xf>
    <xf numFmtId="0" fontId="12" fillId="0" borderId="0" xfId="0" applyFont="1" applyProtection="1"/>
    <xf numFmtId="0" fontId="126" fillId="0" borderId="0" xfId="0" applyFont="1" applyFill="1" applyAlignment="1" applyProtection="1">
      <alignment vertical="center"/>
    </xf>
    <xf numFmtId="0" fontId="60" fillId="0" borderId="0" xfId="0" applyFont="1" applyFill="1" applyAlignment="1" applyProtection="1">
      <alignment vertical="center"/>
    </xf>
    <xf numFmtId="0" fontId="9" fillId="0" borderId="0" xfId="0" applyFont="1" applyProtection="1"/>
    <xf numFmtId="0" fontId="6" fillId="0" borderId="0" xfId="0" applyFont="1" applyAlignment="1" applyProtection="1">
      <alignment horizontal="center" vertical="center"/>
    </xf>
    <xf numFmtId="0" fontId="77" fillId="0" borderId="0" xfId="0" applyFont="1" applyAlignment="1" applyProtection="1"/>
    <xf numFmtId="0" fontId="23" fillId="0" borderId="0" xfId="0" applyFont="1" applyFill="1" applyBorder="1" applyAlignment="1" applyProtection="1">
      <alignment horizontal="center"/>
    </xf>
    <xf numFmtId="0" fontId="104" fillId="0" borderId="0" xfId="0" applyFont="1" applyFill="1" applyBorder="1" applyAlignment="1" applyProtection="1">
      <alignment horizontal="left" vertical="center"/>
    </xf>
    <xf numFmtId="10" fontId="7" fillId="0" borderId="3" xfId="0" applyNumberFormat="1" applyFont="1" applyFill="1" applyBorder="1" applyAlignment="1" applyProtection="1">
      <alignment horizontal="center" vertical="center"/>
    </xf>
    <xf numFmtId="0" fontId="50" fillId="0" borderId="0" xfId="0" applyFont="1" applyFill="1" applyAlignment="1" applyProtection="1">
      <alignment horizontal="left" vertical="center"/>
    </xf>
    <xf numFmtId="0" fontId="26" fillId="0" borderId="0" xfId="0" applyFont="1" applyFill="1" applyAlignment="1" applyProtection="1">
      <alignment horizontal="center" vertical="top"/>
    </xf>
    <xf numFmtId="0" fontId="126" fillId="0" borderId="3" xfId="0" applyFont="1" applyFill="1" applyBorder="1" applyAlignment="1" applyProtection="1">
      <alignment horizontal="center" vertical="center"/>
    </xf>
    <xf numFmtId="0" fontId="104" fillId="0" borderId="0" xfId="0" applyFont="1" applyFill="1" applyAlignment="1" applyProtection="1">
      <alignment horizontal="center" vertical="center"/>
    </xf>
    <xf numFmtId="0" fontId="3" fillId="0" borderId="0" xfId="0" applyFont="1" applyFill="1" applyBorder="1" applyAlignment="1" applyProtection="1">
      <alignment horizontal="center"/>
    </xf>
    <xf numFmtId="0" fontId="16" fillId="0" borderId="0" xfId="0" applyFont="1" applyFill="1" applyAlignment="1" applyProtection="1">
      <alignment vertical="top"/>
    </xf>
    <xf numFmtId="0" fontId="9" fillId="0" borderId="19" xfId="0" applyFont="1" applyFill="1" applyBorder="1" applyAlignment="1" applyProtection="1">
      <alignment horizontal="right" vertical="top"/>
    </xf>
    <xf numFmtId="0" fontId="2" fillId="0" borderId="19" xfId="0" applyFont="1" applyFill="1" applyBorder="1" applyAlignment="1" applyProtection="1">
      <alignment horizontal="center" vertical="top"/>
    </xf>
    <xf numFmtId="0" fontId="16" fillId="0" borderId="19" xfId="0" applyFont="1" applyFill="1" applyBorder="1" applyAlignment="1" applyProtection="1">
      <alignment vertical="top"/>
    </xf>
    <xf numFmtId="0" fontId="9" fillId="0" borderId="19" xfId="0" applyFont="1" applyFill="1" applyBorder="1" applyAlignment="1" applyProtection="1">
      <alignment horizontal="right" vertical="center"/>
    </xf>
    <xf numFmtId="0" fontId="16" fillId="0" borderId="19" xfId="0" applyFont="1" applyFill="1" applyBorder="1" applyProtection="1"/>
    <xf numFmtId="0" fontId="134" fillId="0" borderId="0" xfId="0" applyFont="1" applyFill="1" applyBorder="1" applyAlignment="1" applyProtection="1">
      <alignment horizontal="center" vertical="center"/>
    </xf>
    <xf numFmtId="0" fontId="105" fillId="0" borderId="0" xfId="0" applyFont="1" applyFill="1" applyAlignment="1" applyProtection="1">
      <alignment vertical="center"/>
    </xf>
    <xf numFmtId="0" fontId="106" fillId="0" borderId="0" xfId="0" applyFont="1" applyAlignment="1" applyProtection="1">
      <alignment horizontal="center"/>
    </xf>
    <xf numFmtId="0" fontId="95" fillId="0" borderId="0" xfId="0" applyFont="1" applyAlignment="1" applyProtection="1">
      <alignment horizontal="center"/>
    </xf>
    <xf numFmtId="0" fontId="135" fillId="0" borderId="0" xfId="0" applyFont="1" applyAlignment="1" applyProtection="1">
      <alignment horizontal="left"/>
    </xf>
    <xf numFmtId="0" fontId="106" fillId="0" borderId="0" xfId="0" applyNumberFormat="1" applyFont="1" applyFill="1" applyProtection="1"/>
    <xf numFmtId="0" fontId="106" fillId="0" borderId="0" xfId="0" applyFont="1" applyFill="1" applyAlignment="1" applyProtection="1">
      <alignment horizontal="left" vertical="center"/>
    </xf>
    <xf numFmtId="0" fontId="106" fillId="0" borderId="0" xfId="0" applyNumberFormat="1" applyFont="1" applyAlignment="1" applyProtection="1">
      <alignment horizontal="left" vertical="center"/>
    </xf>
    <xf numFmtId="0" fontId="135" fillId="0" borderId="0" xfId="0" applyFont="1" applyProtection="1"/>
    <xf numFmtId="0" fontId="119" fillId="0" borderId="0" xfId="0" applyFont="1" applyProtection="1"/>
    <xf numFmtId="0" fontId="109" fillId="0" borderId="0" xfId="0" applyFont="1" applyBorder="1" applyAlignment="1" applyProtection="1">
      <alignment horizontal="center" vertical="top" wrapText="1"/>
    </xf>
    <xf numFmtId="0" fontId="119" fillId="0" borderId="0" xfId="0" applyFont="1" applyAlignment="1" applyProtection="1">
      <alignment vertical="top"/>
    </xf>
    <xf numFmtId="0" fontId="109" fillId="0" borderId="0" xfId="0" applyFont="1" applyBorder="1" applyAlignment="1" applyProtection="1">
      <alignment horizontal="left" vertical="top" wrapText="1"/>
    </xf>
    <xf numFmtId="0" fontId="109" fillId="0" borderId="0" xfId="0" applyFont="1" applyBorder="1" applyAlignment="1" applyProtection="1">
      <alignment vertical="top" wrapText="1"/>
    </xf>
    <xf numFmtId="0" fontId="106" fillId="0" borderId="0" xfId="0" applyFont="1" applyBorder="1" applyAlignment="1" applyProtection="1">
      <alignment vertical="top" wrapText="1"/>
    </xf>
    <xf numFmtId="0" fontId="109" fillId="0" borderId="0" xfId="0" applyFont="1" applyProtection="1"/>
    <xf numFmtId="0" fontId="106" fillId="0" borderId="0" xfId="0" applyFont="1" applyBorder="1" applyProtection="1"/>
    <xf numFmtId="0" fontId="109" fillId="0" borderId="0" xfId="0" applyFont="1" applyAlignment="1" applyProtection="1">
      <alignment horizontal="left"/>
    </xf>
    <xf numFmtId="10" fontId="3" fillId="0" borderId="16" xfId="0" applyNumberFormat="1" applyFont="1" applyFill="1" applyBorder="1" applyAlignment="1" applyProtection="1">
      <alignment horizontal="center" vertical="center"/>
    </xf>
    <xf numFmtId="10" fontId="3" fillId="0" borderId="17" xfId="0" applyNumberFormat="1" applyFont="1" applyFill="1" applyBorder="1" applyAlignment="1" applyProtection="1">
      <alignment horizontal="center" vertical="center"/>
    </xf>
    <xf numFmtId="10" fontId="3" fillId="0" borderId="18" xfId="0" applyNumberFormat="1" applyFont="1" applyFill="1" applyBorder="1" applyAlignment="1" applyProtection="1">
      <alignment horizontal="center" vertical="center"/>
    </xf>
    <xf numFmtId="0" fontId="3" fillId="0" borderId="0" xfId="0" applyFont="1" applyBorder="1" applyAlignment="1" applyProtection="1">
      <alignment horizontal="right" vertical="top"/>
    </xf>
    <xf numFmtId="0" fontId="3" fillId="0" borderId="0" xfId="0" applyFont="1" applyFill="1" applyBorder="1" applyAlignment="1" applyProtection="1">
      <alignment horizontal="left" wrapText="1"/>
    </xf>
    <xf numFmtId="0" fontId="126" fillId="0" borderId="0" xfId="0" applyFont="1" applyFill="1" applyAlignment="1" applyProtection="1">
      <alignment horizontal="left" vertical="top"/>
    </xf>
    <xf numFmtId="0" fontId="61" fillId="0" borderId="0" xfId="0" quotePrefix="1" applyFont="1" applyFill="1" applyAlignment="1" applyProtection="1">
      <alignment vertical="center"/>
    </xf>
    <xf numFmtId="0" fontId="3" fillId="0" borderId="13" xfId="0" applyFont="1" applyFill="1" applyBorder="1" applyProtection="1"/>
    <xf numFmtId="0" fontId="3" fillId="0" borderId="0" xfId="0" applyFont="1" applyBorder="1" applyAlignment="1" applyProtection="1">
      <alignment horizontal="right" vertical="center"/>
    </xf>
    <xf numFmtId="0" fontId="23" fillId="0" borderId="0" xfId="0" applyFont="1" applyFill="1" applyAlignment="1" applyProtection="1">
      <alignment horizontal="center"/>
    </xf>
    <xf numFmtId="0" fontId="137" fillId="0" borderId="0" xfId="0" applyFont="1" applyFill="1" applyBorder="1" applyAlignment="1" applyProtection="1">
      <alignment horizontal="left"/>
    </xf>
    <xf numFmtId="0" fontId="137" fillId="0" borderId="0" xfId="0" applyFont="1" applyFill="1" applyBorder="1" applyAlignment="1" applyProtection="1">
      <alignment horizontal="left" wrapText="1"/>
    </xf>
    <xf numFmtId="0" fontId="3" fillId="0" borderId="0" xfId="0" applyFont="1" applyFill="1" applyAlignment="1" applyProtection="1">
      <alignment horizontal="center"/>
    </xf>
    <xf numFmtId="0" fontId="50" fillId="0" borderId="0" xfId="0" applyFont="1" applyFill="1" applyAlignment="1" applyProtection="1">
      <alignment horizontal="right"/>
    </xf>
    <xf numFmtId="10" fontId="3" fillId="0" borderId="89" xfId="0" applyNumberFormat="1" applyFont="1" applyFill="1" applyBorder="1" applyAlignment="1" applyProtection="1">
      <alignment horizontal="center" vertical="center"/>
    </xf>
    <xf numFmtId="0" fontId="105" fillId="0" borderId="0" xfId="0" applyFont="1" applyAlignment="1" applyProtection="1">
      <alignment vertical="top"/>
    </xf>
    <xf numFmtId="0" fontId="11" fillId="0" borderId="89" xfId="0" applyFont="1" applyFill="1" applyBorder="1" applyAlignment="1" applyProtection="1">
      <alignment horizontal="center" vertical="center"/>
    </xf>
    <xf numFmtId="10" fontId="13" fillId="0" borderId="16" xfId="0" applyNumberFormat="1" applyFont="1" applyFill="1" applyBorder="1" applyAlignment="1" applyProtection="1">
      <alignment horizontal="center"/>
    </xf>
    <xf numFmtId="10" fontId="13" fillId="0" borderId="18" xfId="0" applyNumberFormat="1" applyFont="1" applyFill="1" applyBorder="1" applyAlignment="1" applyProtection="1">
      <alignment horizontal="center"/>
    </xf>
    <xf numFmtId="0" fontId="109" fillId="0" borderId="0" xfId="0" applyFont="1" applyAlignment="1" applyProtection="1">
      <alignment vertical="center"/>
    </xf>
    <xf numFmtId="0" fontId="109" fillId="0" borderId="0" xfId="0" applyFont="1" applyFill="1" applyProtection="1"/>
    <xf numFmtId="0" fontId="109" fillId="0" borderId="0" xfId="0" applyFont="1" applyBorder="1" applyAlignment="1" applyProtection="1">
      <alignment horizontal="left" vertical="center"/>
    </xf>
    <xf numFmtId="0" fontId="109" fillId="0" borderId="0" xfId="0" applyFont="1" applyAlignment="1" applyProtection="1">
      <alignment horizontal="left" vertical="center"/>
    </xf>
    <xf numFmtId="0" fontId="119" fillId="0" borderId="0" xfId="0" applyFont="1" applyFill="1" applyBorder="1" applyAlignment="1" applyProtection="1">
      <alignment horizontal="left"/>
    </xf>
    <xf numFmtId="0" fontId="119" fillId="0" borderId="0" xfId="0" applyFont="1" applyAlignment="1" applyProtection="1">
      <alignment horizontal="left" vertical="center"/>
    </xf>
    <xf numFmtId="0" fontId="122" fillId="0" borderId="0" xfId="0" applyFont="1" applyAlignment="1" applyProtection="1">
      <alignment vertical="center"/>
    </xf>
    <xf numFmtId="0" fontId="50" fillId="0" borderId="0" xfId="0" applyFont="1" applyAlignment="1" applyProtection="1">
      <alignment horizontal="left"/>
    </xf>
    <xf numFmtId="0" fontId="61" fillId="16" borderId="89" xfId="0" applyFont="1" applyFill="1" applyBorder="1" applyAlignment="1" applyProtection="1">
      <alignment vertical="center"/>
    </xf>
    <xf numFmtId="0" fontId="137" fillId="0" borderId="0" xfId="0" applyFont="1" applyAlignment="1" applyProtection="1">
      <alignment horizontal="left" wrapText="1"/>
    </xf>
    <xf numFmtId="0" fontId="137" fillId="0" borderId="0" xfId="0" applyFont="1" applyFill="1" applyAlignment="1" applyProtection="1">
      <alignment horizontal="left" wrapText="1"/>
    </xf>
    <xf numFmtId="0" fontId="137" fillId="0" borderId="0" xfId="0" applyFont="1" applyAlignment="1" applyProtection="1">
      <alignment horizontal="center" wrapText="1"/>
    </xf>
    <xf numFmtId="0" fontId="137" fillId="0" borderId="0" xfId="0" applyFont="1" applyFill="1" applyProtection="1"/>
    <xf numFmtId="0" fontId="109" fillId="0" borderId="0" xfId="9" applyFont="1" applyFill="1" applyAlignment="1" applyProtection="1">
      <alignment horizontal="left"/>
    </xf>
    <xf numFmtId="0" fontId="109" fillId="0" borderId="0" xfId="0" quotePrefix="1" applyNumberFormat="1" applyFont="1" applyProtection="1"/>
    <xf numFmtId="0" fontId="109" fillId="0" borderId="0" xfId="0" applyNumberFormat="1" applyFont="1" applyAlignment="1" applyProtection="1">
      <alignment horizontal="center"/>
    </xf>
    <xf numFmtId="0" fontId="109" fillId="0" borderId="0" xfId="9" applyFont="1" applyFill="1" applyProtection="1"/>
    <xf numFmtId="0" fontId="123" fillId="0" borderId="0" xfId="0" applyFont="1" applyFill="1" applyAlignment="1" applyProtection="1"/>
    <xf numFmtId="0" fontId="109" fillId="0" borderId="0" xfId="9" applyFont="1" applyProtection="1"/>
    <xf numFmtId="0" fontId="122" fillId="0" borderId="0" xfId="0" applyFont="1" applyFill="1" applyAlignment="1" applyProtection="1">
      <alignment horizontal="center"/>
    </xf>
    <xf numFmtId="0" fontId="9" fillId="0" borderId="0" xfId="0" applyFont="1" applyFill="1" applyBorder="1" applyAlignment="1" applyProtection="1">
      <alignment horizontal="right" vertical="top"/>
    </xf>
    <xf numFmtId="0" fontId="2" fillId="0" borderId="0" xfId="0" applyFont="1" applyFill="1" applyBorder="1" applyAlignment="1" applyProtection="1">
      <alignment horizontal="center" vertical="top"/>
    </xf>
    <xf numFmtId="0" fontId="16" fillId="0" borderId="0" xfId="0" applyFont="1" applyFill="1" applyBorder="1" applyAlignment="1" applyProtection="1">
      <alignment vertical="top"/>
    </xf>
    <xf numFmtId="0" fontId="2" fillId="0" borderId="0" xfId="0" applyFont="1" applyFill="1" applyBorder="1" applyAlignment="1" applyProtection="1">
      <alignment horizontal="center"/>
    </xf>
    <xf numFmtId="0" fontId="7" fillId="0" borderId="87" xfId="0" applyFont="1" applyFill="1" applyBorder="1" applyAlignment="1" applyProtection="1">
      <alignment horizontal="center" vertical="center"/>
    </xf>
    <xf numFmtId="0" fontId="19" fillId="0" borderId="19" xfId="0" quotePrefix="1" applyFont="1" applyFill="1" applyBorder="1" applyAlignment="1" applyProtection="1">
      <alignment horizontal="left" vertical="top"/>
    </xf>
    <xf numFmtId="0" fontId="19" fillId="0" borderId="19" xfId="0" quotePrefix="1" applyFont="1" applyFill="1" applyBorder="1" applyAlignment="1" applyProtection="1">
      <alignment horizontal="left" vertical="center"/>
    </xf>
    <xf numFmtId="0" fontId="16" fillId="0" borderId="32" xfId="0" applyFont="1" applyFill="1" applyBorder="1" applyAlignment="1" applyProtection="1">
      <alignment vertical="top"/>
    </xf>
    <xf numFmtId="0" fontId="12" fillId="0" borderId="19" xfId="0" applyFont="1" applyFill="1" applyBorder="1" applyAlignment="1" applyProtection="1">
      <alignment horizontal="center"/>
    </xf>
    <xf numFmtId="0" fontId="16" fillId="0" borderId="32" xfId="0" applyFont="1" applyFill="1" applyBorder="1" applyProtection="1"/>
    <xf numFmtId="0" fontId="126" fillId="0" borderId="0" xfId="0" applyFont="1" applyFill="1" applyBorder="1" applyAlignment="1" applyProtection="1">
      <alignment horizontal="center" vertical="center"/>
    </xf>
    <xf numFmtId="0" fontId="104" fillId="0" borderId="0" xfId="0" applyFont="1" applyFill="1" applyAlignment="1" applyProtection="1">
      <alignment horizontal="left" vertical="center"/>
    </xf>
    <xf numFmtId="3" fontId="9" fillId="0" borderId="89" xfId="0" applyNumberFormat="1" applyFont="1" applyFill="1" applyBorder="1" applyAlignment="1" applyProtection="1">
      <alignment horizontal="center" vertical="center"/>
    </xf>
    <xf numFmtId="3" fontId="9" fillId="0" borderId="3" xfId="0" applyNumberFormat="1" applyFont="1" applyFill="1" applyBorder="1" applyAlignment="1" applyProtection="1">
      <alignment horizontal="center" vertical="center"/>
    </xf>
    <xf numFmtId="0" fontId="105" fillId="0" borderId="0" xfId="0" applyFont="1" applyAlignment="1" applyProtection="1"/>
    <xf numFmtId="0" fontId="9" fillId="0" borderId="0" xfId="0" quotePrefix="1" applyFont="1" applyFill="1" applyAlignment="1" applyProtection="1">
      <alignment horizontal="right" vertical="top"/>
    </xf>
    <xf numFmtId="0" fontId="53" fillId="0" borderId="0" xfId="0" applyFont="1" applyAlignment="1" applyProtection="1">
      <alignment horizontal="left"/>
    </xf>
    <xf numFmtId="0" fontId="3" fillId="0" borderId="0" xfId="0" applyFont="1" applyFill="1" applyAlignment="1" applyProtection="1">
      <alignment wrapText="1"/>
    </xf>
    <xf numFmtId="0" fontId="3" fillId="0" borderId="0" xfId="0" applyFont="1" applyFill="1" applyBorder="1" applyAlignment="1" applyProtection="1">
      <alignment horizontal="center" vertical="center" wrapText="1"/>
    </xf>
    <xf numFmtId="0" fontId="3" fillId="0" borderId="0" xfId="0" applyFont="1" applyFill="1" applyAlignment="1" applyProtection="1"/>
    <xf numFmtId="0" fontId="50" fillId="0" borderId="97" xfId="0" applyFont="1" applyFill="1" applyBorder="1" applyAlignment="1" applyProtection="1">
      <alignment horizontal="center" vertical="center"/>
    </xf>
    <xf numFmtId="0" fontId="50" fillId="0" borderId="98" xfId="0" applyFont="1" applyFill="1" applyBorder="1" applyAlignment="1" applyProtection="1">
      <alignment horizontal="center" vertical="center"/>
    </xf>
    <xf numFmtId="0" fontId="50" fillId="0" borderId="19" xfId="0" applyFont="1" applyFill="1" applyBorder="1" applyAlignment="1" applyProtection="1">
      <alignment vertical="center" wrapText="1"/>
    </xf>
    <xf numFmtId="0" fontId="3" fillId="0" borderId="19" xfId="0" applyFont="1" applyFill="1" applyBorder="1" applyAlignment="1" applyProtection="1">
      <alignment vertical="center"/>
    </xf>
    <xf numFmtId="0" fontId="3" fillId="0" borderId="88" xfId="0" applyFont="1" applyFill="1" applyBorder="1" applyAlignment="1" applyProtection="1">
      <alignment horizontal="left" wrapText="1"/>
    </xf>
    <xf numFmtId="0" fontId="7" fillId="13" borderId="3" xfId="0" applyFont="1" applyFill="1" applyBorder="1" applyAlignment="1" applyProtection="1">
      <alignment horizontal="center" vertical="center" wrapText="1"/>
    </xf>
    <xf numFmtId="0" fontId="105" fillId="0" borderId="0" xfId="0" applyFont="1" applyFill="1" applyAlignment="1" applyProtection="1">
      <alignment horizontal="center" vertical="center"/>
    </xf>
    <xf numFmtId="0" fontId="126" fillId="0" borderId="0" xfId="0" applyFont="1" applyFill="1" applyAlignment="1" applyProtection="1">
      <alignment horizontal="center" vertical="center"/>
    </xf>
    <xf numFmtId="0" fontId="3" fillId="0" borderId="0" xfId="0" applyFont="1" applyFill="1" applyAlignment="1" applyProtection="1">
      <alignment horizontal="left" vertical="center" wrapText="1"/>
    </xf>
    <xf numFmtId="38" fontId="9" fillId="0" borderId="89" xfId="0" applyNumberFormat="1" applyFont="1" applyFill="1" applyBorder="1" applyAlignment="1" applyProtection="1">
      <alignment horizontal="center" vertical="center"/>
    </xf>
    <xf numFmtId="0" fontId="106" fillId="0" borderId="0" xfId="0" applyFont="1" applyFill="1" applyBorder="1" applyAlignment="1" applyProtection="1">
      <alignment horizontal="center" vertical="center"/>
    </xf>
    <xf numFmtId="0" fontId="110" fillId="0" borderId="0" xfId="0" applyFont="1" applyFill="1" applyBorder="1" applyProtection="1"/>
    <xf numFmtId="0" fontId="110" fillId="0" borderId="0" xfId="0" applyFont="1" applyFill="1" applyBorder="1" applyAlignment="1" applyProtection="1">
      <alignment horizontal="center"/>
    </xf>
    <xf numFmtId="0" fontId="110" fillId="0" borderId="0" xfId="0" applyFont="1" applyFill="1" applyBorder="1" applyAlignment="1" applyProtection="1">
      <alignment horizontal="center" vertical="center"/>
    </xf>
    <xf numFmtId="0" fontId="106" fillId="0" borderId="0" xfId="0" applyFont="1" applyFill="1" applyBorder="1" applyAlignment="1" applyProtection="1">
      <alignment horizontal="center"/>
    </xf>
    <xf numFmtId="3" fontId="106" fillId="0" borderId="0" xfId="0" applyNumberFormat="1" applyFont="1" applyFill="1" applyBorder="1" applyAlignment="1" applyProtection="1">
      <alignment horizontal="center"/>
    </xf>
    <xf numFmtId="0" fontId="95" fillId="0" borderId="0" xfId="0" applyFont="1" applyFill="1" applyBorder="1" applyAlignment="1" applyProtection="1">
      <alignment horizontal="center"/>
    </xf>
    <xf numFmtId="3" fontId="95" fillId="0" borderId="0" xfId="0" applyNumberFormat="1" applyFont="1" applyFill="1" applyBorder="1" applyAlignment="1" applyProtection="1">
      <alignment horizontal="center"/>
    </xf>
    <xf numFmtId="0" fontId="95" fillId="0" borderId="0" xfId="0" applyFont="1" applyFill="1" applyBorder="1" applyProtection="1"/>
    <xf numFmtId="0" fontId="99" fillId="0" borderId="0" xfId="0" applyFont="1" applyFill="1" applyBorder="1" applyAlignment="1" applyProtection="1">
      <alignment horizontal="center" vertical="center"/>
    </xf>
    <xf numFmtId="0" fontId="122" fillId="0" borderId="0" xfId="0" applyFont="1" applyFill="1" applyBorder="1" applyAlignment="1" applyProtection="1">
      <alignment vertical="center"/>
    </xf>
    <xf numFmtId="0" fontId="99" fillId="0" borderId="0" xfId="0" applyFont="1" applyFill="1" applyBorder="1" applyAlignment="1" applyProtection="1">
      <alignment horizontal="left" vertical="center"/>
    </xf>
    <xf numFmtId="0" fontId="143" fillId="0" borderId="0" xfId="0" applyFont="1" applyFill="1" applyBorder="1" applyAlignment="1" applyProtection="1">
      <alignment horizontal="left" vertical="center"/>
    </xf>
    <xf numFmtId="0" fontId="99" fillId="0" borderId="0" xfId="0" applyFont="1" applyFill="1" applyBorder="1" applyAlignment="1" applyProtection="1">
      <alignment vertical="center"/>
    </xf>
    <xf numFmtId="0" fontId="122" fillId="0" borderId="0" xfId="0" applyFont="1" applyFill="1" applyBorder="1" applyAlignment="1" applyProtection="1">
      <alignment horizontal="center" vertical="center"/>
    </xf>
    <xf numFmtId="0" fontId="122" fillId="0" borderId="0" xfId="0" applyFont="1" applyFill="1" applyBorder="1" applyProtection="1"/>
    <xf numFmtId="0" fontId="122" fillId="0" borderId="0" xfId="0" applyFont="1" applyFill="1" applyBorder="1" applyAlignment="1" applyProtection="1">
      <alignment horizontal="centerContinuous" vertical="center"/>
    </xf>
    <xf numFmtId="0" fontId="122" fillId="0" borderId="0" xfId="0" applyFont="1" applyFill="1" applyBorder="1" applyAlignment="1" applyProtection="1">
      <alignment horizontal="left" vertical="center"/>
    </xf>
    <xf numFmtId="0" fontId="106" fillId="0" borderId="0" xfId="0" applyFont="1" applyFill="1" applyBorder="1" applyAlignment="1" applyProtection="1">
      <alignment horizontal="centerContinuous" vertical="center"/>
    </xf>
    <xf numFmtId="0" fontId="122" fillId="0" borderId="0" xfId="0" applyFont="1" applyFill="1" applyBorder="1" applyAlignment="1" applyProtection="1">
      <alignment horizontal="right" vertical="center"/>
    </xf>
    <xf numFmtId="0" fontId="122" fillId="0" borderId="0" xfId="0" applyNumberFormat="1" applyFont="1" applyFill="1" applyBorder="1" applyAlignment="1" applyProtection="1">
      <alignment horizontal="center" vertical="center"/>
    </xf>
    <xf numFmtId="0" fontId="99" fillId="0" borderId="0" xfId="0" applyFont="1" applyFill="1" applyBorder="1" applyAlignment="1" applyProtection="1">
      <alignment horizontal="right" vertical="center"/>
    </xf>
    <xf numFmtId="0" fontId="122" fillId="0" borderId="0" xfId="0" applyFont="1" applyFill="1" applyBorder="1" applyAlignment="1" applyProtection="1">
      <alignment horizontal="center"/>
    </xf>
    <xf numFmtId="0" fontId="122" fillId="0" borderId="0" xfId="0" applyNumberFormat="1" applyFont="1" applyFill="1" applyBorder="1" applyAlignment="1" applyProtection="1">
      <alignment horizontal="left" vertical="center"/>
    </xf>
    <xf numFmtId="0" fontId="122" fillId="0" borderId="0" xfId="0" quotePrefix="1" applyFont="1" applyFill="1" applyBorder="1" applyAlignment="1" applyProtection="1">
      <alignment horizontal="center" vertical="center"/>
    </xf>
    <xf numFmtId="164" fontId="122" fillId="0" borderId="0" xfId="1" applyNumberFormat="1" applyFont="1" applyFill="1" applyBorder="1" applyAlignment="1" applyProtection="1">
      <alignment horizontal="center" vertical="center"/>
    </xf>
    <xf numFmtId="0" fontId="100" fillId="0" borderId="0" xfId="0" applyFont="1" applyFill="1" applyBorder="1" applyAlignment="1" applyProtection="1">
      <alignment vertical="top"/>
    </xf>
    <xf numFmtId="0" fontId="109" fillId="0" borderId="0" xfId="0" applyFont="1" applyFill="1" applyBorder="1" applyAlignment="1" applyProtection="1">
      <alignment vertical="center"/>
    </xf>
    <xf numFmtId="38" fontId="122" fillId="0" borderId="0" xfId="0" applyNumberFormat="1" applyFont="1" applyFill="1" applyBorder="1" applyAlignment="1" applyProtection="1">
      <alignment horizontal="left" vertical="center"/>
    </xf>
    <xf numFmtId="0" fontId="99" fillId="0" borderId="0" xfId="0" applyFont="1" applyFill="1" applyBorder="1" applyAlignment="1" applyProtection="1">
      <alignment horizontal="center"/>
    </xf>
    <xf numFmtId="0" fontId="146" fillId="0" borderId="0" xfId="0" applyFont="1" applyFill="1" applyBorder="1" applyAlignment="1" applyProtection="1">
      <alignment vertical="center"/>
    </xf>
    <xf numFmtId="0" fontId="145" fillId="0" borderId="0" xfId="6" applyFont="1" applyFill="1" applyBorder="1" applyAlignment="1" applyProtection="1">
      <alignment vertical="center"/>
    </xf>
    <xf numFmtId="1" fontId="122" fillId="0" borderId="0" xfId="1" applyNumberFormat="1" applyFont="1" applyFill="1" applyBorder="1" applyAlignment="1" applyProtection="1">
      <alignment horizontal="center" vertical="center"/>
    </xf>
    <xf numFmtId="0" fontId="122" fillId="0" borderId="0" xfId="1" applyNumberFormat="1" applyFont="1" applyFill="1" applyBorder="1" applyAlignment="1" applyProtection="1">
      <alignment horizontal="left" vertical="center"/>
    </xf>
    <xf numFmtId="0" fontId="122" fillId="0" borderId="0" xfId="0" quotePrefix="1" applyFont="1" applyFill="1" applyBorder="1" applyAlignment="1" applyProtection="1">
      <alignment vertical="center"/>
    </xf>
    <xf numFmtId="164" fontId="109" fillId="0" borderId="0" xfId="1" applyNumberFormat="1" applyFont="1" applyFill="1" applyBorder="1" applyAlignment="1" applyProtection="1">
      <alignment horizontal="center" vertical="center"/>
    </xf>
    <xf numFmtId="0" fontId="99" fillId="0" borderId="0" xfId="0" applyFont="1" applyFill="1" applyBorder="1" applyProtection="1"/>
    <xf numFmtId="0" fontId="122" fillId="0" borderId="0" xfId="0" applyFont="1" applyFill="1" applyBorder="1" applyAlignment="1" applyProtection="1">
      <alignment horizontal="left"/>
    </xf>
    <xf numFmtId="3" fontId="122" fillId="0" borderId="0" xfId="1" applyNumberFormat="1" applyFont="1" applyFill="1" applyBorder="1" applyAlignment="1" applyProtection="1">
      <alignment horizontal="center" vertical="center"/>
    </xf>
    <xf numFmtId="0" fontId="122" fillId="0" borderId="0" xfId="0" applyFont="1" applyFill="1" applyBorder="1" applyAlignment="1" applyProtection="1"/>
    <xf numFmtId="0" fontId="99" fillId="0" borderId="0" xfId="0" applyFont="1" applyFill="1" applyBorder="1" applyAlignment="1" applyProtection="1"/>
    <xf numFmtId="0" fontId="99" fillId="0" borderId="0" xfId="0" applyFont="1" applyFill="1" applyBorder="1" applyAlignment="1" applyProtection="1">
      <alignment horizontal="left"/>
    </xf>
    <xf numFmtId="165" fontId="122" fillId="0" borderId="0" xfId="1" applyNumberFormat="1" applyFont="1" applyFill="1" applyBorder="1" applyAlignment="1" applyProtection="1">
      <alignment horizontal="center" vertical="center"/>
    </xf>
    <xf numFmtId="166" fontId="99" fillId="0" borderId="0" xfId="10" applyNumberFormat="1" applyFont="1" applyFill="1" applyBorder="1" applyAlignment="1" applyProtection="1">
      <alignment horizontal="center" vertical="center"/>
    </xf>
    <xf numFmtId="0" fontId="109" fillId="0" borderId="0" xfId="0" applyFont="1" applyFill="1" applyBorder="1" applyAlignment="1" applyProtection="1">
      <alignment horizontal="left" vertical="center"/>
    </xf>
    <xf numFmtId="0" fontId="122" fillId="0" borderId="0" xfId="0" applyFont="1" applyFill="1" applyBorder="1" applyAlignment="1" applyProtection="1">
      <alignment wrapText="1"/>
    </xf>
    <xf numFmtId="0" fontId="122" fillId="0" borderId="0" xfId="0" applyFont="1" applyFill="1" applyBorder="1" applyAlignment="1" applyProtection="1">
      <alignment horizontal="left" wrapText="1"/>
    </xf>
    <xf numFmtId="0" fontId="122" fillId="0" borderId="0" xfId="0" applyFont="1" applyFill="1" applyBorder="1" applyAlignment="1" applyProtection="1">
      <alignment vertical="top"/>
    </xf>
    <xf numFmtId="9" fontId="122" fillId="0" borderId="0" xfId="1" applyNumberFormat="1" applyFont="1" applyFill="1" applyBorder="1" applyAlignment="1" applyProtection="1">
      <alignment horizontal="center" vertical="center"/>
    </xf>
    <xf numFmtId="167" fontId="122" fillId="0" borderId="0" xfId="0" applyNumberFormat="1" applyFont="1" applyFill="1" applyBorder="1" applyAlignment="1" applyProtection="1">
      <alignment horizontal="center" vertical="center"/>
    </xf>
    <xf numFmtId="0" fontId="122" fillId="0" borderId="0" xfId="0" quotePrefix="1" applyFont="1" applyFill="1" applyBorder="1" applyAlignment="1" applyProtection="1">
      <alignment horizontal="left" vertical="center"/>
    </xf>
    <xf numFmtId="10" fontId="99" fillId="0" borderId="0" xfId="10" applyNumberFormat="1" applyFont="1" applyFill="1" applyBorder="1" applyAlignment="1" applyProtection="1">
      <alignment horizontal="center" vertical="center"/>
    </xf>
    <xf numFmtId="0" fontId="100" fillId="0" borderId="0" xfId="0" applyFont="1" applyFill="1" applyBorder="1" applyAlignment="1" applyProtection="1">
      <alignment vertical="center"/>
    </xf>
    <xf numFmtId="0" fontId="99" fillId="0" borderId="0" xfId="0" quotePrefix="1" applyFont="1" applyFill="1" applyBorder="1" applyAlignment="1" applyProtection="1">
      <alignment horizontal="center" vertical="center"/>
    </xf>
    <xf numFmtId="0" fontId="143" fillId="0" borderId="0" xfId="0" applyFont="1" applyFill="1" applyBorder="1" applyAlignment="1" applyProtection="1">
      <alignment vertical="center"/>
    </xf>
    <xf numFmtId="0" fontId="99" fillId="0" borderId="0" xfId="0" applyFont="1" applyFill="1" applyBorder="1" applyAlignment="1" applyProtection="1">
      <alignment horizontal="right"/>
    </xf>
    <xf numFmtId="0" fontId="99" fillId="0" borderId="0" xfId="0" quotePrefix="1" applyFont="1" applyFill="1" applyBorder="1" applyAlignment="1" applyProtection="1"/>
    <xf numFmtId="0" fontId="99" fillId="0" borderId="0" xfId="0" quotePrefix="1" applyFont="1" applyFill="1" applyBorder="1" applyAlignment="1" applyProtection="1">
      <alignment horizontal="right"/>
    </xf>
    <xf numFmtId="0" fontId="99" fillId="0" borderId="0" xfId="0" quotePrefix="1" applyFont="1" applyFill="1" applyBorder="1" applyAlignment="1" applyProtection="1">
      <alignment vertical="center"/>
    </xf>
    <xf numFmtId="0" fontId="122" fillId="0" borderId="0" xfId="0" applyFont="1" applyFill="1" applyBorder="1" applyAlignment="1" applyProtection="1">
      <alignment horizontal="right"/>
    </xf>
    <xf numFmtId="0" fontId="99" fillId="0" borderId="0" xfId="0" applyNumberFormat="1" applyFont="1" applyFill="1" applyBorder="1" applyAlignment="1" applyProtection="1">
      <alignment horizontal="center" vertical="center"/>
    </xf>
    <xf numFmtId="166" fontId="122" fillId="0" borderId="0" xfId="0" applyNumberFormat="1" applyFont="1" applyFill="1" applyBorder="1" applyAlignment="1" applyProtection="1">
      <alignment horizontal="center" vertical="center"/>
    </xf>
    <xf numFmtId="2" fontId="122" fillId="0" borderId="0" xfId="0" applyNumberFormat="1" applyFont="1" applyFill="1" applyBorder="1" applyAlignment="1" applyProtection="1">
      <alignment horizontal="center" vertical="center"/>
    </xf>
    <xf numFmtId="10" fontId="122" fillId="0" borderId="0" xfId="0" applyNumberFormat="1" applyFont="1" applyFill="1" applyBorder="1" applyAlignment="1" applyProtection="1">
      <alignment horizontal="center" vertical="center"/>
    </xf>
    <xf numFmtId="0" fontId="122" fillId="0" borderId="0" xfId="0" applyFont="1" applyFill="1" applyBorder="1" applyAlignment="1" applyProtection="1">
      <alignment vertical="center" wrapText="1"/>
    </xf>
    <xf numFmtId="0" fontId="148" fillId="0" borderId="0" xfId="0" applyFont="1" applyFill="1" applyBorder="1" applyAlignment="1" applyProtection="1">
      <alignment horizontal="center" vertical="center"/>
    </xf>
    <xf numFmtId="9" fontId="143" fillId="0" borderId="0" xfId="0" applyNumberFormat="1" applyFont="1" applyFill="1" applyBorder="1" applyAlignment="1" applyProtection="1">
      <alignment horizontal="center" vertical="center"/>
    </xf>
    <xf numFmtId="38" fontId="99" fillId="0" borderId="0" xfId="0" applyNumberFormat="1" applyFont="1" applyFill="1" applyBorder="1" applyAlignment="1" applyProtection="1">
      <alignment horizontal="center" vertical="center"/>
    </xf>
    <xf numFmtId="0" fontId="143" fillId="0" borderId="0" xfId="0" applyFont="1" applyFill="1" applyBorder="1" applyProtection="1"/>
    <xf numFmtId="0" fontId="100" fillId="0" borderId="0" xfId="0" applyFont="1" applyFill="1" applyBorder="1" applyAlignment="1" applyProtection="1"/>
    <xf numFmtId="0" fontId="144" fillId="0" borderId="0" xfId="0" applyFont="1" applyFill="1" applyBorder="1" applyAlignment="1" applyProtection="1">
      <alignment vertical="top"/>
    </xf>
    <xf numFmtId="164" fontId="122" fillId="0" borderId="0" xfId="1" applyNumberFormat="1" applyFont="1" applyFill="1" applyBorder="1" applyAlignment="1" applyProtection="1">
      <alignment vertical="center"/>
    </xf>
    <xf numFmtId="0" fontId="141" fillId="0" borderId="0" xfId="0" applyFont="1" applyFill="1" applyBorder="1" applyAlignment="1" applyProtection="1">
      <alignment horizontal="center" vertical="center"/>
    </xf>
    <xf numFmtId="0" fontId="151" fillId="0" borderId="0" xfId="0" applyFont="1" applyFill="1" applyBorder="1" applyAlignment="1" applyProtection="1">
      <alignment horizontal="right" vertical="center"/>
    </xf>
    <xf numFmtId="164" fontId="99" fillId="0" borderId="0" xfId="1" applyNumberFormat="1" applyFont="1" applyFill="1" applyBorder="1" applyAlignment="1" applyProtection="1">
      <alignment horizontal="center" vertical="center"/>
    </xf>
    <xf numFmtId="164" fontId="151" fillId="0" borderId="0" xfId="1" applyNumberFormat="1" applyFont="1" applyFill="1" applyBorder="1" applyAlignment="1" applyProtection="1">
      <alignment horizontal="right" vertical="center"/>
    </xf>
    <xf numFmtId="171" fontId="99" fillId="0" borderId="0" xfId="0" applyNumberFormat="1" applyFont="1" applyFill="1" applyBorder="1" applyAlignment="1" applyProtection="1">
      <alignment horizontal="center" vertical="center"/>
    </xf>
    <xf numFmtId="10" fontId="99" fillId="0" borderId="0" xfId="0" applyNumberFormat="1" applyFont="1" applyFill="1" applyBorder="1" applyAlignment="1" applyProtection="1">
      <alignment horizontal="center" vertical="center"/>
    </xf>
    <xf numFmtId="10" fontId="122" fillId="0" borderId="0" xfId="0" applyNumberFormat="1" applyFont="1" applyFill="1" applyBorder="1" applyAlignment="1" applyProtection="1">
      <alignment horizontal="center"/>
    </xf>
    <xf numFmtId="164" fontId="122" fillId="0" borderId="0" xfId="1" applyNumberFormat="1" applyFont="1" applyFill="1" applyBorder="1" applyAlignment="1" applyProtection="1">
      <alignment horizontal="center"/>
    </xf>
    <xf numFmtId="0" fontId="122" fillId="0" borderId="0" xfId="0" applyFont="1" applyFill="1" applyBorder="1" applyAlignment="1" applyProtection="1">
      <alignment horizontal="left" vertical="top"/>
    </xf>
    <xf numFmtId="0" fontId="149" fillId="0" borderId="0" xfId="0" applyFont="1" applyFill="1" applyBorder="1" applyAlignment="1" applyProtection="1">
      <alignment vertical="top"/>
    </xf>
    <xf numFmtId="0" fontId="149" fillId="0" borderId="0" xfId="0" applyFont="1" applyFill="1" applyBorder="1" applyAlignment="1" applyProtection="1">
      <alignment vertical="center"/>
    </xf>
    <xf numFmtId="4" fontId="149" fillId="0" borderId="0" xfId="1" applyNumberFormat="1" applyFont="1" applyFill="1" applyBorder="1" applyAlignment="1" applyProtection="1">
      <alignment horizontal="right" vertical="center"/>
    </xf>
    <xf numFmtId="171" fontId="146" fillId="0" borderId="0" xfId="0" applyNumberFormat="1" applyFont="1" applyFill="1" applyBorder="1" applyAlignment="1" applyProtection="1">
      <alignment horizontal="left" vertical="center"/>
    </xf>
    <xf numFmtId="174" fontId="122" fillId="0" borderId="0" xfId="0" applyNumberFormat="1" applyFont="1" applyFill="1" applyBorder="1" applyAlignment="1" applyProtection="1">
      <alignment horizontal="center"/>
    </xf>
    <xf numFmtId="0" fontId="149" fillId="0" borderId="0" xfId="0" applyFont="1" applyFill="1" applyBorder="1" applyAlignment="1" applyProtection="1">
      <alignment horizontal="right" vertical="center"/>
    </xf>
    <xf numFmtId="164" fontId="122" fillId="0" borderId="0" xfId="1" applyNumberFormat="1" applyFont="1" applyFill="1" applyBorder="1" applyProtection="1"/>
    <xf numFmtId="3" fontId="122" fillId="0" borderId="0" xfId="0" applyNumberFormat="1" applyFont="1" applyFill="1" applyBorder="1" applyAlignment="1" applyProtection="1">
      <alignment vertical="center"/>
    </xf>
    <xf numFmtId="3" fontId="122" fillId="0" borderId="0" xfId="0" applyNumberFormat="1" applyFont="1" applyFill="1" applyBorder="1" applyProtection="1"/>
    <xf numFmtId="3" fontId="122" fillId="0" borderId="0" xfId="0" applyNumberFormat="1" applyFont="1" applyFill="1" applyBorder="1" applyAlignment="1" applyProtection="1">
      <alignment horizontal="center" vertical="center"/>
    </xf>
    <xf numFmtId="0" fontId="151" fillId="0" borderId="0" xfId="0" applyFont="1" applyFill="1" applyBorder="1" applyAlignment="1" applyProtection="1">
      <alignment horizontal="center" vertical="center"/>
    </xf>
    <xf numFmtId="6" fontId="122" fillId="0" borderId="0" xfId="0" applyNumberFormat="1" applyFont="1" applyFill="1" applyBorder="1" applyAlignment="1" applyProtection="1">
      <alignment horizontal="center" vertical="center"/>
    </xf>
    <xf numFmtId="0" fontId="151" fillId="0" borderId="0" xfId="0" applyFont="1" applyFill="1" applyBorder="1" applyAlignment="1" applyProtection="1">
      <alignment horizontal="left" vertical="center"/>
    </xf>
    <xf numFmtId="0" fontId="149" fillId="0" borderId="0" xfId="0" applyFont="1" applyFill="1" applyBorder="1" applyAlignment="1" applyProtection="1">
      <alignment horizontal="center" vertical="center"/>
    </xf>
    <xf numFmtId="38" fontId="99" fillId="0" borderId="0" xfId="0" applyNumberFormat="1" applyFont="1" applyFill="1" applyBorder="1" applyAlignment="1" applyProtection="1">
      <alignment horizontal="right" vertical="center"/>
    </xf>
    <xf numFmtId="164" fontId="122" fillId="0" borderId="0" xfId="1" applyNumberFormat="1" applyFont="1" applyFill="1" applyBorder="1" applyAlignment="1" applyProtection="1">
      <alignment horizontal="left" vertical="center"/>
    </xf>
    <xf numFmtId="0" fontId="144" fillId="0" borderId="0" xfId="0" applyFont="1" applyFill="1" applyBorder="1" applyAlignment="1" applyProtection="1">
      <alignment horizontal="left" vertical="top"/>
    </xf>
    <xf numFmtId="0" fontId="152" fillId="0" borderId="0" xfId="0" applyFont="1" applyFill="1" applyBorder="1" applyAlignment="1" applyProtection="1">
      <alignment horizontal="right" vertical="center"/>
    </xf>
    <xf numFmtId="0" fontId="122" fillId="0" borderId="0" xfId="0" quotePrefix="1" applyFont="1" applyFill="1" applyBorder="1" applyAlignment="1" applyProtection="1">
      <alignment horizontal="right" vertical="center"/>
    </xf>
    <xf numFmtId="0" fontId="144" fillId="0" borderId="0" xfId="0" applyFont="1" applyFill="1" applyBorder="1" applyAlignment="1" applyProtection="1">
      <alignment vertical="center"/>
    </xf>
    <xf numFmtId="0" fontId="119" fillId="0" borderId="0" xfId="0" applyFont="1" applyFill="1" applyBorder="1" applyAlignment="1" applyProtection="1">
      <alignment horizontal="left" vertical="center"/>
    </xf>
    <xf numFmtId="0" fontId="143" fillId="0" borderId="0" xfId="0" applyFont="1" applyFill="1" applyBorder="1" applyAlignment="1" applyProtection="1">
      <alignment vertical="top"/>
    </xf>
    <xf numFmtId="38" fontId="143" fillId="0" borderId="0" xfId="0" applyNumberFormat="1" applyFont="1" applyFill="1" applyBorder="1" applyAlignment="1" applyProtection="1">
      <alignment vertical="center"/>
    </xf>
    <xf numFmtId="38" fontId="122" fillId="0" borderId="0" xfId="0" applyNumberFormat="1" applyFont="1" applyFill="1" applyBorder="1" applyAlignment="1" applyProtection="1">
      <alignment horizontal="center" vertical="center"/>
    </xf>
    <xf numFmtId="0" fontId="95" fillId="0" borderId="0" xfId="0" applyFont="1" applyFill="1" applyBorder="1" applyAlignment="1" applyProtection="1">
      <alignment horizontal="left" vertical="center"/>
    </xf>
    <xf numFmtId="0" fontId="155" fillId="0" borderId="0" xfId="0" applyFont="1" applyFill="1" applyBorder="1" applyProtection="1"/>
    <xf numFmtId="0" fontId="96" fillId="0" borderId="0" xfId="0" applyFont="1" applyFill="1" applyBorder="1" applyAlignment="1" applyProtection="1">
      <alignment vertical="center"/>
    </xf>
    <xf numFmtId="0" fontId="95" fillId="0" borderId="0" xfId="0" applyFont="1" applyFill="1" applyBorder="1" applyAlignment="1" applyProtection="1">
      <alignment horizontal="center" vertical="center"/>
    </xf>
    <xf numFmtId="0" fontId="95" fillId="0" borderId="0" xfId="0" applyFont="1" applyFill="1" applyBorder="1" applyAlignment="1" applyProtection="1">
      <alignment horizontal="left"/>
    </xf>
    <xf numFmtId="0" fontId="96" fillId="0" borderId="0" xfId="0" applyFont="1" applyFill="1" applyBorder="1" applyAlignment="1" applyProtection="1">
      <alignment horizontal="center" vertical="center"/>
    </xf>
    <xf numFmtId="0" fontId="96" fillId="0" borderId="0" xfId="0" applyFont="1" applyFill="1" applyBorder="1" applyAlignment="1" applyProtection="1">
      <alignment horizontal="center" vertical="center" wrapText="1"/>
    </xf>
    <xf numFmtId="0" fontId="119" fillId="0" borderId="0" xfId="0" applyFont="1" applyFill="1" applyBorder="1" applyAlignment="1" applyProtection="1">
      <alignment horizontal="center" vertical="center"/>
    </xf>
    <xf numFmtId="164" fontId="110" fillId="0" borderId="0" xfId="1" applyNumberFormat="1" applyFont="1" applyFill="1" applyBorder="1" applyAlignment="1" applyProtection="1">
      <alignment horizontal="center" vertical="center"/>
    </xf>
    <xf numFmtId="3" fontId="110" fillId="0" borderId="0" xfId="0" applyNumberFormat="1" applyFont="1" applyFill="1" applyBorder="1" applyAlignment="1" applyProtection="1">
      <alignment horizontal="center" vertical="center"/>
    </xf>
    <xf numFmtId="10" fontId="110" fillId="0" borderId="0" xfId="0" applyNumberFormat="1" applyFont="1" applyFill="1" applyBorder="1" applyAlignment="1" applyProtection="1">
      <alignment horizontal="center" vertical="center"/>
    </xf>
    <xf numFmtId="0" fontId="95" fillId="0" borderId="0" xfId="0" applyFont="1" applyFill="1" applyBorder="1" applyAlignment="1" applyProtection="1">
      <alignment horizontal="right" vertical="center"/>
    </xf>
    <xf numFmtId="0" fontId="106" fillId="0" borderId="0" xfId="0" applyFont="1" applyFill="1" applyBorder="1" applyAlignment="1" applyProtection="1">
      <alignment horizontal="right" vertical="center"/>
    </xf>
    <xf numFmtId="0" fontId="121" fillId="0" borderId="0" xfId="0" applyNumberFormat="1" applyFont="1" applyFill="1" applyBorder="1" applyAlignment="1" applyProtection="1">
      <alignment horizontal="center" vertical="center" wrapText="1"/>
    </xf>
    <xf numFmtId="0" fontId="95" fillId="0" borderId="0" xfId="0" applyNumberFormat="1" applyFont="1" applyFill="1" applyBorder="1" applyAlignment="1" applyProtection="1">
      <alignment horizontal="center" vertical="center" wrapText="1"/>
    </xf>
    <xf numFmtId="164" fontId="106" fillId="0" borderId="0" xfId="1" applyNumberFormat="1" applyFont="1" applyFill="1" applyBorder="1" applyAlignment="1" applyProtection="1">
      <alignment horizontal="right" vertical="center"/>
    </xf>
    <xf numFmtId="0" fontId="107" fillId="0" borderId="0" xfId="0" applyFont="1" applyFill="1" applyBorder="1" applyAlignment="1" applyProtection="1">
      <alignment horizontal="left" vertical="center" wrapText="1"/>
    </xf>
    <xf numFmtId="0" fontId="96" fillId="0" borderId="0" xfId="0" applyFont="1" applyFill="1" applyBorder="1" applyAlignment="1" applyProtection="1">
      <alignment horizontal="center"/>
    </xf>
    <xf numFmtId="0" fontId="107" fillId="0" borderId="0" xfId="0" applyFont="1" applyFill="1" applyBorder="1" applyAlignment="1" applyProtection="1">
      <alignment vertical="center" wrapText="1"/>
    </xf>
    <xf numFmtId="0" fontId="110" fillId="0" borderId="0" xfId="0" applyFont="1" applyFill="1" applyBorder="1" applyAlignment="1" applyProtection="1">
      <alignment horizontal="left"/>
    </xf>
    <xf numFmtId="10" fontId="106" fillId="0" borderId="0" xfId="0" applyNumberFormat="1" applyFont="1" applyFill="1" applyBorder="1" applyProtection="1"/>
    <xf numFmtId="0" fontId="106" fillId="0" borderId="0" xfId="0" applyFont="1" applyFill="1" applyBorder="1" applyAlignment="1" applyProtection="1"/>
    <xf numFmtId="0" fontId="110" fillId="0" borderId="0" xfId="0" applyFont="1" applyFill="1" applyBorder="1" applyAlignment="1" applyProtection="1">
      <alignment horizontal="left" indent="2"/>
    </xf>
    <xf numFmtId="9" fontId="106" fillId="0" borderId="0" xfId="10" applyFont="1" applyFill="1" applyBorder="1" applyProtection="1"/>
    <xf numFmtId="0" fontId="158" fillId="0" borderId="0" xfId="0" applyFont="1" applyFill="1" applyBorder="1" applyProtection="1"/>
    <xf numFmtId="0" fontId="159" fillId="0" borderId="0" xfId="1" applyNumberFormat="1" applyFont="1" applyFill="1" applyBorder="1" applyAlignment="1" applyProtection="1">
      <alignment horizontal="center"/>
    </xf>
    <xf numFmtId="164" fontId="106" fillId="0" borderId="0" xfId="1" applyNumberFormat="1" applyFont="1" applyFill="1" applyBorder="1" applyProtection="1"/>
    <xf numFmtId="44" fontId="106" fillId="0" borderId="0" xfId="0" applyNumberFormat="1" applyFont="1" applyFill="1" applyBorder="1" applyProtection="1"/>
    <xf numFmtId="0" fontId="158" fillId="0" borderId="0" xfId="0" applyFont="1" applyFill="1" applyBorder="1" applyAlignment="1" applyProtection="1">
      <alignment horizontal="right" vertical="center"/>
    </xf>
    <xf numFmtId="3" fontId="106" fillId="0" borderId="0" xfId="0" applyNumberFormat="1" applyFont="1" applyFill="1" applyBorder="1" applyAlignment="1" applyProtection="1">
      <alignment vertical="center"/>
    </xf>
    <xf numFmtId="38" fontId="106" fillId="0" borderId="0" xfId="1" applyNumberFormat="1" applyFont="1" applyFill="1" applyBorder="1" applyAlignment="1" applyProtection="1">
      <alignment horizontal="right" vertical="center"/>
    </xf>
    <xf numFmtId="38" fontId="106" fillId="0" borderId="0" xfId="0" applyNumberFormat="1" applyFont="1" applyFill="1" applyBorder="1" applyAlignment="1" applyProtection="1">
      <alignment horizontal="center" vertical="center"/>
    </xf>
    <xf numFmtId="3" fontId="106" fillId="0" borderId="0" xfId="1" applyNumberFormat="1" applyFont="1" applyFill="1" applyBorder="1" applyAlignment="1" applyProtection="1">
      <alignment vertical="center"/>
    </xf>
    <xf numFmtId="4" fontId="110" fillId="0" borderId="0" xfId="1" applyNumberFormat="1" applyFont="1" applyFill="1" applyBorder="1" applyAlignment="1" applyProtection="1">
      <alignment horizontal="center" vertical="center"/>
    </xf>
    <xf numFmtId="0" fontId="155" fillId="0" borderId="0" xfId="0" applyFont="1" applyFill="1" applyBorder="1" applyAlignment="1" applyProtection="1">
      <alignment vertical="center"/>
    </xf>
    <xf numFmtId="0" fontId="95" fillId="0" borderId="0" xfId="0" applyFont="1" applyFill="1" applyBorder="1" applyAlignment="1" applyProtection="1"/>
    <xf numFmtId="10" fontId="106" fillId="0" borderId="0" xfId="0" applyNumberFormat="1" applyFont="1" applyFill="1" applyBorder="1" applyAlignment="1" applyProtection="1">
      <alignment horizontal="left"/>
    </xf>
    <xf numFmtId="0" fontId="106" fillId="0" borderId="0" xfId="0" applyFont="1" applyFill="1" applyBorder="1" applyAlignment="1" applyProtection="1">
      <alignment horizontal="left"/>
    </xf>
    <xf numFmtId="10" fontId="106" fillId="0" borderId="0" xfId="0" applyNumberFormat="1" applyFont="1" applyFill="1" applyBorder="1" applyAlignment="1" applyProtection="1">
      <alignment horizontal="center"/>
    </xf>
    <xf numFmtId="0" fontId="106" fillId="0" borderId="0" xfId="0" applyFont="1" applyFill="1" applyBorder="1" applyAlignment="1" applyProtection="1">
      <alignment horizontal="right"/>
    </xf>
    <xf numFmtId="0" fontId="106" fillId="0" borderId="0" xfId="0" quotePrefix="1" applyFont="1" applyFill="1" applyBorder="1" applyAlignment="1" applyProtection="1">
      <alignment horizontal="left" vertical="center"/>
    </xf>
    <xf numFmtId="43" fontId="106" fillId="0" borderId="0" xfId="1" applyNumberFormat="1" applyFont="1" applyFill="1" applyBorder="1" applyProtection="1"/>
    <xf numFmtId="39" fontId="106" fillId="0" borderId="0" xfId="1" applyNumberFormat="1" applyFont="1" applyFill="1" applyBorder="1" applyAlignment="1" applyProtection="1">
      <alignment horizontal="right"/>
    </xf>
    <xf numFmtId="164" fontId="95" fillId="0" borderId="0" xfId="1" applyNumberFormat="1" applyFont="1" applyFill="1" applyBorder="1" applyProtection="1"/>
    <xf numFmtId="0" fontId="159" fillId="0" borderId="0" xfId="0" applyFont="1" applyFill="1" applyBorder="1" applyProtection="1"/>
    <xf numFmtId="0" fontId="155" fillId="0" borderId="0" xfId="0" applyFont="1" applyFill="1" applyBorder="1" applyAlignment="1" applyProtection="1">
      <alignment horizontal="left" vertical="top"/>
    </xf>
    <xf numFmtId="0" fontId="95" fillId="0" borderId="0" xfId="0" applyFont="1" applyFill="1" applyBorder="1" applyAlignment="1" applyProtection="1">
      <alignment horizontal="left" vertical="top"/>
    </xf>
    <xf numFmtId="0" fontId="95" fillId="0" borderId="0" xfId="0" applyFont="1" applyFill="1" applyBorder="1" applyAlignment="1" applyProtection="1">
      <alignment vertical="top"/>
    </xf>
    <xf numFmtId="0" fontId="121" fillId="0" borderId="0" xfId="0" applyFont="1" applyFill="1" applyBorder="1" applyAlignment="1" applyProtection="1">
      <alignment vertical="top"/>
    </xf>
    <xf numFmtId="0" fontId="121" fillId="0" borderId="0" xfId="0" applyFont="1" applyFill="1" applyBorder="1" applyAlignment="1" applyProtection="1">
      <alignment vertical="center"/>
    </xf>
    <xf numFmtId="0" fontId="107" fillId="0" borderId="0" xfId="0" applyFont="1" applyFill="1" applyBorder="1" applyAlignment="1" applyProtection="1">
      <alignment horizontal="center" vertical="center"/>
    </xf>
    <xf numFmtId="0" fontId="121" fillId="0" borderId="0" xfId="0" applyFont="1" applyFill="1" applyBorder="1" applyAlignment="1" applyProtection="1">
      <alignment horizontal="right" vertical="top" wrapText="1"/>
    </xf>
    <xf numFmtId="0" fontId="121" fillId="0" borderId="0" xfId="0" applyFont="1" applyFill="1" applyBorder="1" applyAlignment="1" applyProtection="1">
      <alignment horizontal="right" vertical="top"/>
    </xf>
    <xf numFmtId="0" fontId="107" fillId="0" borderId="0" xfId="0" applyFont="1" applyFill="1" applyBorder="1" applyAlignment="1" applyProtection="1">
      <alignment horizontal="left" vertical="center"/>
    </xf>
    <xf numFmtId="0" fontId="107" fillId="0" borderId="0" xfId="0" applyFont="1" applyFill="1" applyBorder="1" applyAlignment="1" applyProtection="1">
      <alignment horizontal="right" vertical="center"/>
    </xf>
    <xf numFmtId="0" fontId="121" fillId="0" borderId="0" xfId="0" applyFont="1" applyFill="1" applyBorder="1" applyAlignment="1" applyProtection="1">
      <alignment horizontal="right" vertical="center"/>
    </xf>
    <xf numFmtId="0" fontId="163" fillId="0" borderId="0" xfId="0" applyFont="1" applyFill="1" applyBorder="1" applyAlignment="1" applyProtection="1">
      <alignment vertical="center"/>
    </xf>
    <xf numFmtId="0" fontId="163" fillId="0" borderId="0" xfId="0" applyFont="1" applyFill="1" applyBorder="1" applyAlignment="1" applyProtection="1">
      <alignment vertical="top"/>
    </xf>
    <xf numFmtId="0" fontId="163" fillId="0" borderId="0" xfId="0" applyFont="1" applyFill="1" applyBorder="1" applyAlignment="1" applyProtection="1">
      <alignment vertical="top" wrapText="1"/>
    </xf>
    <xf numFmtId="0" fontId="107" fillId="0" borderId="0" xfId="0" applyFont="1" applyFill="1" applyBorder="1" applyAlignment="1" applyProtection="1">
      <alignment horizontal="left" vertical="top" wrapText="1"/>
    </xf>
    <xf numFmtId="0" fontId="109" fillId="0" borderId="0" xfId="0" applyFont="1" applyFill="1" applyBorder="1" applyAlignment="1" applyProtection="1">
      <alignment horizontal="right"/>
    </xf>
    <xf numFmtId="0" fontId="107" fillId="0" borderId="0" xfId="0" applyFont="1" applyFill="1" applyBorder="1" applyAlignment="1" applyProtection="1">
      <alignment vertical="top"/>
    </xf>
    <xf numFmtId="0" fontId="96" fillId="0" borderId="0" xfId="0" applyFont="1" applyFill="1" applyBorder="1" applyAlignment="1" applyProtection="1">
      <alignment horizontal="right" vertical="center"/>
    </xf>
    <xf numFmtId="0" fontId="107" fillId="0" borderId="0" xfId="0" applyFont="1" applyFill="1" applyBorder="1" applyAlignment="1" applyProtection="1">
      <alignment horizontal="center"/>
    </xf>
    <xf numFmtId="0" fontId="107" fillId="0" borderId="0" xfId="0" applyFont="1" applyFill="1" applyBorder="1" applyAlignment="1" applyProtection="1">
      <alignment horizontal="left"/>
    </xf>
    <xf numFmtId="3" fontId="109" fillId="0" borderId="0" xfId="0" applyNumberFormat="1" applyFont="1" applyFill="1" applyBorder="1" applyAlignment="1" applyProtection="1">
      <alignment horizontal="center"/>
    </xf>
    <xf numFmtId="0" fontId="107" fillId="0" borderId="0" xfId="0" applyFont="1" applyFill="1" applyBorder="1" applyAlignment="1" applyProtection="1">
      <alignment horizontal="left" vertical="top"/>
    </xf>
    <xf numFmtId="3" fontId="107" fillId="0" borderId="0" xfId="0" applyNumberFormat="1" applyFont="1" applyFill="1" applyBorder="1" applyAlignment="1" applyProtection="1">
      <alignment horizontal="center"/>
    </xf>
    <xf numFmtId="0" fontId="163" fillId="0" borderId="0" xfId="0" applyFont="1" applyFill="1" applyBorder="1" applyAlignment="1" applyProtection="1">
      <alignment horizontal="left" vertical="center"/>
    </xf>
    <xf numFmtId="0" fontId="121" fillId="0" borderId="0" xfId="0" applyFont="1" applyFill="1" applyBorder="1" applyAlignment="1" applyProtection="1">
      <alignment horizontal="left" vertical="center"/>
    </xf>
    <xf numFmtId="0" fontId="107" fillId="0" borderId="0" xfId="0" applyFont="1" applyFill="1" applyBorder="1" applyAlignment="1" applyProtection="1">
      <alignment vertical="top" wrapText="1"/>
    </xf>
    <xf numFmtId="0" fontId="96" fillId="0" borderId="0" xfId="0" applyFont="1" applyFill="1" applyBorder="1" applyAlignment="1" applyProtection="1">
      <alignment horizontal="right" vertical="top"/>
    </xf>
    <xf numFmtId="0" fontId="106" fillId="0" borderId="0" xfId="0" applyFont="1" applyFill="1" applyBorder="1" applyAlignment="1" applyProtection="1">
      <alignment vertical="top"/>
    </xf>
    <xf numFmtId="0" fontId="107" fillId="0" borderId="0" xfId="0" applyFont="1" applyFill="1" applyBorder="1" applyAlignment="1" applyProtection="1">
      <alignment horizontal="right" vertical="top"/>
    </xf>
    <xf numFmtId="0" fontId="107" fillId="0" borderId="0" xfId="0" applyFont="1" applyFill="1" applyBorder="1" applyAlignment="1" applyProtection="1">
      <alignment horizontal="center" vertical="top"/>
    </xf>
    <xf numFmtId="0" fontId="121" fillId="0" borderId="0" xfId="0" applyFont="1" applyFill="1" applyBorder="1" applyAlignment="1" applyProtection="1">
      <alignment horizontal="center" vertical="center"/>
    </xf>
    <xf numFmtId="0" fontId="107" fillId="0" borderId="0" xfId="0" applyFont="1" applyFill="1" applyBorder="1" applyAlignment="1" applyProtection="1">
      <alignment horizontal="right"/>
    </xf>
    <xf numFmtId="0" fontId="106" fillId="0" borderId="0" xfId="0" applyFont="1" applyFill="1" applyBorder="1" applyAlignment="1" applyProtection="1">
      <alignment horizontal="left" vertical="top" wrapText="1"/>
    </xf>
    <xf numFmtId="0" fontId="107" fillId="0" borderId="0" xfId="0" applyFont="1" applyFill="1" applyBorder="1" applyAlignment="1" applyProtection="1"/>
    <xf numFmtId="0" fontId="109" fillId="0" borderId="0" xfId="0" applyFont="1" applyFill="1" applyBorder="1" applyAlignment="1" applyProtection="1">
      <alignment horizontal="center" vertical="center"/>
    </xf>
    <xf numFmtId="0" fontId="109" fillId="0" borderId="0" xfId="0" applyFont="1" applyFill="1" applyBorder="1" applyAlignment="1" applyProtection="1">
      <alignment horizontal="right" vertical="center"/>
    </xf>
    <xf numFmtId="0" fontId="95" fillId="0" borderId="0" xfId="0" applyFont="1" applyFill="1" applyBorder="1" applyAlignment="1" applyProtection="1">
      <alignment horizontal="left" vertical="top" wrapText="1"/>
    </xf>
    <xf numFmtId="0" fontId="121" fillId="0" borderId="0" xfId="0" applyFont="1" applyFill="1" applyBorder="1" applyAlignment="1" applyProtection="1">
      <alignment horizontal="left" vertical="top" wrapText="1"/>
    </xf>
    <xf numFmtId="0" fontId="121" fillId="0" borderId="0" xfId="0" applyFont="1" applyFill="1" applyBorder="1" applyProtection="1"/>
    <xf numFmtId="0" fontId="106" fillId="0" borderId="0" xfId="0" applyFont="1" applyFill="1" applyBorder="1" applyAlignment="1" applyProtection="1">
      <alignment horizontal="left" vertical="center" wrapText="1"/>
    </xf>
    <xf numFmtId="0" fontId="106" fillId="0" borderId="0" xfId="0" applyFont="1" applyFill="1" applyBorder="1" applyAlignment="1" applyProtection="1">
      <alignment horizontal="left" vertical="center"/>
    </xf>
    <xf numFmtId="1" fontId="107" fillId="0" borderId="0" xfId="0" applyNumberFormat="1" applyFont="1" applyFill="1" applyBorder="1" applyAlignment="1" applyProtection="1">
      <alignment horizontal="left" vertical="center"/>
    </xf>
    <xf numFmtId="0" fontId="95" fillId="0" borderId="0" xfId="0" applyFont="1" applyFill="1" applyBorder="1" applyAlignment="1" applyProtection="1">
      <alignment horizontal="center" wrapText="1"/>
    </xf>
    <xf numFmtId="0" fontId="140" fillId="0" borderId="0" xfId="0" applyFont="1" applyFill="1" applyBorder="1" applyAlignment="1" applyProtection="1">
      <alignment vertical="center"/>
    </xf>
    <xf numFmtId="0" fontId="159" fillId="0" borderId="0" xfId="0" applyFont="1" applyFill="1" applyBorder="1" applyAlignment="1" applyProtection="1">
      <alignment horizontal="center" vertical="center"/>
    </xf>
    <xf numFmtId="38" fontId="95" fillId="0" borderId="0" xfId="0" applyNumberFormat="1" applyFont="1" applyFill="1" applyBorder="1" applyAlignment="1" applyProtection="1">
      <alignment horizontal="center" vertical="center"/>
    </xf>
    <xf numFmtId="0" fontId="158" fillId="0" borderId="0" xfId="0" quotePrefix="1" applyFont="1" applyFill="1" applyBorder="1" applyAlignment="1" applyProtection="1">
      <alignment vertical="center"/>
    </xf>
    <xf numFmtId="0" fontId="158" fillId="0" borderId="0" xfId="0" applyFont="1" applyFill="1" applyBorder="1" applyAlignment="1" applyProtection="1">
      <alignment vertical="center"/>
    </xf>
    <xf numFmtId="0" fontId="167" fillId="0" borderId="0" xfId="0" applyFont="1" applyFill="1" applyBorder="1" applyAlignment="1" applyProtection="1">
      <alignment horizontal="center" vertical="center"/>
    </xf>
    <xf numFmtId="0" fontId="168" fillId="0" borderId="0" xfId="0" applyFont="1" applyFill="1" applyBorder="1" applyProtection="1"/>
    <xf numFmtId="0" fontId="159" fillId="0" borderId="0" xfId="0" applyFont="1" applyFill="1" applyBorder="1" applyAlignment="1" applyProtection="1">
      <alignment vertical="center"/>
    </xf>
    <xf numFmtId="0" fontId="106" fillId="0" borderId="0" xfId="0" applyFont="1" applyFill="1" applyBorder="1" applyAlignment="1" applyProtection="1">
      <alignment horizontal="center" vertical="center" wrapText="1"/>
    </xf>
    <xf numFmtId="0" fontId="158" fillId="0" borderId="0" xfId="0" quotePrefix="1" applyFont="1" applyFill="1" applyBorder="1" applyAlignment="1" applyProtection="1"/>
    <xf numFmtId="0" fontId="158" fillId="0" borderId="0" xfId="0" applyFont="1" applyFill="1" applyBorder="1" applyAlignment="1" applyProtection="1"/>
    <xf numFmtId="0" fontId="121" fillId="0" borderId="0" xfId="0" applyFont="1" applyFill="1" applyBorder="1" applyAlignment="1" applyProtection="1"/>
    <xf numFmtId="0" fontId="168" fillId="0" borderId="0" xfId="0" applyFont="1" applyFill="1" applyBorder="1" applyAlignment="1" applyProtection="1"/>
    <xf numFmtId="0" fontId="96" fillId="0" borderId="0" xfId="0" applyFont="1" applyFill="1" applyBorder="1" applyAlignment="1" applyProtection="1">
      <alignment horizontal="right"/>
    </xf>
    <xf numFmtId="0" fontId="121" fillId="0" borderId="0" xfId="0" applyFont="1" applyFill="1" applyBorder="1" applyAlignment="1" applyProtection="1">
      <alignment horizontal="left"/>
    </xf>
    <xf numFmtId="1" fontId="107" fillId="0" borderId="0" xfId="0" applyNumberFormat="1" applyFont="1" applyFill="1" applyBorder="1" applyAlignment="1" applyProtection="1">
      <alignment horizontal="center" vertical="center"/>
    </xf>
    <xf numFmtId="10" fontId="121" fillId="0" borderId="0" xfId="0" applyNumberFormat="1" applyFont="1" applyFill="1" applyBorder="1" applyAlignment="1" applyProtection="1">
      <alignment horizontal="center"/>
    </xf>
    <xf numFmtId="10" fontId="109" fillId="0" borderId="0" xfId="0" applyNumberFormat="1" applyFont="1" applyFill="1" applyBorder="1" applyAlignment="1" applyProtection="1">
      <alignment vertical="center"/>
    </xf>
    <xf numFmtId="0" fontId="106" fillId="0" borderId="0" xfId="0" applyFont="1" applyFill="1" applyBorder="1" applyAlignment="1" applyProtection="1">
      <alignment horizontal="center" vertical="top" wrapText="1"/>
    </xf>
    <xf numFmtId="0" fontId="95" fillId="0" borderId="0" xfId="0" applyFont="1" applyFill="1" applyBorder="1" applyAlignment="1" applyProtection="1">
      <alignment horizontal="center" vertical="top" wrapText="1"/>
    </xf>
    <xf numFmtId="0" fontId="169" fillId="0" borderId="0" xfId="0" applyFont="1" applyFill="1" applyBorder="1" applyProtection="1"/>
    <xf numFmtId="0" fontId="107" fillId="0" borderId="0" xfId="0" quotePrefix="1" applyFont="1" applyFill="1" applyBorder="1" applyAlignment="1" applyProtection="1">
      <alignment horizontal="right" vertical="center"/>
    </xf>
    <xf numFmtId="0" fontId="109" fillId="0" borderId="0" xfId="0" applyFont="1" applyFill="1" applyBorder="1" applyProtection="1"/>
    <xf numFmtId="0" fontId="142" fillId="0" borderId="0" xfId="0" applyFont="1" applyFill="1" applyBorder="1" applyProtection="1"/>
    <xf numFmtId="0" fontId="120" fillId="0" borderId="0" xfId="0" applyFont="1" applyFill="1" applyBorder="1" applyAlignment="1" applyProtection="1">
      <alignment vertical="center"/>
    </xf>
    <xf numFmtId="0" fontId="170" fillId="0" borderId="0" xfId="0" applyFont="1" applyFill="1" applyBorder="1" applyAlignment="1" applyProtection="1">
      <alignment vertical="center"/>
    </xf>
    <xf numFmtId="0" fontId="96" fillId="0" borderId="0" xfId="0" applyFont="1" applyFill="1" applyBorder="1" applyProtection="1"/>
    <xf numFmtId="0" fontId="106" fillId="0" borderId="0" xfId="0" applyFont="1" applyFill="1" applyBorder="1" applyAlignment="1" applyProtection="1">
      <alignment horizontal="center" vertical="top"/>
    </xf>
    <xf numFmtId="0" fontId="107" fillId="0" borderId="0" xfId="0" quotePrefix="1" applyFont="1" applyFill="1" applyBorder="1" applyAlignment="1" applyProtection="1">
      <alignment horizontal="right" vertical="top"/>
    </xf>
    <xf numFmtId="0" fontId="95" fillId="0" borderId="0" xfId="0" applyFont="1" applyFill="1" applyBorder="1" applyAlignment="1" applyProtection="1">
      <alignment horizontal="center" vertical="top"/>
    </xf>
    <xf numFmtId="0" fontId="161" fillId="0" borderId="0" xfId="0" applyFont="1" applyFill="1" applyBorder="1" applyAlignment="1" applyProtection="1">
      <alignment horizontal="center" vertical="top"/>
    </xf>
    <xf numFmtId="0" fontId="161" fillId="0" borderId="0" xfId="0" applyFont="1" applyFill="1" applyBorder="1" applyAlignment="1" applyProtection="1">
      <alignment horizontal="center" vertical="center"/>
    </xf>
    <xf numFmtId="0" fontId="168" fillId="0" borderId="0" xfId="0" applyFont="1" applyFill="1" applyBorder="1" applyAlignment="1" applyProtection="1">
      <alignment vertical="center"/>
    </xf>
    <xf numFmtId="0" fontId="171" fillId="0" borderId="0" xfId="0" applyFont="1" applyFill="1" applyBorder="1" applyAlignment="1" applyProtection="1">
      <alignment horizontal="right"/>
    </xf>
    <xf numFmtId="0" fontId="158" fillId="0" borderId="0" xfId="0" applyFont="1" applyFill="1" applyBorder="1" applyAlignment="1" applyProtection="1">
      <alignment horizontal="center" vertical="center"/>
    </xf>
    <xf numFmtId="0" fontId="121" fillId="0" borderId="0" xfId="0" quotePrefix="1" applyFont="1" applyFill="1" applyBorder="1" applyAlignment="1" applyProtection="1">
      <alignment horizontal="center" vertical="center"/>
    </xf>
    <xf numFmtId="0" fontId="121" fillId="0" borderId="0" xfId="0" applyFont="1" applyFill="1" applyBorder="1" applyAlignment="1" applyProtection="1">
      <alignment horizontal="center" vertical="top"/>
    </xf>
    <xf numFmtId="0" fontId="107" fillId="0" borderId="0" xfId="0" quotePrefix="1" applyFont="1" applyFill="1" applyBorder="1" applyAlignment="1" applyProtection="1">
      <alignment horizontal="center" vertical="top"/>
    </xf>
    <xf numFmtId="0" fontId="120" fillId="0" borderId="0" xfId="0" applyFont="1" applyFill="1" applyBorder="1" applyAlignment="1" applyProtection="1">
      <alignment horizontal="left" vertical="center"/>
    </xf>
    <xf numFmtId="0" fontId="95" fillId="0" borderId="0" xfId="0" applyFont="1" applyFill="1" applyBorder="1" applyAlignment="1" applyProtection="1">
      <alignment horizontal="right" vertical="top"/>
    </xf>
    <xf numFmtId="0" fontId="158" fillId="0" borderId="0" xfId="0" quotePrefix="1" applyFont="1" applyFill="1" applyBorder="1" applyAlignment="1" applyProtection="1">
      <alignment horizontal="left" vertical="center"/>
    </xf>
    <xf numFmtId="0" fontId="171" fillId="0" borderId="0" xfId="0" applyFont="1" applyFill="1" applyBorder="1" applyProtection="1"/>
    <xf numFmtId="0" fontId="96" fillId="0" borderId="0" xfId="0" applyFont="1" applyFill="1" applyBorder="1" applyAlignment="1" applyProtection="1">
      <alignment horizontal="left" vertical="top"/>
    </xf>
    <xf numFmtId="0" fontId="171" fillId="0" borderId="0" xfId="0" applyFont="1" applyFill="1" applyBorder="1" applyAlignment="1" applyProtection="1">
      <alignment horizontal="center"/>
    </xf>
    <xf numFmtId="10" fontId="95" fillId="0" borderId="0" xfId="0" applyNumberFormat="1" applyFont="1" applyFill="1" applyBorder="1" applyAlignment="1" applyProtection="1">
      <alignment horizontal="center" vertical="center"/>
    </xf>
    <xf numFmtId="0" fontId="96" fillId="0" borderId="0" xfId="0" applyFont="1" applyFill="1" applyBorder="1" applyAlignment="1" applyProtection="1">
      <alignment horizontal="left" vertical="center"/>
    </xf>
    <xf numFmtId="0" fontId="172" fillId="0" borderId="0" xfId="0" applyFont="1" applyFill="1" applyBorder="1" applyAlignment="1" applyProtection="1">
      <alignment horizontal="right"/>
    </xf>
    <xf numFmtId="0" fontId="107" fillId="0" borderId="0" xfId="0" quotePrefix="1" applyFont="1" applyFill="1" applyBorder="1" applyAlignment="1" applyProtection="1">
      <alignment horizontal="center" vertical="center"/>
    </xf>
    <xf numFmtId="0" fontId="163" fillId="0" borderId="0" xfId="0" applyFont="1" applyFill="1" applyBorder="1" applyAlignment="1" applyProtection="1">
      <alignment horizontal="center"/>
    </xf>
    <xf numFmtId="0" fontId="168" fillId="0" borderId="0" xfId="0" applyFont="1" applyFill="1" applyBorder="1" applyAlignment="1" applyProtection="1">
      <alignment horizontal="center"/>
    </xf>
    <xf numFmtId="3" fontId="107" fillId="0" borderId="0" xfId="0" applyNumberFormat="1" applyFont="1" applyFill="1" applyBorder="1" applyAlignment="1" applyProtection="1">
      <alignment horizontal="center" vertical="center"/>
    </xf>
    <xf numFmtId="0" fontId="155" fillId="0" borderId="0" xfId="0" applyFont="1" applyFill="1" applyBorder="1" applyAlignment="1" applyProtection="1">
      <alignment horizontal="center" vertical="center"/>
    </xf>
    <xf numFmtId="0" fontId="163" fillId="0" borderId="0" xfId="0" applyFont="1" applyFill="1" applyBorder="1" applyProtection="1"/>
    <xf numFmtId="174" fontId="107" fillId="0" borderId="0" xfId="0" applyNumberFormat="1" applyFont="1" applyFill="1" applyBorder="1" applyAlignment="1" applyProtection="1">
      <alignment horizontal="center" vertical="center"/>
    </xf>
    <xf numFmtId="0" fontId="107" fillId="0" borderId="0" xfId="0" applyFont="1" applyFill="1" applyBorder="1" applyAlignment="1" applyProtection="1">
      <alignment horizontal="justify" vertical="top" wrapText="1"/>
    </xf>
    <xf numFmtId="10" fontId="107" fillId="0" borderId="0" xfId="0" applyNumberFormat="1" applyFont="1" applyFill="1" applyBorder="1" applyAlignment="1" applyProtection="1">
      <alignment horizontal="center" vertical="center"/>
    </xf>
    <xf numFmtId="0" fontId="96" fillId="0" borderId="0" xfId="0" quotePrefix="1" applyFont="1" applyFill="1" applyBorder="1" applyAlignment="1" applyProtection="1">
      <alignment horizontal="right" vertical="top"/>
    </xf>
    <xf numFmtId="0" fontId="168" fillId="0" borderId="0" xfId="0" applyFont="1" applyFill="1" applyBorder="1" applyAlignment="1" applyProtection="1">
      <alignment vertical="top"/>
    </xf>
    <xf numFmtId="3" fontId="96" fillId="0" borderId="0" xfId="0" applyNumberFormat="1" applyFont="1" applyFill="1" applyBorder="1" applyAlignment="1" applyProtection="1">
      <alignment horizontal="center" vertical="center"/>
    </xf>
    <xf numFmtId="0" fontId="121" fillId="0" borderId="0" xfId="0" quotePrefix="1" applyFont="1" applyFill="1" applyBorder="1" applyAlignment="1" applyProtection="1">
      <alignment horizontal="center" vertical="top"/>
    </xf>
    <xf numFmtId="0" fontId="169" fillId="0" borderId="0" xfId="0" applyFont="1" applyFill="1" applyBorder="1" applyAlignment="1" applyProtection="1">
      <alignment vertical="top"/>
    </xf>
    <xf numFmtId="0" fontId="158" fillId="0" borderId="0" xfId="0" quotePrefix="1" applyFont="1" applyFill="1" applyBorder="1" applyAlignment="1" applyProtection="1">
      <alignment horizontal="left" vertical="top"/>
    </xf>
    <xf numFmtId="0" fontId="107" fillId="0" borderId="0" xfId="0" applyFont="1" applyFill="1" applyBorder="1" applyAlignment="1" applyProtection="1">
      <alignment wrapText="1"/>
    </xf>
    <xf numFmtId="0" fontId="107" fillId="0" borderId="0" xfId="0" applyFont="1" applyFill="1" applyBorder="1" applyAlignment="1" applyProtection="1">
      <alignment horizontal="left" wrapText="1"/>
    </xf>
    <xf numFmtId="0" fontId="107" fillId="0" borderId="0" xfId="0" applyFont="1" applyFill="1" applyBorder="1" applyAlignment="1" applyProtection="1">
      <alignment horizontal="center" vertical="center" wrapText="1"/>
    </xf>
    <xf numFmtId="10" fontId="107" fillId="0" borderId="0" xfId="0" applyNumberFormat="1" applyFont="1" applyFill="1" applyBorder="1" applyAlignment="1" applyProtection="1">
      <alignment horizontal="center" vertical="center" wrapText="1"/>
    </xf>
    <xf numFmtId="0" fontId="109" fillId="0" borderId="0" xfId="0" applyFont="1" applyFill="1" applyBorder="1" applyAlignment="1" applyProtection="1">
      <alignment vertical="center" wrapText="1"/>
    </xf>
    <xf numFmtId="0" fontId="172" fillId="0" borderId="0" xfId="0" applyFont="1" applyFill="1" applyBorder="1" applyProtection="1"/>
    <xf numFmtId="0" fontId="111" fillId="0" borderId="0" xfId="0" applyFont="1" applyFill="1" applyBorder="1" applyAlignment="1" applyProtection="1">
      <alignment vertical="center"/>
    </xf>
    <xf numFmtId="38" fontId="111" fillId="0" borderId="0" xfId="0" applyNumberFormat="1" applyFont="1" applyFill="1" applyBorder="1" applyAlignment="1" applyProtection="1">
      <alignment horizontal="center" vertical="center"/>
    </xf>
    <xf numFmtId="38" fontId="140" fillId="0" borderId="0" xfId="0" applyNumberFormat="1" applyFont="1" applyFill="1" applyBorder="1" applyAlignment="1" applyProtection="1">
      <alignment horizontal="center" vertical="center"/>
    </xf>
    <xf numFmtId="38" fontId="96" fillId="0" borderId="0" xfId="0" applyNumberFormat="1" applyFont="1" applyFill="1" applyBorder="1" applyAlignment="1" applyProtection="1">
      <alignment horizontal="center" vertical="center"/>
    </xf>
    <xf numFmtId="0" fontId="141" fillId="0" borderId="0" xfId="0" applyFont="1" applyFill="1" applyBorder="1" applyAlignment="1" applyProtection="1">
      <alignment horizontal="center"/>
    </xf>
    <xf numFmtId="0" fontId="142" fillId="0" borderId="0" xfId="0" applyFont="1" applyFill="1" applyBorder="1" applyAlignment="1" applyProtection="1">
      <alignment horizontal="center"/>
    </xf>
    <xf numFmtId="176" fontId="122" fillId="0" borderId="0" xfId="0" applyNumberFormat="1" applyFont="1" applyFill="1" applyBorder="1" applyAlignment="1" applyProtection="1">
      <alignment horizontal="center" vertical="center"/>
    </xf>
    <xf numFmtId="1" fontId="122" fillId="0" borderId="0" xfId="0" applyNumberFormat="1" applyFont="1" applyFill="1" applyBorder="1" applyAlignment="1" applyProtection="1">
      <alignment horizontal="center" vertical="center"/>
    </xf>
    <xf numFmtId="0" fontId="148" fillId="0" borderId="0" xfId="6" applyFont="1" applyFill="1" applyBorder="1" applyAlignment="1" applyProtection="1">
      <alignment vertical="center"/>
    </xf>
    <xf numFmtId="0" fontId="100" fillId="0" borderId="0" xfId="0" applyFont="1" applyFill="1" applyBorder="1" applyAlignment="1" applyProtection="1">
      <alignment horizontal="left" vertical="center"/>
    </xf>
    <xf numFmtId="167" fontId="122" fillId="0" borderId="0" xfId="0" applyNumberFormat="1" applyFont="1" applyFill="1" applyBorder="1" applyAlignment="1" applyProtection="1">
      <alignment vertical="center"/>
    </xf>
    <xf numFmtId="164" fontId="143" fillId="0" borderId="0" xfId="1" applyNumberFormat="1" applyFont="1" applyFill="1" applyBorder="1" applyAlignment="1" applyProtection="1">
      <alignment horizontal="center" vertical="center"/>
    </xf>
    <xf numFmtId="0" fontId="95" fillId="0" borderId="0" xfId="0" applyNumberFormat="1" applyFont="1" applyFill="1" applyBorder="1" applyAlignment="1" applyProtection="1">
      <alignment horizontal="center" vertical="center"/>
    </xf>
    <xf numFmtId="0" fontId="110" fillId="0" borderId="0" xfId="10" applyNumberFormat="1" applyFont="1" applyFill="1" applyBorder="1" applyAlignment="1" applyProtection="1">
      <alignment horizontal="center" vertical="center"/>
    </xf>
    <xf numFmtId="1" fontId="110" fillId="0" borderId="0" xfId="1" applyNumberFormat="1" applyFont="1" applyFill="1" applyBorder="1" applyAlignment="1" applyProtection="1">
      <alignment horizontal="center" vertical="center"/>
    </xf>
    <xf numFmtId="173" fontId="110" fillId="0" borderId="0" xfId="1" applyNumberFormat="1" applyFont="1" applyFill="1" applyBorder="1" applyAlignment="1" applyProtection="1">
      <alignment horizontal="center" vertical="center"/>
    </xf>
    <xf numFmtId="3" fontId="110" fillId="0" borderId="0" xfId="1" applyNumberFormat="1" applyFont="1" applyFill="1" applyBorder="1" applyAlignment="1" applyProtection="1">
      <alignment horizontal="center" vertical="center"/>
    </xf>
    <xf numFmtId="3" fontId="106" fillId="0" borderId="0" xfId="0" applyNumberFormat="1" applyFont="1" applyFill="1" applyBorder="1" applyProtection="1"/>
    <xf numFmtId="164" fontId="106" fillId="0" borderId="0" xfId="1" applyNumberFormat="1" applyFont="1" applyFill="1" applyBorder="1" applyAlignment="1" applyProtection="1">
      <alignment horizontal="right"/>
    </xf>
    <xf numFmtId="0" fontId="106" fillId="0" borderId="0" xfId="0" applyNumberFormat="1" applyFont="1" applyFill="1" applyBorder="1" applyAlignment="1" applyProtection="1">
      <alignment horizontal="right" vertical="center"/>
    </xf>
    <xf numFmtId="3" fontId="106" fillId="0" borderId="0" xfId="10" applyNumberFormat="1" applyFont="1" applyFill="1" applyBorder="1" applyAlignment="1" applyProtection="1">
      <alignment horizontal="right" vertical="center"/>
    </xf>
    <xf numFmtId="166" fontId="106" fillId="0" borderId="0" xfId="10" applyNumberFormat="1" applyFont="1" applyFill="1" applyBorder="1" applyAlignment="1" applyProtection="1">
      <alignment horizontal="right" vertical="center"/>
    </xf>
    <xf numFmtId="0" fontId="145" fillId="0" borderId="0" xfId="0" applyFont="1" applyFill="1" applyBorder="1" applyAlignment="1" applyProtection="1">
      <alignment horizontal="justify" vertical="top"/>
    </xf>
    <xf numFmtId="0" fontId="145" fillId="0" borderId="0" xfId="0" applyFont="1" applyFill="1" applyBorder="1" applyAlignment="1" applyProtection="1">
      <alignment horizontal="right" vertical="top" wrapText="1"/>
    </xf>
    <xf numFmtId="0" fontId="107" fillId="0" borderId="0" xfId="0" applyFont="1" applyFill="1" applyBorder="1" applyAlignment="1" applyProtection="1">
      <alignment horizontal="justify" vertical="top"/>
    </xf>
    <xf numFmtId="38" fontId="107" fillId="0" borderId="0" xfId="0" applyNumberFormat="1" applyFont="1" applyFill="1" applyBorder="1" applyAlignment="1" applyProtection="1">
      <alignment horizontal="right" vertical="top" wrapText="1"/>
    </xf>
    <xf numFmtId="0" fontId="121" fillId="0" borderId="0" xfId="0" applyFont="1" applyFill="1" applyBorder="1" applyAlignment="1" applyProtection="1">
      <alignment horizontal="justify" vertical="top" wrapText="1"/>
    </xf>
    <xf numFmtId="6" fontId="107" fillId="0" borderId="0" xfId="0" applyNumberFormat="1" applyFont="1" applyFill="1" applyBorder="1" applyAlignment="1" applyProtection="1">
      <alignment horizontal="center" vertical="top" wrapText="1"/>
    </xf>
    <xf numFmtId="166" fontId="121" fillId="0" borderId="0" xfId="0" applyNumberFormat="1" applyFont="1" applyFill="1" applyBorder="1" applyAlignment="1" applyProtection="1">
      <alignment horizontal="center" vertical="center"/>
    </xf>
    <xf numFmtId="0" fontId="106" fillId="0" borderId="0" xfId="0" applyFont="1" applyFill="1" applyBorder="1" applyAlignment="1" applyProtection="1">
      <alignment vertical="top" wrapText="1"/>
    </xf>
    <xf numFmtId="176" fontId="107" fillId="0" borderId="0" xfId="0" applyNumberFormat="1" applyFont="1" applyFill="1" applyBorder="1" applyAlignment="1" applyProtection="1">
      <alignment horizontal="center" vertical="center"/>
    </xf>
    <xf numFmtId="9" fontId="96" fillId="0" borderId="0" xfId="0" applyNumberFormat="1" applyFont="1" applyFill="1" applyBorder="1" applyAlignment="1" applyProtection="1">
      <alignment horizontal="center" vertical="center"/>
    </xf>
    <xf numFmtId="10" fontId="107" fillId="0" borderId="0" xfId="0" applyNumberFormat="1" applyFont="1" applyFill="1" applyBorder="1" applyProtection="1"/>
    <xf numFmtId="176" fontId="143" fillId="0" borderId="0" xfId="0" applyNumberFormat="1" applyFont="1" applyFill="1" applyBorder="1" applyAlignment="1" applyProtection="1">
      <alignment horizontal="left" vertical="center"/>
    </xf>
    <xf numFmtId="3" fontId="107" fillId="0" borderId="0" xfId="0" applyNumberFormat="1" applyFont="1" applyFill="1" applyBorder="1" applyAlignment="1" applyProtection="1">
      <alignment horizontal="center" vertical="center" wrapText="1"/>
    </xf>
    <xf numFmtId="0" fontId="121" fillId="0" borderId="0" xfId="0" applyFont="1" applyFill="1" applyBorder="1" applyAlignment="1" applyProtection="1">
      <alignment horizontal="center" vertical="top" wrapText="1"/>
    </xf>
    <xf numFmtId="0" fontId="141" fillId="0" borderId="0" xfId="0" applyFont="1" applyAlignment="1" applyProtection="1">
      <alignment horizontal="left"/>
    </xf>
    <xf numFmtId="0" fontId="142" fillId="0" borderId="0" xfId="0" applyFont="1" applyAlignment="1" applyProtection="1">
      <alignment horizontal="left"/>
    </xf>
    <xf numFmtId="0" fontId="173" fillId="0" borderId="89" xfId="0" applyFont="1" applyBorder="1" applyAlignment="1" applyProtection="1">
      <alignment horizontal="left"/>
    </xf>
    <xf numFmtId="0" fontId="13" fillId="5" borderId="3" xfId="0" applyFont="1" applyFill="1" applyBorder="1" applyAlignment="1" applyProtection="1">
      <alignment horizontal="center" vertical="center"/>
    </xf>
    <xf numFmtId="0" fontId="90" fillId="0" borderId="13" xfId="0" applyFont="1" applyBorder="1" applyAlignment="1" applyProtection="1">
      <alignment horizontal="justify" vertical="top"/>
    </xf>
    <xf numFmtId="0" fontId="90" fillId="0" borderId="0" xfId="0" applyFont="1" applyBorder="1" applyAlignment="1" applyProtection="1">
      <alignment horizontal="right" vertical="top" wrapText="1"/>
    </xf>
    <xf numFmtId="0" fontId="3" fillId="0" borderId="0" xfId="0" applyFont="1" applyAlignment="1" applyProtection="1">
      <alignment horizontal="justify" vertical="top"/>
    </xf>
    <xf numFmtId="38" fontId="3" fillId="0" borderId="0" xfId="0" applyNumberFormat="1" applyFont="1" applyAlignment="1" applyProtection="1">
      <alignment horizontal="right" vertical="top" wrapText="1"/>
    </xf>
    <xf numFmtId="0" fontId="3" fillId="0" borderId="13" xfId="0" applyFont="1" applyBorder="1" applyAlignment="1" applyProtection="1">
      <alignment horizontal="justify" vertical="top"/>
    </xf>
    <xf numFmtId="0" fontId="115" fillId="0" borderId="0" xfId="0" applyFont="1" applyAlignment="1" applyProtection="1">
      <alignment horizontal="justify" vertical="top" wrapText="1"/>
    </xf>
    <xf numFmtId="6" fontId="3" fillId="0" borderId="0" xfId="0" applyNumberFormat="1" applyFont="1" applyAlignment="1" applyProtection="1">
      <alignment horizontal="center" vertical="top" wrapText="1"/>
    </xf>
    <xf numFmtId="0" fontId="13" fillId="5" borderId="28" xfId="0" applyFont="1" applyFill="1" applyBorder="1" applyAlignment="1" applyProtection="1">
      <alignment horizontal="center" vertical="center"/>
    </xf>
    <xf numFmtId="0" fontId="13" fillId="5" borderId="33" xfId="0" applyFont="1" applyFill="1" applyBorder="1" applyAlignment="1" applyProtection="1">
      <alignment horizontal="center" vertical="center"/>
    </xf>
    <xf numFmtId="0" fontId="13" fillId="5" borderId="12" xfId="0" applyFont="1" applyFill="1" applyBorder="1" applyAlignment="1" applyProtection="1">
      <alignment horizontal="center" vertical="center"/>
    </xf>
    <xf numFmtId="0" fontId="13" fillId="5" borderId="89" xfId="0" applyFont="1" applyFill="1" applyBorder="1" applyAlignment="1" applyProtection="1">
      <alignment horizontal="center" vertical="center"/>
    </xf>
    <xf numFmtId="0" fontId="13" fillId="5" borderId="3" xfId="0" applyFont="1" applyFill="1" applyBorder="1" applyAlignment="1" applyProtection="1">
      <alignment horizontal="center" vertical="top"/>
    </xf>
    <xf numFmtId="166" fontId="13" fillId="5" borderId="12" xfId="0" applyNumberFormat="1" applyFont="1" applyFill="1" applyBorder="1" applyAlignment="1" applyProtection="1">
      <alignment horizontal="center" vertical="center"/>
    </xf>
    <xf numFmtId="0" fontId="13" fillId="5" borderId="16" xfId="0" applyFont="1" applyFill="1" applyBorder="1" applyAlignment="1" applyProtection="1">
      <alignment horizontal="center" vertical="center"/>
    </xf>
    <xf numFmtId="0" fontId="13" fillId="5" borderId="17" xfId="0" applyFont="1" applyFill="1" applyBorder="1" applyAlignment="1" applyProtection="1">
      <alignment horizontal="center" vertical="center"/>
    </xf>
    <xf numFmtId="0" fontId="13" fillId="5" borderId="18" xfId="0" applyFont="1" applyFill="1" applyBorder="1" applyAlignment="1" applyProtection="1">
      <alignment horizontal="center" vertical="center"/>
    </xf>
    <xf numFmtId="176" fontId="3" fillId="10" borderId="87" xfId="0" applyNumberFormat="1" applyFont="1" applyFill="1" applyBorder="1" applyAlignment="1" applyProtection="1">
      <alignment horizontal="center" vertical="center"/>
    </xf>
    <xf numFmtId="0" fontId="12" fillId="5" borderId="16" xfId="0" applyFont="1" applyFill="1" applyBorder="1" applyAlignment="1" applyProtection="1">
      <alignment horizontal="center" vertical="center"/>
    </xf>
    <xf numFmtId="0" fontId="12" fillId="5" borderId="17" xfId="0" applyFont="1" applyFill="1" applyBorder="1" applyAlignment="1" applyProtection="1">
      <alignment horizontal="center" vertical="center"/>
    </xf>
    <xf numFmtId="0" fontId="12" fillId="5" borderId="18" xfId="0" applyFont="1" applyFill="1" applyBorder="1" applyAlignment="1" applyProtection="1">
      <alignment horizontal="center" vertical="center"/>
    </xf>
    <xf numFmtId="0" fontId="3" fillId="7" borderId="0" xfId="0" applyFont="1" applyFill="1" applyProtection="1"/>
    <xf numFmtId="0" fontId="107" fillId="7" borderId="0" xfId="0" applyFont="1" applyFill="1" applyProtection="1"/>
    <xf numFmtId="0" fontId="138" fillId="0" borderId="0" xfId="0" applyFont="1" applyProtection="1"/>
    <xf numFmtId="38" fontId="7" fillId="5" borderId="16" xfId="0" applyNumberFormat="1" applyFont="1" applyFill="1" applyBorder="1" applyAlignment="1" applyProtection="1">
      <alignment horizontal="center" vertical="center"/>
    </xf>
    <xf numFmtId="38" fontId="7" fillId="5" borderId="17" xfId="0" applyNumberFormat="1" applyFont="1" applyFill="1" applyBorder="1" applyAlignment="1" applyProtection="1">
      <alignment horizontal="center" vertical="center"/>
    </xf>
    <xf numFmtId="38" fontId="7" fillId="5" borderId="18" xfId="0" applyNumberFormat="1" applyFont="1" applyFill="1" applyBorder="1" applyAlignment="1" applyProtection="1">
      <alignment horizontal="center" vertical="center"/>
    </xf>
    <xf numFmtId="0" fontId="7" fillId="0" borderId="23" xfId="0" applyFont="1" applyFill="1" applyBorder="1" applyAlignment="1" applyProtection="1">
      <alignment horizontal="center" vertical="center" wrapText="1"/>
    </xf>
    <xf numFmtId="0" fontId="9" fillId="0" borderId="25" xfId="0" applyFont="1" applyFill="1" applyBorder="1" applyAlignment="1" applyProtection="1">
      <alignment horizontal="center" vertical="center" wrapText="1"/>
    </xf>
    <xf numFmtId="1" fontId="3" fillId="5" borderId="16" xfId="0" applyNumberFormat="1" applyFont="1" applyFill="1" applyBorder="1" applyAlignment="1" applyProtection="1">
      <alignment horizontal="center" vertical="center"/>
    </xf>
    <xf numFmtId="1" fontId="3" fillId="5" borderId="18" xfId="0" applyNumberFormat="1" applyFont="1" applyFill="1" applyBorder="1" applyAlignment="1" applyProtection="1">
      <alignment horizontal="center" vertical="center"/>
    </xf>
    <xf numFmtId="0" fontId="7" fillId="5" borderId="16" xfId="0" applyFont="1" applyFill="1" applyBorder="1" applyAlignment="1" applyProtection="1">
      <alignment horizontal="center" vertical="center"/>
    </xf>
    <xf numFmtId="0" fontId="7" fillId="5" borderId="16" xfId="0" applyFont="1" applyFill="1" applyBorder="1" applyAlignment="1" applyProtection="1">
      <alignment horizontal="center" vertical="top"/>
    </xf>
    <xf numFmtId="0" fontId="7" fillId="5" borderId="17" xfId="0" applyFont="1" applyFill="1" applyBorder="1" applyAlignment="1" applyProtection="1">
      <alignment horizontal="center" vertical="top"/>
    </xf>
    <xf numFmtId="0" fontId="7" fillId="5" borderId="17" xfId="0" applyFont="1" applyFill="1" applyBorder="1" applyAlignment="1" applyProtection="1">
      <alignment horizontal="center" vertical="center"/>
    </xf>
    <xf numFmtId="0" fontId="7" fillId="5" borderId="18" xfId="0" applyFont="1" applyFill="1" applyBorder="1" applyAlignment="1" applyProtection="1">
      <alignment horizontal="center" vertical="center"/>
    </xf>
    <xf numFmtId="0" fontId="7" fillId="5" borderId="89" xfId="0" applyFont="1" applyFill="1" applyBorder="1" applyAlignment="1" applyProtection="1">
      <alignment horizontal="center" vertical="center"/>
    </xf>
    <xf numFmtId="0" fontId="7" fillId="5" borderId="3" xfId="0" applyFont="1" applyFill="1" applyBorder="1" applyAlignment="1" applyProtection="1">
      <alignment horizontal="center" vertical="center"/>
    </xf>
    <xf numFmtId="0" fontId="13" fillId="5" borderId="89" xfId="0" applyFont="1" applyFill="1" applyBorder="1" applyAlignment="1" applyProtection="1">
      <alignment horizontal="center" vertical="top"/>
    </xf>
    <xf numFmtId="9" fontId="9" fillId="10" borderId="89" xfId="0" applyNumberFormat="1" applyFont="1" applyFill="1" applyBorder="1" applyAlignment="1" applyProtection="1">
      <alignment horizontal="center" vertical="center"/>
    </xf>
    <xf numFmtId="10" fontId="3" fillId="10" borderId="16" xfId="0" applyNumberFormat="1" applyFont="1" applyFill="1" applyBorder="1" applyProtection="1"/>
    <xf numFmtId="0" fontId="3" fillId="10" borderId="17" xfId="0" applyFont="1" applyFill="1" applyBorder="1" applyProtection="1"/>
    <xf numFmtId="10" fontId="3" fillId="10" borderId="18" xfId="0" applyNumberFormat="1" applyFont="1" applyFill="1" applyBorder="1" applyAlignment="1" applyProtection="1">
      <alignment horizontal="center"/>
    </xf>
    <xf numFmtId="176" fontId="49" fillId="5" borderId="87" xfId="0" applyNumberFormat="1" applyFont="1" applyFill="1" applyBorder="1" applyAlignment="1" applyProtection="1">
      <alignment horizontal="left" vertical="center"/>
    </xf>
    <xf numFmtId="0" fontId="50" fillId="10" borderId="22" xfId="0" applyFont="1" applyFill="1" applyBorder="1" applyAlignment="1" applyProtection="1">
      <alignment horizontal="left" vertical="center"/>
    </xf>
    <xf numFmtId="0" fontId="50" fillId="10" borderId="17" xfId="0" applyFont="1" applyFill="1" applyBorder="1" applyAlignment="1" applyProtection="1">
      <alignment horizontal="left" vertical="center"/>
    </xf>
    <xf numFmtId="0" fontId="50" fillId="10" borderId="18" xfId="0" applyFont="1" applyFill="1" applyBorder="1" applyAlignment="1" applyProtection="1">
      <alignment horizontal="left" vertical="center"/>
    </xf>
    <xf numFmtId="0" fontId="50" fillId="10" borderId="16" xfId="0" applyFont="1" applyFill="1" applyBorder="1" applyAlignment="1" applyProtection="1">
      <alignment horizontal="left" vertical="center"/>
    </xf>
    <xf numFmtId="0" fontId="12" fillId="5" borderId="3" xfId="0" applyFont="1" applyFill="1" applyBorder="1" applyAlignment="1" applyProtection="1">
      <alignment horizontal="center"/>
    </xf>
    <xf numFmtId="0" fontId="3" fillId="5" borderId="89" xfId="0" applyFont="1" applyFill="1" applyBorder="1" applyAlignment="1" applyProtection="1">
      <alignment horizontal="center" vertical="center"/>
    </xf>
    <xf numFmtId="0" fontId="7" fillId="5" borderId="87" xfId="0" applyFont="1" applyFill="1" applyBorder="1" applyAlignment="1" applyProtection="1">
      <alignment horizontal="center" vertical="center"/>
    </xf>
    <xf numFmtId="0" fontId="7" fillId="10" borderId="89" xfId="0" applyFont="1" applyFill="1" applyBorder="1" applyAlignment="1" applyProtection="1">
      <alignment horizontal="center" vertical="top"/>
    </xf>
    <xf numFmtId="0" fontId="3" fillId="10" borderId="89" xfId="0" applyFont="1" applyFill="1" applyBorder="1" applyAlignment="1" applyProtection="1">
      <alignment horizontal="center" vertical="center" wrapText="1"/>
    </xf>
    <xf numFmtId="10" fontId="3" fillId="10" borderId="52" xfId="0" applyNumberFormat="1" applyFont="1" applyFill="1" applyBorder="1" applyAlignment="1" applyProtection="1">
      <alignment horizontal="center" vertical="center" wrapText="1"/>
    </xf>
    <xf numFmtId="10" fontId="3" fillId="10" borderId="23" xfId="0" applyNumberFormat="1" applyFont="1" applyFill="1" applyBorder="1" applyAlignment="1" applyProtection="1">
      <alignment horizontal="center" vertical="center" wrapText="1"/>
    </xf>
    <xf numFmtId="10" fontId="3" fillId="10" borderId="51" xfId="0" applyNumberFormat="1" applyFont="1" applyFill="1" applyBorder="1" applyAlignment="1" applyProtection="1">
      <alignment horizontal="center" vertical="center" wrapText="1"/>
    </xf>
    <xf numFmtId="10" fontId="3" fillId="10" borderId="25" xfId="0" applyNumberFormat="1" applyFont="1" applyFill="1" applyBorder="1" applyAlignment="1" applyProtection="1">
      <alignment horizontal="center" vertical="center" wrapText="1"/>
    </xf>
    <xf numFmtId="10" fontId="3" fillId="10" borderId="51" xfId="0" applyNumberFormat="1" applyFont="1" applyFill="1" applyBorder="1" applyAlignment="1" applyProtection="1">
      <alignment horizontal="center" vertical="center"/>
    </xf>
    <xf numFmtId="10" fontId="3" fillId="10" borderId="25" xfId="0" applyNumberFormat="1" applyFont="1" applyFill="1" applyBorder="1" applyAlignment="1" applyProtection="1">
      <alignment horizontal="center" vertical="center"/>
    </xf>
    <xf numFmtId="10" fontId="3" fillId="10" borderId="49" xfId="0" applyNumberFormat="1" applyFont="1" applyFill="1" applyBorder="1" applyAlignment="1" applyProtection="1">
      <alignment horizontal="center" vertical="center" wrapText="1"/>
    </xf>
    <xf numFmtId="10" fontId="3" fillId="10" borderId="24" xfId="0" applyNumberFormat="1" applyFont="1" applyFill="1" applyBorder="1" applyAlignment="1" applyProtection="1">
      <alignment horizontal="center" vertical="center" wrapText="1"/>
    </xf>
    <xf numFmtId="3" fontId="3" fillId="10" borderId="89" xfId="0" applyNumberFormat="1" applyFont="1" applyFill="1" applyBorder="1" applyAlignment="1" applyProtection="1">
      <alignment horizontal="center" vertical="center" wrapText="1"/>
    </xf>
    <xf numFmtId="0" fontId="13" fillId="0" borderId="94" xfId="0" applyFont="1" applyBorder="1" applyAlignment="1" applyProtection="1">
      <alignment horizontal="center" vertical="top" wrapText="1"/>
    </xf>
    <xf numFmtId="3" fontId="7" fillId="5" borderId="18" xfId="0" applyNumberFormat="1" applyFont="1" applyFill="1" applyBorder="1" applyAlignment="1" applyProtection="1">
      <alignment horizontal="center" vertical="center"/>
    </xf>
    <xf numFmtId="0" fontId="48" fillId="0" borderId="0" xfId="0" applyFont="1" applyFill="1" applyAlignment="1" applyProtection="1">
      <alignment horizontal="center" vertical="center" wrapText="1"/>
    </xf>
    <xf numFmtId="0" fontId="53" fillId="0" borderId="0" xfId="0" applyFont="1" applyFill="1" applyAlignment="1" applyProtection="1">
      <alignment horizontal="center" vertical="center"/>
    </xf>
    <xf numFmtId="0" fontId="53" fillId="0" borderId="8" xfId="0" applyFont="1" applyFill="1" applyBorder="1" applyAlignment="1" applyProtection="1">
      <alignment horizontal="center" vertical="center"/>
    </xf>
    <xf numFmtId="0" fontId="53" fillId="0" borderId="0" xfId="0" applyFont="1" applyFill="1" applyBorder="1" applyAlignment="1" applyProtection="1">
      <alignment horizontal="left"/>
    </xf>
    <xf numFmtId="0" fontId="53" fillId="0" borderId="0" xfId="0" applyFont="1" applyFill="1" applyBorder="1" applyAlignment="1" applyProtection="1">
      <alignment horizontal="left" vertical="center"/>
    </xf>
    <xf numFmtId="0" fontId="53" fillId="0" borderId="13" xfId="0" applyFont="1" applyFill="1" applyBorder="1" applyAlignment="1" applyProtection="1">
      <alignment horizontal="center" vertical="center"/>
    </xf>
    <xf numFmtId="0" fontId="61" fillId="0" borderId="0" xfId="0" applyFont="1" applyFill="1" applyBorder="1" applyAlignment="1" applyProtection="1">
      <alignment horizontal="left"/>
    </xf>
    <xf numFmtId="0" fontId="53" fillId="0" borderId="13" xfId="0" applyFont="1" applyFill="1" applyBorder="1" applyAlignment="1" applyProtection="1">
      <alignment horizontal="left" vertical="center"/>
    </xf>
    <xf numFmtId="0" fontId="53" fillId="0" borderId="8" xfId="0" applyFont="1" applyFill="1" applyBorder="1" applyAlignment="1" applyProtection="1">
      <alignment horizontal="left" vertical="center"/>
    </xf>
    <xf numFmtId="0" fontId="53" fillId="0" borderId="0" xfId="0" applyFont="1" applyFill="1" applyBorder="1" applyAlignment="1" applyProtection="1">
      <alignment horizontal="center" vertical="center"/>
    </xf>
    <xf numFmtId="0" fontId="7" fillId="0" borderId="0" xfId="0" applyFont="1" applyFill="1" applyAlignment="1" applyProtection="1">
      <alignment horizontal="left"/>
    </xf>
    <xf numFmtId="0" fontId="53" fillId="0" borderId="7" xfId="0" applyFont="1" applyFill="1" applyBorder="1" applyAlignment="1" applyProtection="1">
      <alignment vertical="center"/>
    </xf>
    <xf numFmtId="0" fontId="53" fillId="0" borderId="0" xfId="0" applyFont="1" applyFill="1" applyBorder="1" applyAlignment="1" applyProtection="1">
      <alignment vertical="center"/>
    </xf>
    <xf numFmtId="0" fontId="53" fillId="0" borderId="5" xfId="0" applyFont="1" applyFill="1" applyBorder="1" applyAlignment="1" applyProtection="1">
      <alignment vertical="center"/>
    </xf>
    <xf numFmtId="0" fontId="53" fillId="0" borderId="9" xfId="0" applyFont="1" applyFill="1" applyBorder="1" applyAlignment="1" applyProtection="1">
      <alignment vertical="center"/>
    </xf>
    <xf numFmtId="0" fontId="53" fillId="0" borderId="13" xfId="0" applyFont="1" applyFill="1" applyBorder="1" applyAlignment="1" applyProtection="1">
      <alignment vertical="center"/>
    </xf>
    <xf numFmtId="0" fontId="53" fillId="0" borderId="8" xfId="0" applyFont="1" applyFill="1" applyBorder="1" applyAlignment="1" applyProtection="1">
      <alignment vertical="center"/>
    </xf>
    <xf numFmtId="0" fontId="53" fillId="0" borderId="85" xfId="0" applyFont="1" applyFill="1" applyBorder="1" applyAlignment="1" applyProtection="1">
      <alignment horizontal="center" vertical="center"/>
    </xf>
    <xf numFmtId="164" fontId="53" fillId="0" borderId="0" xfId="1" applyNumberFormat="1" applyFont="1" applyFill="1" applyBorder="1" applyAlignment="1" applyProtection="1">
      <alignment horizontal="center" vertical="center"/>
    </xf>
    <xf numFmtId="0" fontId="53" fillId="0" borderId="2" xfId="0" applyFont="1" applyFill="1" applyBorder="1" applyAlignment="1" applyProtection="1">
      <alignment horizontal="center" vertical="center"/>
    </xf>
    <xf numFmtId="171" fontId="61" fillId="0" borderId="0" xfId="0" applyNumberFormat="1" applyFont="1" applyFill="1" applyBorder="1" applyAlignment="1" applyProtection="1">
      <alignment horizontal="center" vertical="center"/>
    </xf>
    <xf numFmtId="4" fontId="70" fillId="0" borderId="88" xfId="1" applyNumberFormat="1" applyFont="1" applyFill="1" applyBorder="1" applyAlignment="1" applyProtection="1">
      <alignment horizontal="right" vertical="center"/>
    </xf>
    <xf numFmtId="4" fontId="70" fillId="0" borderId="13" xfId="1" applyNumberFormat="1" applyFont="1" applyFill="1" applyBorder="1" applyAlignment="1" applyProtection="1">
      <alignment horizontal="right" vertical="center"/>
    </xf>
    <xf numFmtId="0" fontId="7" fillId="0" borderId="0" xfId="0" applyFont="1" applyAlignment="1" applyProtection="1">
      <alignment horizontal="center"/>
    </xf>
    <xf numFmtId="0" fontId="13" fillId="0" borderId="0" xfId="0" applyFont="1" applyFill="1" applyAlignment="1" applyProtection="1">
      <alignment horizontal="left"/>
    </xf>
    <xf numFmtId="0" fontId="9" fillId="0" borderId="0" xfId="0" applyFont="1" applyFill="1" applyAlignment="1" applyProtection="1">
      <alignment horizontal="center" vertical="center"/>
    </xf>
    <xf numFmtId="0" fontId="96" fillId="0" borderId="0" xfId="0" applyFont="1" applyFill="1" applyAlignment="1" applyProtection="1">
      <alignment horizontal="center" vertical="center"/>
    </xf>
    <xf numFmtId="0" fontId="95" fillId="0" borderId="0" xfId="0" applyFont="1" applyFill="1" applyAlignment="1" applyProtection="1">
      <alignment horizontal="center" vertical="center"/>
    </xf>
    <xf numFmtId="0" fontId="87" fillId="0" borderId="0" xfId="0" applyNumberFormat="1" applyFont="1" applyAlignment="1" applyProtection="1">
      <alignment horizontal="center" vertical="center" wrapText="1"/>
    </xf>
    <xf numFmtId="0" fontId="29" fillId="0" borderId="0" xfId="0" applyNumberFormat="1" applyFont="1" applyAlignment="1" applyProtection="1">
      <alignment horizontal="center" vertical="center" wrapText="1"/>
    </xf>
    <xf numFmtId="0" fontId="3" fillId="0" borderId="0" xfId="0" applyFont="1" applyFill="1" applyBorder="1" applyAlignment="1" applyProtection="1">
      <alignment horizontal="left" vertical="center" wrapText="1"/>
    </xf>
    <xf numFmtId="0" fontId="7" fillId="0" borderId="0" xfId="0" applyFont="1" applyFill="1" applyAlignment="1" applyProtection="1">
      <alignment horizontal="center"/>
    </xf>
    <xf numFmtId="0" fontId="3" fillId="0" borderId="0" xfId="0" applyFont="1" applyFill="1" applyBorder="1" applyAlignment="1" applyProtection="1">
      <alignment horizontal="left" vertical="top" wrapText="1"/>
    </xf>
    <xf numFmtId="0" fontId="0" fillId="0" borderId="0" xfId="0" applyAlignment="1" applyProtection="1">
      <alignment horizontal="left" vertical="center" wrapText="1"/>
    </xf>
    <xf numFmtId="0" fontId="7" fillId="0" borderId="0" xfId="0" applyFont="1" applyFill="1" applyAlignment="1" applyProtection="1">
      <alignment horizontal="left" vertical="center"/>
    </xf>
    <xf numFmtId="0" fontId="3" fillId="0" borderId="0" xfId="0" applyFont="1" applyFill="1" applyAlignment="1" applyProtection="1">
      <alignment horizontal="justify" vertical="top" wrapText="1"/>
    </xf>
    <xf numFmtId="0" fontId="13" fillId="0" borderId="0" xfId="0" applyFont="1" applyFill="1" applyBorder="1" applyAlignment="1" applyProtection="1">
      <alignment horizontal="left" vertical="top" wrapText="1"/>
    </xf>
    <xf numFmtId="0" fontId="3" fillId="0" borderId="0" xfId="0" applyFont="1" applyAlignment="1" applyProtection="1">
      <alignment horizontal="center" vertical="center"/>
    </xf>
    <xf numFmtId="0" fontId="0" fillId="0" borderId="0" xfId="0" applyAlignment="1" applyProtection="1">
      <alignment vertical="center" wrapText="1"/>
    </xf>
    <xf numFmtId="0" fontId="3" fillId="0" borderId="0" xfId="0" applyFont="1" applyFill="1" applyBorder="1" applyAlignment="1" applyProtection="1">
      <alignment horizontal="left"/>
    </xf>
    <xf numFmtId="3" fontId="3" fillId="0" borderId="38" xfId="0" applyNumberFormat="1" applyFont="1" applyBorder="1" applyAlignment="1" applyProtection="1">
      <alignment horizontal="center" vertical="center" wrapText="1"/>
    </xf>
    <xf numFmtId="0" fontId="13" fillId="0" borderId="93" xfId="0" applyFont="1" applyBorder="1" applyAlignment="1" applyProtection="1">
      <alignment horizontal="center" vertical="top" wrapText="1"/>
    </xf>
    <xf numFmtId="0" fontId="3" fillId="0" borderId="0" xfId="0" applyFont="1" applyFill="1" applyAlignment="1" applyProtection="1">
      <alignment horizontal="center" vertical="center"/>
    </xf>
    <xf numFmtId="0" fontId="13" fillId="0" borderId="13" xfId="0" applyFont="1" applyFill="1" applyBorder="1" applyAlignment="1" applyProtection="1">
      <alignment horizontal="left" vertical="center"/>
    </xf>
    <xf numFmtId="0" fontId="15" fillId="0" borderId="0" xfId="0" applyFont="1" applyAlignment="1" applyProtection="1">
      <alignment horizontal="center"/>
    </xf>
    <xf numFmtId="0" fontId="3" fillId="0" borderId="0" xfId="0" applyFont="1" applyFill="1" applyBorder="1" applyAlignment="1" applyProtection="1">
      <alignment horizontal="center" vertical="center"/>
    </xf>
    <xf numFmtId="0" fontId="3" fillId="0" borderId="0" xfId="0" applyFont="1" applyFill="1" applyAlignment="1" applyProtection="1">
      <alignment horizontal="left" wrapText="1"/>
    </xf>
    <xf numFmtId="0" fontId="3" fillId="0" borderId="0" xfId="0" applyFont="1" applyFill="1" applyAlignment="1" applyProtection="1">
      <alignment horizontal="center" vertical="center" wrapText="1"/>
    </xf>
    <xf numFmtId="0" fontId="95" fillId="0" borderId="0" xfId="0" applyFont="1" applyFill="1" applyBorder="1" applyAlignment="1" applyProtection="1">
      <alignment horizontal="center" vertical="center" wrapText="1"/>
    </xf>
    <xf numFmtId="0" fontId="106" fillId="0" borderId="0" xfId="0" applyFont="1" applyFill="1" applyBorder="1" applyProtection="1"/>
    <xf numFmtId="0" fontId="109" fillId="0" borderId="0" xfId="0" applyFont="1" applyFill="1" applyBorder="1" applyAlignment="1" applyProtection="1">
      <alignment horizontal="left"/>
    </xf>
    <xf numFmtId="0" fontId="106" fillId="0" borderId="0" xfId="0" applyFont="1" applyFill="1" applyBorder="1" applyAlignment="1" applyProtection="1">
      <alignment vertical="center" wrapText="1"/>
    </xf>
    <xf numFmtId="0" fontId="11" fillId="5" borderId="3" xfId="0" applyFont="1" applyFill="1" applyBorder="1" applyAlignment="1" applyProtection="1">
      <alignment horizontal="center" vertical="center"/>
    </xf>
    <xf numFmtId="0" fontId="0" fillId="5" borderId="3" xfId="0" applyFill="1" applyBorder="1" applyAlignment="1" applyProtection="1">
      <alignment horizontal="center"/>
    </xf>
    <xf numFmtId="0" fontId="12" fillId="5" borderId="16" xfId="10" applyNumberFormat="1" applyFont="1" applyFill="1" applyBorder="1" applyAlignment="1" applyProtection="1">
      <alignment horizontal="center" vertical="center"/>
    </xf>
    <xf numFmtId="1" fontId="12" fillId="5" borderId="16" xfId="1" applyNumberFormat="1" applyFont="1" applyFill="1" applyBorder="1" applyAlignment="1" applyProtection="1">
      <alignment horizontal="center" vertical="center"/>
    </xf>
    <xf numFmtId="173" fontId="12" fillId="5" borderId="16" xfId="1" applyNumberFormat="1" applyFont="1" applyFill="1" applyBorder="1" applyAlignment="1" applyProtection="1">
      <alignment horizontal="center" vertical="center"/>
    </xf>
    <xf numFmtId="3" fontId="12" fillId="5" borderId="16" xfId="1" applyNumberFormat="1" applyFont="1" applyFill="1" applyBorder="1" applyAlignment="1" applyProtection="1">
      <alignment horizontal="center" vertical="center"/>
    </xf>
    <xf numFmtId="3" fontId="53" fillId="5" borderId="16" xfId="1" applyNumberFormat="1" applyFont="1" applyFill="1" applyBorder="1" applyAlignment="1" applyProtection="1">
      <alignment horizontal="center" vertical="center"/>
    </xf>
    <xf numFmtId="0" fontId="12" fillId="5" borderId="17" xfId="10" applyNumberFormat="1" applyFont="1" applyFill="1" applyBorder="1" applyAlignment="1" applyProtection="1">
      <alignment horizontal="center" vertical="center"/>
    </xf>
    <xf numFmtId="1" fontId="12" fillId="5" borderId="17" xfId="1" applyNumberFormat="1" applyFont="1" applyFill="1" applyBorder="1" applyAlignment="1" applyProtection="1">
      <alignment horizontal="center" vertical="center"/>
    </xf>
    <xf numFmtId="173" fontId="12" fillId="5" borderId="17" xfId="1" applyNumberFormat="1" applyFont="1" applyFill="1" applyBorder="1" applyAlignment="1" applyProtection="1">
      <alignment horizontal="center" vertical="center"/>
    </xf>
    <xf numFmtId="3" fontId="12" fillId="5" borderId="17" xfId="1" applyNumberFormat="1" applyFont="1" applyFill="1" applyBorder="1" applyAlignment="1" applyProtection="1">
      <alignment horizontal="center" vertical="center"/>
    </xf>
    <xf numFmtId="3" fontId="53" fillId="5" borderId="17" xfId="1" applyNumberFormat="1" applyFont="1" applyFill="1" applyBorder="1" applyAlignment="1" applyProtection="1">
      <alignment horizontal="center" vertical="center"/>
    </xf>
    <xf numFmtId="0" fontId="12" fillId="5" borderId="18" xfId="10" applyNumberFormat="1" applyFont="1" applyFill="1" applyBorder="1" applyAlignment="1" applyProtection="1">
      <alignment horizontal="center" vertical="center"/>
    </xf>
    <xf numFmtId="1" fontId="12" fillId="5" borderId="18" xfId="1" applyNumberFormat="1" applyFont="1" applyFill="1" applyBorder="1" applyAlignment="1" applyProtection="1">
      <alignment horizontal="center" vertical="center"/>
    </xf>
    <xf numFmtId="173" fontId="12" fillId="5" borderId="18" xfId="1" applyNumberFormat="1" applyFont="1" applyFill="1" applyBorder="1" applyAlignment="1" applyProtection="1">
      <alignment horizontal="center" vertical="center"/>
    </xf>
    <xf numFmtId="3" fontId="12" fillId="5" borderId="18" xfId="1" applyNumberFormat="1" applyFont="1" applyFill="1" applyBorder="1" applyAlignment="1" applyProtection="1">
      <alignment horizontal="center" vertical="center"/>
    </xf>
    <xf numFmtId="3" fontId="53" fillId="5" borderId="18" xfId="1" applyNumberFormat="1" applyFont="1" applyFill="1" applyBorder="1" applyAlignment="1" applyProtection="1">
      <alignment horizontal="center" vertical="center"/>
    </xf>
    <xf numFmtId="164" fontId="11" fillId="5" borderId="16" xfId="1" applyNumberFormat="1" applyFont="1" applyFill="1" applyBorder="1" applyAlignment="1" applyProtection="1">
      <alignment horizontal="right" vertical="center"/>
    </xf>
    <xf numFmtId="164" fontId="11" fillId="5" borderId="18" xfId="1" applyNumberFormat="1" applyFont="1" applyFill="1" applyBorder="1" applyAlignment="1" applyProtection="1">
      <alignment horizontal="right" vertical="center"/>
    </xf>
    <xf numFmtId="3" fontId="11" fillId="5" borderId="16" xfId="0" applyNumberFormat="1" applyFont="1" applyFill="1" applyBorder="1" applyProtection="1"/>
    <xf numFmtId="3" fontId="11" fillId="5" borderId="16" xfId="10" applyNumberFormat="1" applyFont="1" applyFill="1" applyBorder="1" applyProtection="1"/>
    <xf numFmtId="3" fontId="11" fillId="5" borderId="18" xfId="0" applyNumberFormat="1" applyFont="1" applyFill="1" applyBorder="1" applyProtection="1"/>
    <xf numFmtId="3" fontId="11" fillId="5" borderId="18" xfId="10" applyNumberFormat="1" applyFont="1" applyFill="1" applyBorder="1" applyProtection="1"/>
    <xf numFmtId="3" fontId="11" fillId="5" borderId="3" xfId="0" applyNumberFormat="1" applyFont="1" applyFill="1" applyBorder="1" applyAlignment="1" applyProtection="1">
      <alignment vertical="center"/>
    </xf>
    <xf numFmtId="3" fontId="11" fillId="5" borderId="43" xfId="0" applyNumberFormat="1" applyFont="1" applyFill="1" applyBorder="1" applyAlignment="1" applyProtection="1">
      <alignment vertical="center"/>
    </xf>
    <xf numFmtId="3" fontId="11" fillId="5" borderId="15" xfId="1" applyNumberFormat="1" applyFont="1" applyFill="1" applyBorder="1" applyAlignment="1" applyProtection="1">
      <alignment vertical="center"/>
    </xf>
    <xf numFmtId="0" fontId="85" fillId="0" borderId="0" xfId="0" applyFont="1" applyAlignment="1" applyProtection="1">
      <alignment horizontal="center"/>
    </xf>
    <xf numFmtId="0" fontId="84" fillId="0" borderId="0" xfId="0" applyFont="1" applyAlignment="1" applyProtection="1">
      <alignment horizontal="center"/>
    </xf>
    <xf numFmtId="0" fontId="53" fillId="5" borderId="3" xfId="0" applyFont="1" applyFill="1" applyBorder="1" applyAlignment="1" applyProtection="1">
      <alignment horizontal="left"/>
    </xf>
    <xf numFmtId="0" fontId="53" fillId="5" borderId="3" xfId="0" applyFont="1" applyFill="1" applyBorder="1" applyAlignment="1" applyProtection="1">
      <alignment horizontal="center" vertical="center"/>
    </xf>
    <xf numFmtId="164" fontId="53" fillId="5" borderId="3" xfId="1" applyNumberFormat="1" applyFont="1" applyFill="1" applyBorder="1" applyAlignment="1" applyProtection="1">
      <alignment vertical="center"/>
    </xf>
    <xf numFmtId="0" fontId="53" fillId="5" borderId="12" xfId="0" applyFont="1" applyFill="1" applyBorder="1" applyAlignment="1" applyProtection="1">
      <alignment horizontal="left" vertical="center"/>
    </xf>
    <xf numFmtId="176" fontId="53" fillId="5" borderId="3" xfId="0" applyNumberFormat="1" applyFont="1" applyFill="1" applyBorder="1" applyAlignment="1" applyProtection="1">
      <alignment horizontal="center" vertical="center"/>
    </xf>
    <xf numFmtId="3" fontId="53" fillId="5" borderId="3" xfId="1" applyNumberFormat="1" applyFont="1" applyFill="1" applyBorder="1" applyAlignment="1" applyProtection="1">
      <alignment horizontal="center" vertical="center"/>
    </xf>
    <xf numFmtId="0" fontId="53" fillId="5" borderId="3" xfId="0" applyFont="1" applyFill="1" applyBorder="1" applyAlignment="1" applyProtection="1">
      <alignment horizontal="center"/>
    </xf>
    <xf numFmtId="3" fontId="53" fillId="5" borderId="3" xfId="0" applyNumberFormat="1" applyFont="1" applyFill="1" applyBorder="1" applyAlignment="1" applyProtection="1">
      <alignment horizontal="center"/>
    </xf>
    <xf numFmtId="1" fontId="53" fillId="5" borderId="3" xfId="0" applyNumberFormat="1" applyFont="1" applyFill="1" applyBorder="1" applyAlignment="1" applyProtection="1">
      <alignment horizontal="center" vertical="center"/>
    </xf>
    <xf numFmtId="0" fontId="53" fillId="5" borderId="3" xfId="1" applyNumberFormat="1" applyFont="1" applyFill="1" applyBorder="1" applyAlignment="1" applyProtection="1">
      <alignment horizontal="center" vertical="center"/>
    </xf>
    <xf numFmtId="0" fontId="107" fillId="0" borderId="0" xfId="0" applyFont="1" applyBorder="1" applyAlignment="1" applyProtection="1">
      <alignment horizontal="center"/>
    </xf>
    <xf numFmtId="0" fontId="107" fillId="0" borderId="0" xfId="0" applyFont="1" applyAlignment="1" applyProtection="1">
      <alignment horizontal="center"/>
    </xf>
    <xf numFmtId="0" fontId="50" fillId="0" borderId="0" xfId="0" quotePrefix="1" applyNumberFormat="1" applyFont="1" applyProtection="1"/>
    <xf numFmtId="0" fontId="97" fillId="0" borderId="0" xfId="0" applyNumberFormat="1" applyFont="1" applyProtection="1"/>
    <xf numFmtId="0" fontId="97" fillId="0" borderId="0" xfId="0" applyFont="1" applyProtection="1"/>
    <xf numFmtId="0" fontId="123" fillId="0" borderId="0" xfId="0" applyFont="1" applyProtection="1"/>
    <xf numFmtId="0" fontId="123" fillId="0" borderId="0" xfId="0" applyNumberFormat="1" applyFont="1" applyProtection="1"/>
    <xf numFmtId="0" fontId="109" fillId="0" borderId="0" xfId="0" applyNumberFormat="1" applyFont="1" applyProtection="1"/>
    <xf numFmtId="0" fontId="67" fillId="0" borderId="0" xfId="0" applyFont="1" applyFill="1" applyAlignment="1" applyProtection="1">
      <alignment horizontal="center" vertical="center"/>
    </xf>
    <xf numFmtId="0" fontId="53" fillId="5" borderId="37" xfId="0" applyFont="1" applyFill="1" applyBorder="1" applyAlignment="1" applyProtection="1">
      <alignment horizontal="center"/>
    </xf>
    <xf numFmtId="0" fontId="49" fillId="0" borderId="0" xfId="0" applyFont="1" applyFill="1" applyBorder="1" applyAlignment="1" applyProtection="1">
      <alignment vertical="center"/>
    </xf>
    <xf numFmtId="0" fontId="76" fillId="0" borderId="0" xfId="6" applyFont="1" applyFill="1" applyAlignment="1" applyProtection="1">
      <alignment vertical="center"/>
    </xf>
    <xf numFmtId="0" fontId="130" fillId="0" borderId="0" xfId="6" applyFont="1" applyFill="1" applyBorder="1" applyAlignment="1" applyProtection="1">
      <alignment vertical="center"/>
    </xf>
    <xf numFmtId="167" fontId="53" fillId="0" borderId="13" xfId="0" applyNumberFormat="1" applyFont="1" applyFill="1" applyBorder="1" applyAlignment="1" applyProtection="1">
      <alignment vertical="center"/>
    </xf>
    <xf numFmtId="167" fontId="53" fillId="0" borderId="0" xfId="0" applyNumberFormat="1" applyFont="1" applyFill="1" applyBorder="1" applyAlignment="1" applyProtection="1">
      <alignment vertical="center"/>
    </xf>
    <xf numFmtId="167" fontId="53" fillId="0" borderId="2" xfId="0" applyNumberFormat="1" applyFont="1" applyFill="1" applyBorder="1" applyAlignment="1" applyProtection="1">
      <alignment vertical="center"/>
    </xf>
    <xf numFmtId="1" fontId="53" fillId="0" borderId="0" xfId="0" applyNumberFormat="1" applyFont="1" applyFill="1" applyBorder="1" applyAlignment="1" applyProtection="1">
      <alignment horizontal="center" vertical="center"/>
    </xf>
    <xf numFmtId="0" fontId="53" fillId="0" borderId="0" xfId="0" applyFont="1" applyBorder="1" applyProtection="1"/>
    <xf numFmtId="0" fontId="53" fillId="5" borderId="16" xfId="0" applyFont="1" applyFill="1" applyBorder="1" applyAlignment="1" applyProtection="1">
      <alignment horizontal="center" vertical="center"/>
    </xf>
    <xf numFmtId="0" fontId="53" fillId="5" borderId="17" xfId="0" applyFont="1" applyFill="1" applyBorder="1" applyAlignment="1" applyProtection="1">
      <alignment horizontal="center" vertical="center"/>
    </xf>
    <xf numFmtId="0" fontId="53" fillId="5" borderId="18" xfId="0" applyFont="1" applyFill="1" applyBorder="1" applyAlignment="1" applyProtection="1">
      <alignment horizontal="center" vertical="center"/>
    </xf>
    <xf numFmtId="0" fontId="68" fillId="0" borderId="0" xfId="0" applyFont="1" applyAlignment="1" applyProtection="1">
      <alignment vertical="center"/>
    </xf>
    <xf numFmtId="0" fontId="66" fillId="0" borderId="0" xfId="0" applyFont="1" applyProtection="1"/>
    <xf numFmtId="166" fontId="53" fillId="5" borderId="3" xfId="0" applyNumberFormat="1" applyFont="1" applyFill="1" applyBorder="1" applyAlignment="1" applyProtection="1">
      <alignment horizontal="center" vertical="center"/>
    </xf>
    <xf numFmtId="2" fontId="53" fillId="5" borderId="3" xfId="0" applyNumberFormat="1" applyFont="1" applyFill="1" applyBorder="1" applyAlignment="1" applyProtection="1">
      <alignment horizontal="center" vertical="center"/>
    </xf>
    <xf numFmtId="0" fontId="49" fillId="13" borderId="0" xfId="0" applyFont="1" applyFill="1" applyBorder="1" applyAlignment="1" applyProtection="1">
      <alignment horizontal="left" vertical="top" wrapText="1"/>
    </xf>
    <xf numFmtId="3" fontId="53" fillId="13" borderId="38" xfId="0" applyNumberFormat="1" applyFont="1" applyFill="1" applyBorder="1" applyAlignment="1" applyProtection="1">
      <alignment vertical="center"/>
    </xf>
    <xf numFmtId="3" fontId="63" fillId="13" borderId="38" xfId="0" applyNumberFormat="1" applyFont="1" applyFill="1" applyBorder="1" applyAlignment="1" applyProtection="1">
      <alignment horizontal="left" vertical="center"/>
    </xf>
    <xf numFmtId="3" fontId="53" fillId="13" borderId="53" xfId="0" applyNumberFormat="1" applyFont="1" applyFill="1" applyBorder="1" applyAlignment="1" applyProtection="1">
      <alignment vertical="center"/>
    </xf>
    <xf numFmtId="0" fontId="70" fillId="5" borderId="3" xfId="0" applyFont="1" applyFill="1" applyBorder="1" applyAlignment="1" applyProtection="1">
      <alignment horizontal="center" vertical="center"/>
    </xf>
    <xf numFmtId="3" fontId="53" fillId="13" borderId="89" xfId="0" applyNumberFormat="1" applyFont="1" applyFill="1" applyBorder="1" applyAlignment="1" applyProtection="1">
      <alignment vertical="center"/>
    </xf>
    <xf numFmtId="3" fontId="53" fillId="13" borderId="93" xfId="0" applyNumberFormat="1" applyFont="1" applyFill="1" applyBorder="1" applyAlignment="1" applyProtection="1">
      <alignment vertical="center"/>
    </xf>
    <xf numFmtId="164" fontId="49" fillId="5" borderId="47" xfId="1" applyNumberFormat="1" applyFont="1" applyFill="1" applyBorder="1" applyAlignment="1" applyProtection="1">
      <alignment horizontal="center" vertical="center"/>
    </xf>
    <xf numFmtId="0" fontId="53" fillId="0" borderId="0" xfId="0" applyFont="1" applyAlignment="1" applyProtection="1"/>
    <xf numFmtId="0" fontId="7" fillId="5" borderId="16" xfId="0" applyNumberFormat="1" applyFont="1" applyFill="1" applyBorder="1" applyAlignment="1" applyProtection="1">
      <alignment horizontal="center" vertical="center"/>
    </xf>
    <xf numFmtId="0" fontId="0" fillId="5" borderId="16" xfId="0" applyFill="1" applyBorder="1" applyAlignment="1" applyProtection="1">
      <alignment horizontal="center"/>
    </xf>
    <xf numFmtId="0" fontId="7" fillId="5" borderId="17" xfId="0" applyNumberFormat="1" applyFont="1" applyFill="1" applyBorder="1" applyAlignment="1" applyProtection="1">
      <alignment horizontal="center" vertical="center"/>
    </xf>
    <xf numFmtId="0" fontId="0" fillId="5" borderId="17" xfId="0" applyFill="1" applyBorder="1" applyAlignment="1" applyProtection="1">
      <alignment horizontal="center"/>
    </xf>
    <xf numFmtId="0" fontId="11" fillId="5" borderId="17" xfId="0" applyFont="1" applyFill="1" applyBorder="1" applyAlignment="1" applyProtection="1">
      <alignment horizontal="center"/>
    </xf>
    <xf numFmtId="0" fontId="11" fillId="5" borderId="3" xfId="0" applyFont="1" applyFill="1" applyBorder="1" applyAlignment="1" applyProtection="1">
      <alignment horizontal="center"/>
    </xf>
    <xf numFmtId="0" fontId="7" fillId="5" borderId="18" xfId="0" applyNumberFormat="1" applyFont="1" applyFill="1" applyBorder="1" applyAlignment="1" applyProtection="1">
      <alignment horizontal="center" vertical="center"/>
    </xf>
    <xf numFmtId="0" fontId="0" fillId="5" borderId="18" xfId="0" applyFill="1" applyBorder="1" applyAlignment="1" applyProtection="1">
      <alignment horizontal="center"/>
    </xf>
    <xf numFmtId="0" fontId="11" fillId="5" borderId="18" xfId="0" applyFont="1" applyFill="1" applyBorder="1" applyAlignment="1" applyProtection="1">
      <alignment horizontal="center"/>
    </xf>
    <xf numFmtId="164" fontId="11" fillId="5" borderId="3" xfId="1" applyNumberFormat="1" applyFont="1" applyFill="1" applyBorder="1" applyAlignment="1" applyProtection="1">
      <alignment horizontal="right"/>
    </xf>
    <xf numFmtId="10" fontId="11" fillId="5" borderId="3" xfId="0" applyNumberFormat="1" applyFont="1" applyFill="1" applyBorder="1" applyAlignment="1" applyProtection="1">
      <alignment horizontal="left"/>
    </xf>
    <xf numFmtId="0" fontId="11" fillId="5" borderId="3" xfId="0" applyNumberFormat="1" applyFont="1" applyFill="1" applyBorder="1" applyAlignment="1" applyProtection="1">
      <alignment horizontal="right" vertical="center"/>
    </xf>
    <xf numFmtId="3" fontId="11" fillId="5" borderId="3" xfId="10" applyNumberFormat="1" applyFont="1" applyFill="1" applyBorder="1" applyAlignment="1" applyProtection="1">
      <alignment horizontal="right" vertical="center"/>
    </xf>
    <xf numFmtId="166" fontId="11" fillId="5" borderId="3" xfId="10" applyNumberFormat="1" applyFont="1" applyFill="1" applyBorder="1" applyAlignment="1" applyProtection="1">
      <alignment horizontal="right" vertical="center"/>
    </xf>
    <xf numFmtId="164" fontId="11" fillId="11" borderId="16" xfId="1" applyNumberFormat="1" applyFont="1" applyFill="1" applyBorder="1" applyProtection="1"/>
    <xf numFmtId="164" fontId="11" fillId="6" borderId="17" xfId="1" applyNumberFormat="1" applyFont="1" applyFill="1" applyBorder="1" applyProtection="1"/>
    <xf numFmtId="164" fontId="11" fillId="5" borderId="17" xfId="1" applyNumberFormat="1" applyFont="1" applyFill="1" applyBorder="1" applyProtection="1"/>
    <xf numFmtId="164" fontId="11" fillId="6" borderId="18" xfId="1" applyNumberFormat="1" applyFont="1" applyFill="1" applyBorder="1" applyProtection="1"/>
    <xf numFmtId="164" fontId="11" fillId="6" borderId="16" xfId="1" applyNumberFormat="1" applyFont="1" applyFill="1" applyBorder="1" applyProtection="1"/>
    <xf numFmtId="0" fontId="13" fillId="13" borderId="3" xfId="0" applyFont="1" applyFill="1" applyBorder="1" applyAlignment="1" applyProtection="1">
      <alignment horizontal="center" vertical="center"/>
    </xf>
    <xf numFmtId="0" fontId="13" fillId="13" borderId="12" xfId="0" applyFont="1" applyFill="1" applyBorder="1" applyAlignment="1" applyProtection="1">
      <alignment horizontal="center" vertical="center"/>
    </xf>
    <xf numFmtId="0" fontId="13" fillId="13" borderId="89" xfId="0" applyFont="1" applyFill="1" applyBorder="1" applyAlignment="1" applyProtection="1">
      <alignment horizontal="center" vertical="center"/>
    </xf>
    <xf numFmtId="0" fontId="13" fillId="13" borderId="3" xfId="0" applyFont="1" applyFill="1" applyBorder="1" applyAlignment="1" applyProtection="1">
      <alignment horizontal="center" vertical="top"/>
    </xf>
    <xf numFmtId="165" fontId="13" fillId="13" borderId="12" xfId="0" applyNumberFormat="1" applyFont="1" applyFill="1" applyBorder="1" applyAlignment="1" applyProtection="1">
      <alignment horizontal="center" vertical="center"/>
    </xf>
    <xf numFmtId="9" fontId="13" fillId="13" borderId="12" xfId="0" applyNumberFormat="1" applyFont="1" applyFill="1" applyBorder="1" applyAlignment="1" applyProtection="1">
      <alignment horizontal="center" vertical="center"/>
    </xf>
    <xf numFmtId="0" fontId="13" fillId="13" borderId="16" xfId="0" applyFont="1" applyFill="1" applyBorder="1" applyAlignment="1" applyProtection="1">
      <alignment horizontal="center" vertical="center"/>
    </xf>
    <xf numFmtId="0" fontId="13" fillId="13" borderId="17" xfId="0" applyFont="1" applyFill="1" applyBorder="1" applyAlignment="1" applyProtection="1">
      <alignment horizontal="center" vertical="center"/>
    </xf>
    <xf numFmtId="0" fontId="13" fillId="13" borderId="18" xfId="0" applyFont="1" applyFill="1" applyBorder="1" applyAlignment="1" applyProtection="1">
      <alignment horizontal="center" vertical="center"/>
    </xf>
    <xf numFmtId="0" fontId="13" fillId="13" borderId="29" xfId="0" applyFont="1" applyFill="1" applyBorder="1" applyAlignment="1" applyProtection="1">
      <alignment horizontal="center" vertical="center"/>
    </xf>
    <xf numFmtId="0" fontId="13" fillId="13" borderId="23" xfId="0" applyFont="1" applyFill="1" applyBorder="1" applyAlignment="1" applyProtection="1">
      <alignment horizontal="center" vertical="center"/>
    </xf>
    <xf numFmtId="0" fontId="13" fillId="13" borderId="34" xfId="0" applyFont="1" applyFill="1" applyBorder="1" applyAlignment="1" applyProtection="1">
      <alignment horizontal="center" vertical="center"/>
    </xf>
    <xf numFmtId="0" fontId="13" fillId="13" borderId="24" xfId="0" applyFont="1" applyFill="1" applyBorder="1" applyAlignment="1" applyProtection="1">
      <alignment horizontal="center" vertical="center"/>
    </xf>
    <xf numFmtId="0" fontId="12" fillId="13" borderId="16" xfId="0" applyFont="1" applyFill="1" applyBorder="1" applyAlignment="1" applyProtection="1">
      <alignment horizontal="center" vertical="center"/>
    </xf>
    <xf numFmtId="0" fontId="12" fillId="13" borderId="17" xfId="0" applyFont="1" applyFill="1" applyBorder="1" applyAlignment="1" applyProtection="1">
      <alignment horizontal="center" vertical="center"/>
    </xf>
    <xf numFmtId="0" fontId="12" fillId="13" borderId="18" xfId="0" applyFont="1" applyFill="1" applyBorder="1" applyAlignment="1" applyProtection="1">
      <alignment horizontal="center" vertical="center"/>
    </xf>
    <xf numFmtId="38" fontId="7" fillId="13" borderId="16" xfId="0" applyNumberFormat="1" applyFont="1" applyFill="1" applyBorder="1" applyAlignment="1" applyProtection="1">
      <alignment horizontal="center" vertical="center"/>
    </xf>
    <xf numFmtId="38" fontId="7" fillId="13" borderId="17" xfId="0" applyNumberFormat="1" applyFont="1" applyFill="1" applyBorder="1" applyAlignment="1" applyProtection="1">
      <alignment horizontal="center" vertical="center"/>
    </xf>
    <xf numFmtId="38" fontId="7" fillId="13" borderId="18" xfId="0" applyNumberFormat="1" applyFont="1" applyFill="1" applyBorder="1" applyAlignment="1" applyProtection="1">
      <alignment horizontal="center" vertical="center"/>
    </xf>
    <xf numFmtId="0" fontId="7" fillId="13" borderId="23" xfId="0" applyFont="1" applyFill="1" applyBorder="1" applyAlignment="1" applyProtection="1">
      <alignment horizontal="center" vertical="center" wrapText="1"/>
    </xf>
    <xf numFmtId="0" fontId="7" fillId="13" borderId="25" xfId="0" applyFont="1" applyFill="1" applyBorder="1" applyAlignment="1" applyProtection="1">
      <alignment horizontal="center" vertical="center" wrapText="1"/>
    </xf>
    <xf numFmtId="0" fontId="7" fillId="13" borderId="24" xfId="0" applyFont="1" applyFill="1" applyBorder="1" applyAlignment="1" applyProtection="1">
      <alignment horizontal="center" vertical="center" wrapText="1"/>
    </xf>
    <xf numFmtId="1" fontId="3" fillId="13" borderId="16" xfId="0" applyNumberFormat="1" applyFont="1" applyFill="1" applyBorder="1" applyAlignment="1" applyProtection="1">
      <alignment horizontal="center" vertical="center"/>
    </xf>
    <xf numFmtId="1" fontId="3" fillId="13" borderId="18" xfId="0" applyNumberFormat="1" applyFont="1" applyFill="1" applyBorder="1" applyAlignment="1" applyProtection="1">
      <alignment horizontal="center" vertical="center"/>
    </xf>
    <xf numFmtId="0" fontId="7" fillId="13" borderId="16" xfId="0" applyFont="1" applyFill="1" applyBorder="1" applyAlignment="1" applyProtection="1">
      <alignment horizontal="center" vertical="center"/>
    </xf>
    <xf numFmtId="0" fontId="7" fillId="13" borderId="18" xfId="0" applyFont="1" applyFill="1" applyBorder="1" applyAlignment="1" applyProtection="1">
      <alignment horizontal="center" vertical="center"/>
    </xf>
    <xf numFmtId="0" fontId="7" fillId="13" borderId="16" xfId="0" applyFont="1" applyFill="1" applyBorder="1" applyAlignment="1" applyProtection="1">
      <alignment horizontal="center" vertical="top"/>
    </xf>
    <xf numFmtId="0" fontId="7" fillId="13" borderId="17" xfId="0" applyFont="1" applyFill="1" applyBorder="1" applyAlignment="1" applyProtection="1">
      <alignment horizontal="center" vertical="top"/>
    </xf>
    <xf numFmtId="0" fontId="7" fillId="13" borderId="17" xfId="0" applyFont="1" applyFill="1" applyBorder="1" applyAlignment="1" applyProtection="1">
      <alignment horizontal="center" vertical="center"/>
    </xf>
    <xf numFmtId="0" fontId="7" fillId="13" borderId="3" xfId="0" applyFont="1" applyFill="1" applyBorder="1" applyAlignment="1" applyProtection="1">
      <alignment horizontal="center" vertical="center"/>
    </xf>
    <xf numFmtId="0" fontId="2" fillId="13" borderId="3" xfId="0" applyFont="1" applyFill="1" applyBorder="1" applyAlignment="1" applyProtection="1">
      <alignment horizontal="center" vertical="center"/>
    </xf>
    <xf numFmtId="0" fontId="13" fillId="13" borderId="89" xfId="0" applyFont="1" applyFill="1" applyBorder="1" applyAlignment="1" applyProtection="1">
      <alignment horizontal="center" vertical="top"/>
    </xf>
    <xf numFmtId="0" fontId="13" fillId="13" borderId="16" xfId="0" applyFont="1" applyFill="1" applyBorder="1" applyAlignment="1" applyProtection="1">
      <alignment horizontal="center" vertical="top"/>
    </xf>
    <xf numFmtId="0" fontId="13" fillId="13" borderId="17" xfId="0" applyFont="1" applyFill="1" applyBorder="1" applyAlignment="1" applyProtection="1">
      <alignment horizontal="center" vertical="top"/>
    </xf>
    <xf numFmtId="0" fontId="13" fillId="13" borderId="18" xfId="0" applyFont="1" applyFill="1" applyBorder="1" applyAlignment="1" applyProtection="1">
      <alignment horizontal="center" vertical="top"/>
    </xf>
    <xf numFmtId="3" fontId="3" fillId="13" borderId="16" xfId="0" applyNumberFormat="1" applyFont="1" applyFill="1" applyBorder="1" applyAlignment="1" applyProtection="1">
      <alignment horizontal="center" vertical="center"/>
    </xf>
    <xf numFmtId="3" fontId="3" fillId="13" borderId="17" xfId="0" applyNumberFormat="1" applyFont="1" applyFill="1" applyBorder="1" applyAlignment="1" applyProtection="1">
      <alignment horizontal="center" vertical="center"/>
    </xf>
    <xf numFmtId="3" fontId="3" fillId="13" borderId="95" xfId="0" applyNumberFormat="1" applyFont="1" applyFill="1" applyBorder="1" applyAlignment="1" applyProtection="1">
      <alignment horizontal="center" vertical="center"/>
    </xf>
    <xf numFmtId="3" fontId="3" fillId="13" borderId="15" xfId="0" applyNumberFormat="1" applyFont="1" applyFill="1" applyBorder="1" applyAlignment="1" applyProtection="1">
      <alignment horizontal="center" vertical="center"/>
    </xf>
    <xf numFmtId="3" fontId="3" fillId="13" borderId="3" xfId="0" applyNumberFormat="1" applyFont="1" applyFill="1" applyBorder="1" applyAlignment="1" applyProtection="1">
      <alignment horizontal="center" vertical="center"/>
    </xf>
    <xf numFmtId="0" fontId="7" fillId="13" borderId="87" xfId="0" applyFont="1" applyFill="1" applyBorder="1" applyAlignment="1" applyProtection="1">
      <alignment horizontal="center" vertical="center"/>
    </xf>
    <xf numFmtId="0" fontId="7" fillId="13" borderId="89" xfId="0" applyFont="1" applyFill="1" applyBorder="1" applyAlignment="1" applyProtection="1">
      <alignment horizontal="center" vertical="center"/>
    </xf>
    <xf numFmtId="0" fontId="7" fillId="13" borderId="89" xfId="0" applyFont="1" applyFill="1" applyBorder="1" applyAlignment="1" applyProtection="1">
      <alignment horizontal="center" vertical="top"/>
    </xf>
    <xf numFmtId="10" fontId="3" fillId="13" borderId="52" xfId="0" applyNumberFormat="1" applyFont="1" applyFill="1" applyBorder="1" applyAlignment="1" applyProtection="1">
      <alignment horizontal="center" vertical="center" wrapText="1"/>
    </xf>
    <xf numFmtId="10" fontId="3" fillId="13" borderId="23" xfId="0" applyNumberFormat="1" applyFont="1" applyFill="1" applyBorder="1" applyAlignment="1" applyProtection="1">
      <alignment horizontal="center" vertical="center" wrapText="1"/>
    </xf>
    <xf numFmtId="10" fontId="3" fillId="13" borderId="51" xfId="0" applyNumberFormat="1" applyFont="1" applyFill="1" applyBorder="1" applyAlignment="1" applyProtection="1">
      <alignment horizontal="center" vertical="center" wrapText="1"/>
    </xf>
    <xf numFmtId="10" fontId="3" fillId="13" borderId="25" xfId="0" applyNumberFormat="1" applyFont="1" applyFill="1" applyBorder="1" applyAlignment="1" applyProtection="1">
      <alignment horizontal="center" vertical="center" wrapText="1"/>
    </xf>
    <xf numFmtId="10" fontId="3" fillId="13" borderId="51" xfId="0" applyNumberFormat="1" applyFont="1" applyFill="1" applyBorder="1" applyAlignment="1" applyProtection="1">
      <alignment horizontal="center" vertical="center"/>
    </xf>
    <xf numFmtId="10" fontId="3" fillId="13" borderId="25" xfId="0" applyNumberFormat="1" applyFont="1" applyFill="1" applyBorder="1" applyAlignment="1" applyProtection="1">
      <alignment horizontal="center" vertical="center"/>
    </xf>
    <xf numFmtId="10" fontId="3" fillId="13" borderId="49" xfId="0" applyNumberFormat="1" applyFont="1" applyFill="1" applyBorder="1" applyAlignment="1" applyProtection="1">
      <alignment horizontal="center" vertical="center" wrapText="1"/>
    </xf>
    <xf numFmtId="10" fontId="3" fillId="13" borderId="24" xfId="0" applyNumberFormat="1" applyFont="1" applyFill="1" applyBorder="1" applyAlignment="1" applyProtection="1">
      <alignment horizontal="center" vertical="center" wrapText="1"/>
    </xf>
    <xf numFmtId="3" fontId="7" fillId="13" borderId="18" xfId="0" applyNumberFormat="1" applyFont="1" applyFill="1" applyBorder="1" applyAlignment="1" applyProtection="1">
      <alignment horizontal="center" vertical="center"/>
    </xf>
    <xf numFmtId="0" fontId="117" fillId="0" borderId="89" xfId="0" applyFont="1" applyBorder="1" applyAlignment="1" applyProtection="1">
      <alignment horizontal="center"/>
    </xf>
    <xf numFmtId="0" fontId="53" fillId="0" borderId="0" xfId="0" applyFont="1" applyBorder="1" applyAlignment="1" applyProtection="1">
      <alignment horizontal="justify" vertical="top" wrapText="1"/>
    </xf>
    <xf numFmtId="0" fontId="0" fillId="0" borderId="0" xfId="0" applyAlignment="1" applyProtection="1">
      <alignment horizontal="justify"/>
    </xf>
    <xf numFmtId="0" fontId="39" fillId="0" borderId="0" xfId="13" applyFont="1" applyProtection="1"/>
    <xf numFmtId="0" fontId="38" fillId="0" borderId="0" xfId="13" applyFont="1" applyAlignment="1" applyProtection="1"/>
    <xf numFmtId="0" fontId="40" fillId="0" borderId="0" xfId="13" applyFont="1" applyAlignment="1" applyProtection="1"/>
    <xf numFmtId="0" fontId="41" fillId="0" borderId="0" xfId="13" applyFont="1" applyAlignment="1" applyProtection="1"/>
    <xf numFmtId="0" fontId="43" fillId="0" borderId="0" xfId="13" applyFont="1" applyProtection="1"/>
    <xf numFmtId="0" fontId="42" fillId="0" borderId="0" xfId="13" applyFont="1" applyProtection="1"/>
    <xf numFmtId="0" fontId="43" fillId="0" borderId="0" xfId="13" applyFont="1" applyAlignment="1" applyProtection="1">
      <alignment vertical="top"/>
    </xf>
    <xf numFmtId="0" fontId="8" fillId="0" borderId="0" xfId="13" applyFont="1" applyAlignment="1" applyProtection="1">
      <alignment vertical="top"/>
    </xf>
    <xf numFmtId="0" fontId="43" fillId="0" borderId="0" xfId="13" applyFont="1" applyAlignment="1" applyProtection="1">
      <alignment horizontal="left"/>
    </xf>
    <xf numFmtId="0" fontId="43" fillId="0" borderId="0" xfId="13" applyFont="1" applyAlignment="1" applyProtection="1"/>
    <xf numFmtId="0" fontId="48" fillId="0" borderId="0" xfId="0" applyFont="1" applyFill="1" applyAlignment="1" applyProtection="1">
      <alignment horizontal="center" vertical="center" wrapText="1"/>
    </xf>
    <xf numFmtId="0" fontId="53" fillId="0" borderId="0" xfId="0" applyFont="1" applyBorder="1" applyAlignment="1" applyProtection="1">
      <alignment horizontal="justify" vertical="top" wrapText="1"/>
    </xf>
    <xf numFmtId="8" fontId="53" fillId="5" borderId="36" xfId="0" applyNumberFormat="1" applyFont="1" applyFill="1" applyBorder="1" applyAlignment="1" applyProtection="1">
      <alignment horizontal="center" vertical="center"/>
    </xf>
    <xf numFmtId="8" fontId="53" fillId="5" borderId="37" xfId="0" applyNumberFormat="1" applyFont="1" applyFill="1" applyBorder="1" applyAlignment="1" applyProtection="1">
      <alignment horizontal="center" vertical="center"/>
    </xf>
    <xf numFmtId="0" fontId="49" fillId="5" borderId="51" xfId="0" applyFont="1" applyFill="1" applyBorder="1" applyAlignment="1" applyProtection="1">
      <alignment horizontal="left" vertical="center"/>
    </xf>
    <xf numFmtId="0" fontId="49" fillId="5" borderId="38" xfId="0" applyFont="1" applyFill="1" applyBorder="1" applyAlignment="1" applyProtection="1">
      <alignment horizontal="left" vertical="center"/>
    </xf>
    <xf numFmtId="0" fontId="49" fillId="5" borderId="25" xfId="0" applyFont="1" applyFill="1" applyBorder="1" applyAlignment="1" applyProtection="1">
      <alignment horizontal="left" vertical="center"/>
    </xf>
    <xf numFmtId="0" fontId="49" fillId="5" borderId="53" xfId="0" applyFont="1" applyFill="1" applyBorder="1" applyAlignment="1" applyProtection="1">
      <alignment horizontal="left" vertical="center"/>
    </xf>
    <xf numFmtId="0" fontId="49" fillId="5" borderId="23" xfId="0" applyFont="1" applyFill="1" applyBorder="1" applyAlignment="1" applyProtection="1">
      <alignment horizontal="left" vertical="center"/>
    </xf>
    <xf numFmtId="0" fontId="53" fillId="0" borderId="7" xfId="0" applyFont="1" applyFill="1" applyBorder="1" applyAlignment="1" applyProtection="1">
      <alignment horizontal="center" vertical="center"/>
    </xf>
    <xf numFmtId="0" fontId="53" fillId="0" borderId="0" xfId="0" applyFont="1" applyFill="1" applyAlignment="1" applyProtection="1">
      <alignment horizontal="center" vertical="center"/>
    </xf>
    <xf numFmtId="0" fontId="53" fillId="0" borderId="8" xfId="0" applyFont="1" applyFill="1" applyBorder="1" applyAlignment="1" applyProtection="1">
      <alignment horizontal="center" vertical="center"/>
    </xf>
    <xf numFmtId="0" fontId="49" fillId="5" borderId="49" xfId="0" applyFont="1" applyFill="1" applyBorder="1" applyAlignment="1" applyProtection="1">
      <alignment horizontal="left" vertical="center"/>
    </xf>
    <xf numFmtId="0" fontId="49" fillId="5" borderId="50" xfId="0" applyFont="1" applyFill="1" applyBorder="1" applyAlignment="1" applyProtection="1">
      <alignment horizontal="left" vertical="center"/>
    </xf>
    <xf numFmtId="0" fontId="49" fillId="5" borderId="24" xfId="0" applyFont="1" applyFill="1" applyBorder="1" applyAlignment="1" applyProtection="1">
      <alignment horizontal="left" vertical="center"/>
    </xf>
    <xf numFmtId="167" fontId="53" fillId="5" borderId="36" xfId="0" applyNumberFormat="1" applyFont="1" applyFill="1" applyBorder="1" applyAlignment="1" applyProtection="1">
      <alignment horizontal="left" vertical="center"/>
    </xf>
    <xf numFmtId="167" fontId="53" fillId="5" borderId="2" xfId="0" applyNumberFormat="1" applyFont="1" applyFill="1" applyBorder="1" applyAlignment="1" applyProtection="1">
      <alignment horizontal="left" vertical="center"/>
    </xf>
    <xf numFmtId="167" fontId="53" fillId="5" borderId="37" xfId="0" applyNumberFormat="1" applyFont="1" applyFill="1" applyBorder="1" applyAlignment="1" applyProtection="1">
      <alignment horizontal="left" vertical="center"/>
    </xf>
    <xf numFmtId="0" fontId="53" fillId="0" borderId="7" xfId="0" applyFont="1" applyBorder="1" applyAlignment="1" applyProtection="1">
      <alignment horizontal="center"/>
    </xf>
    <xf numFmtId="0" fontId="53" fillId="0" borderId="8" xfId="0" applyFont="1" applyBorder="1" applyAlignment="1" applyProtection="1">
      <alignment horizontal="center"/>
    </xf>
    <xf numFmtId="0" fontId="53" fillId="5" borderId="36" xfId="0" applyFont="1" applyFill="1" applyBorder="1" applyAlignment="1" applyProtection="1">
      <alignment horizontal="left" vertical="center"/>
    </xf>
    <xf numFmtId="0" fontId="53" fillId="5" borderId="2" xfId="0" applyFont="1" applyFill="1" applyBorder="1" applyAlignment="1" applyProtection="1">
      <alignment horizontal="left" vertical="center"/>
    </xf>
    <xf numFmtId="0" fontId="53" fillId="5" borderId="6" xfId="0" applyFont="1" applyFill="1" applyBorder="1" applyAlignment="1" applyProtection="1">
      <alignment horizontal="left" vertical="center"/>
    </xf>
    <xf numFmtId="0" fontId="53" fillId="5" borderId="37" xfId="0" applyFont="1" applyFill="1" applyBorder="1" applyAlignment="1" applyProtection="1">
      <alignment horizontal="left" vertical="center"/>
    </xf>
    <xf numFmtId="0" fontId="53" fillId="5" borderId="36" xfId="0" applyNumberFormat="1" applyFont="1" applyFill="1" applyBorder="1" applyAlignment="1" applyProtection="1">
      <alignment horizontal="left" vertical="center"/>
    </xf>
    <xf numFmtId="0" fontId="53" fillId="5" borderId="2" xfId="0" applyNumberFormat="1" applyFont="1" applyFill="1" applyBorder="1" applyAlignment="1" applyProtection="1">
      <alignment horizontal="left" vertical="center"/>
    </xf>
    <xf numFmtId="0" fontId="53" fillId="5" borderId="37" xfId="0" applyNumberFormat="1" applyFont="1" applyFill="1" applyBorder="1" applyAlignment="1" applyProtection="1">
      <alignment horizontal="left" vertical="center"/>
    </xf>
    <xf numFmtId="0" fontId="53" fillId="0" borderId="2" xfId="0" applyFont="1" applyBorder="1" applyProtection="1"/>
    <xf numFmtId="0" fontId="53" fillId="0" borderId="37" xfId="0" applyFont="1" applyBorder="1" applyProtection="1"/>
    <xf numFmtId="169" fontId="53" fillId="5" borderId="36" xfId="0" applyNumberFormat="1" applyFont="1" applyFill="1" applyBorder="1" applyAlignment="1" applyProtection="1">
      <alignment horizontal="center" vertical="center"/>
    </xf>
    <xf numFmtId="0" fontId="53" fillId="5" borderId="81" xfId="0" applyFont="1" applyFill="1" applyBorder="1" applyAlignment="1" applyProtection="1">
      <alignment horizontal="left" vertical="center"/>
    </xf>
    <xf numFmtId="0" fontId="53" fillId="5" borderId="82" xfId="0" applyFont="1" applyFill="1" applyBorder="1" applyAlignment="1" applyProtection="1">
      <alignment horizontal="left" vertical="center"/>
    </xf>
    <xf numFmtId="38" fontId="53" fillId="5" borderId="81" xfId="0" applyNumberFormat="1" applyFont="1" applyFill="1" applyBorder="1" applyAlignment="1" applyProtection="1">
      <alignment horizontal="left" vertical="center"/>
    </xf>
    <xf numFmtId="38" fontId="53" fillId="5" borderId="85" xfId="0" applyNumberFormat="1" applyFont="1" applyFill="1" applyBorder="1" applyAlignment="1" applyProtection="1">
      <alignment horizontal="left" vertical="center"/>
    </xf>
    <xf numFmtId="38" fontId="53" fillId="5" borderId="82" xfId="0" applyNumberFormat="1" applyFont="1" applyFill="1" applyBorder="1" applyAlignment="1" applyProtection="1">
      <alignment horizontal="left" vertical="center"/>
    </xf>
    <xf numFmtId="169" fontId="53" fillId="5" borderId="36" xfId="0" applyNumberFormat="1" applyFont="1" applyFill="1" applyBorder="1" applyAlignment="1" applyProtection="1">
      <alignment horizontal="left" vertical="center"/>
    </xf>
    <xf numFmtId="169" fontId="53" fillId="5" borderId="37" xfId="0" applyNumberFormat="1" applyFont="1" applyFill="1" applyBorder="1" applyAlignment="1" applyProtection="1">
      <alignment horizontal="left" vertical="center"/>
    </xf>
    <xf numFmtId="0" fontId="53" fillId="0" borderId="0" xfId="0" applyFont="1" applyFill="1" applyBorder="1" applyAlignment="1" applyProtection="1">
      <alignment horizontal="left"/>
    </xf>
    <xf numFmtId="0" fontId="53" fillId="5" borderId="81" xfId="0" applyFont="1" applyFill="1" applyBorder="1" applyAlignment="1" applyProtection="1">
      <alignment horizontal="left"/>
    </xf>
    <xf numFmtId="0" fontId="53" fillId="5" borderId="85" xfId="0" applyFont="1" applyFill="1" applyBorder="1" applyAlignment="1" applyProtection="1">
      <alignment horizontal="left"/>
    </xf>
    <xf numFmtId="0" fontId="53" fillId="5" borderId="82" xfId="0" applyFont="1" applyFill="1" applyBorder="1" applyAlignment="1" applyProtection="1">
      <alignment horizontal="left"/>
    </xf>
    <xf numFmtId="0" fontId="53" fillId="0" borderId="0" xfId="0" applyFont="1" applyFill="1" applyBorder="1" applyAlignment="1" applyProtection="1">
      <alignment horizontal="left" vertical="center"/>
    </xf>
    <xf numFmtId="0" fontId="53" fillId="5" borderId="85" xfId="0" applyFont="1" applyFill="1" applyBorder="1" applyAlignment="1" applyProtection="1">
      <alignment horizontal="left" vertical="center"/>
    </xf>
    <xf numFmtId="0" fontId="61" fillId="0" borderId="86" xfId="0" applyFont="1" applyFill="1" applyBorder="1" applyAlignment="1" applyProtection="1">
      <alignment horizontal="center" vertical="center"/>
    </xf>
    <xf numFmtId="0" fontId="49" fillId="5" borderId="52" xfId="0" applyFont="1" applyFill="1" applyBorder="1" applyAlignment="1" applyProtection="1">
      <alignment horizontal="left" vertical="center"/>
    </xf>
    <xf numFmtId="167" fontId="53" fillId="5" borderId="36" xfId="0" applyNumberFormat="1" applyFont="1" applyFill="1" applyBorder="1" applyAlignment="1" applyProtection="1">
      <alignment horizontal="center" vertical="center"/>
    </xf>
    <xf numFmtId="0" fontId="53" fillId="0" borderId="0" xfId="0" applyFont="1" applyFill="1" applyBorder="1" applyAlignment="1" applyProtection="1">
      <alignment horizontal="center" wrapText="1"/>
    </xf>
    <xf numFmtId="0" fontId="53" fillId="0" borderId="13" xfId="0" applyFont="1" applyBorder="1" applyAlignment="1" applyProtection="1">
      <alignment wrapText="1"/>
    </xf>
    <xf numFmtId="0" fontId="49" fillId="5" borderId="81" xfId="0" applyFont="1" applyFill="1" applyBorder="1" applyAlignment="1" applyProtection="1">
      <alignment horizontal="center"/>
    </xf>
    <xf numFmtId="0" fontId="49" fillId="5" borderId="82" xfId="0" applyFont="1" applyFill="1" applyBorder="1" applyAlignment="1" applyProtection="1">
      <alignment horizontal="center"/>
    </xf>
    <xf numFmtId="0" fontId="49" fillId="5" borderId="36" xfId="0" applyFont="1" applyFill="1" applyBorder="1" applyAlignment="1" applyProtection="1">
      <alignment horizontal="left" vertical="center"/>
    </xf>
    <xf numFmtId="0" fontId="49" fillId="5" borderId="2" xfId="0" applyFont="1" applyFill="1" applyBorder="1" applyAlignment="1" applyProtection="1">
      <alignment horizontal="left" vertical="center"/>
    </xf>
    <xf numFmtId="0" fontId="49" fillId="5" borderId="37" xfId="0" applyFont="1" applyFill="1" applyBorder="1" applyAlignment="1" applyProtection="1">
      <alignment horizontal="left" vertical="center"/>
    </xf>
    <xf numFmtId="0" fontId="53" fillId="5" borderId="36" xfId="0" applyFont="1" applyFill="1" applyBorder="1" applyAlignment="1" applyProtection="1">
      <alignment horizontal="left"/>
    </xf>
    <xf numFmtId="0" fontId="53" fillId="5" borderId="37" xfId="0" applyFont="1" applyFill="1" applyBorder="1" applyAlignment="1" applyProtection="1">
      <alignment horizontal="left"/>
    </xf>
    <xf numFmtId="0" fontId="62" fillId="8" borderId="54" xfId="0" applyFont="1" applyFill="1" applyBorder="1" applyAlignment="1" applyProtection="1">
      <alignment horizontal="center" vertical="center"/>
    </xf>
    <xf numFmtId="0" fontId="62" fillId="8" borderId="55" xfId="0" applyFont="1" applyFill="1" applyBorder="1" applyAlignment="1" applyProtection="1">
      <alignment horizontal="center" vertical="center"/>
    </xf>
    <xf numFmtId="0" fontId="62" fillId="8" borderId="56" xfId="0" applyFont="1" applyFill="1" applyBorder="1" applyAlignment="1" applyProtection="1">
      <alignment horizontal="center" vertical="center"/>
    </xf>
    <xf numFmtId="0" fontId="53" fillId="0" borderId="13" xfId="0" applyFont="1" applyFill="1" applyBorder="1" applyAlignment="1" applyProtection="1">
      <alignment horizontal="center" vertical="center"/>
    </xf>
    <xf numFmtId="0" fontId="63" fillId="16" borderId="57" xfId="0" applyFont="1" applyFill="1" applyBorder="1" applyAlignment="1" applyProtection="1">
      <alignment horizontal="center" vertical="center"/>
    </xf>
    <xf numFmtId="0" fontId="63" fillId="16" borderId="35" xfId="0" applyFont="1" applyFill="1" applyBorder="1" applyAlignment="1" applyProtection="1">
      <alignment horizontal="center" vertical="center"/>
    </xf>
    <xf numFmtId="169" fontId="53" fillId="5" borderId="37" xfId="0" applyNumberFormat="1" applyFont="1" applyFill="1" applyBorder="1" applyAlignment="1" applyProtection="1">
      <alignment horizontal="center" vertical="center"/>
    </xf>
    <xf numFmtId="178" fontId="53" fillId="5" borderId="36" xfId="0" applyNumberFormat="1" applyFont="1" applyFill="1" applyBorder="1" applyAlignment="1" applyProtection="1">
      <alignment horizontal="left" vertical="center"/>
    </xf>
    <xf numFmtId="178" fontId="53" fillId="5" borderId="37" xfId="0" applyNumberFormat="1" applyFont="1" applyFill="1" applyBorder="1" applyAlignment="1" applyProtection="1">
      <alignment horizontal="left" vertical="center"/>
    </xf>
    <xf numFmtId="0" fontId="53" fillId="6" borderId="36" xfId="0" applyNumberFormat="1" applyFont="1" applyFill="1" applyBorder="1" applyAlignment="1" applyProtection="1">
      <alignment horizontal="left" vertical="center"/>
    </xf>
    <xf numFmtId="0" fontId="53" fillId="6" borderId="37" xfId="0" applyNumberFormat="1" applyFont="1" applyFill="1" applyBorder="1" applyAlignment="1" applyProtection="1">
      <alignment horizontal="left" vertical="center"/>
    </xf>
    <xf numFmtId="0" fontId="53" fillId="0" borderId="13" xfId="0" applyFont="1" applyFill="1" applyBorder="1" applyAlignment="1" applyProtection="1">
      <alignment horizontal="center"/>
    </xf>
    <xf numFmtId="42" fontId="53" fillId="0" borderId="36" xfId="2" applyNumberFormat="1" applyFont="1" applyFill="1" applyBorder="1" applyAlignment="1" applyProtection="1">
      <alignment horizontal="center" vertical="center"/>
    </xf>
    <xf numFmtId="42" fontId="53" fillId="0" borderId="37" xfId="2" applyNumberFormat="1" applyFont="1" applyFill="1" applyBorder="1" applyAlignment="1" applyProtection="1">
      <alignment horizontal="center" vertical="center"/>
    </xf>
    <xf numFmtId="0" fontId="53" fillId="5" borderId="36" xfId="0" applyFont="1" applyFill="1" applyBorder="1" applyAlignment="1" applyProtection="1">
      <alignment horizontal="center" vertical="center"/>
    </xf>
    <xf numFmtId="0" fontId="53" fillId="5" borderId="37" xfId="0" applyFont="1" applyFill="1" applyBorder="1" applyAlignment="1" applyProtection="1">
      <alignment horizontal="center" vertical="center"/>
    </xf>
    <xf numFmtId="0" fontId="49" fillId="5" borderId="81" xfId="0" applyFont="1" applyFill="1" applyBorder="1" applyAlignment="1" applyProtection="1">
      <alignment horizontal="center" vertical="center"/>
    </xf>
    <xf numFmtId="0" fontId="49" fillId="5" borderId="82" xfId="0" applyFont="1" applyFill="1" applyBorder="1" applyAlignment="1" applyProtection="1">
      <alignment horizontal="center" vertical="center"/>
    </xf>
    <xf numFmtId="42" fontId="11" fillId="0" borderId="36" xfId="2" applyNumberFormat="1" applyFont="1" applyFill="1" applyBorder="1" applyAlignment="1" applyProtection="1">
      <alignment horizontal="center" vertical="center"/>
    </xf>
    <xf numFmtId="42" fontId="11" fillId="0" borderId="37" xfId="2" applyNumberFormat="1" applyFont="1" applyFill="1" applyBorder="1" applyAlignment="1" applyProtection="1">
      <alignment horizontal="center" vertical="center"/>
    </xf>
    <xf numFmtId="3" fontId="53" fillId="5" borderId="36" xfId="0" applyNumberFormat="1" applyFont="1" applyFill="1" applyBorder="1" applyAlignment="1" applyProtection="1">
      <alignment horizontal="left" vertical="center"/>
    </xf>
    <xf numFmtId="3" fontId="53" fillId="5" borderId="37" xfId="0" applyNumberFormat="1" applyFont="1" applyFill="1" applyBorder="1" applyAlignment="1" applyProtection="1">
      <alignment horizontal="left" vertical="center"/>
    </xf>
    <xf numFmtId="0" fontId="53" fillId="5" borderId="9" xfId="0" applyFont="1" applyFill="1" applyBorder="1" applyAlignment="1" applyProtection="1">
      <alignment horizontal="left" vertical="center"/>
    </xf>
    <xf numFmtId="0" fontId="53" fillId="5" borderId="13" xfId="0" applyFont="1" applyFill="1" applyBorder="1" applyAlignment="1" applyProtection="1">
      <alignment horizontal="left" vertical="center"/>
    </xf>
    <xf numFmtId="0" fontId="53" fillId="5" borderId="14" xfId="0" applyFont="1" applyFill="1" applyBorder="1" applyAlignment="1" applyProtection="1">
      <alignment horizontal="left" vertical="center"/>
    </xf>
    <xf numFmtId="0" fontId="53" fillId="0" borderId="83" xfId="0" applyFont="1" applyFill="1" applyBorder="1" applyAlignment="1" applyProtection="1">
      <alignment horizontal="center" vertical="center"/>
    </xf>
    <xf numFmtId="0" fontId="53" fillId="0" borderId="84" xfId="0" applyFont="1" applyFill="1" applyBorder="1" applyAlignment="1" applyProtection="1">
      <alignment horizontal="center" vertical="center"/>
    </xf>
    <xf numFmtId="0" fontId="109" fillId="5" borderId="36" xfId="0" applyFont="1" applyFill="1" applyBorder="1" applyAlignment="1" applyProtection="1">
      <alignment horizontal="left"/>
    </xf>
    <xf numFmtId="0" fontId="109" fillId="5" borderId="2" xfId="0" applyFont="1" applyFill="1" applyBorder="1" applyAlignment="1" applyProtection="1">
      <alignment horizontal="left"/>
    </xf>
    <xf numFmtId="0" fontId="109" fillId="5" borderId="37" xfId="0" applyFont="1" applyFill="1" applyBorder="1" applyAlignment="1" applyProtection="1">
      <alignment horizontal="left"/>
    </xf>
    <xf numFmtId="175" fontId="53" fillId="5" borderId="36" xfId="0" applyNumberFormat="1" applyFont="1" applyFill="1" applyBorder="1" applyAlignment="1" applyProtection="1">
      <alignment horizontal="left" vertical="center"/>
    </xf>
    <xf numFmtId="175" fontId="53" fillId="5" borderId="37" xfId="0" applyNumberFormat="1" applyFont="1" applyFill="1" applyBorder="1" applyAlignment="1" applyProtection="1">
      <alignment horizontal="left" vertical="center"/>
    </xf>
    <xf numFmtId="0" fontId="49" fillId="5" borderId="36" xfId="0" applyFont="1" applyFill="1" applyBorder="1" applyAlignment="1" applyProtection="1">
      <alignment horizontal="left" vertical="top" wrapText="1"/>
    </xf>
    <xf numFmtId="0" fontId="49" fillId="5" borderId="2" xfId="0" applyFont="1" applyFill="1" applyBorder="1" applyAlignment="1" applyProtection="1">
      <alignment horizontal="left" vertical="top" wrapText="1"/>
    </xf>
    <xf numFmtId="0" fontId="49" fillId="5" borderId="37" xfId="0" applyFont="1" applyFill="1" applyBorder="1" applyAlignment="1" applyProtection="1">
      <alignment horizontal="left" vertical="top" wrapText="1"/>
    </xf>
    <xf numFmtId="0" fontId="49" fillId="4" borderId="36" xfId="0" applyFont="1" applyFill="1" applyBorder="1" applyAlignment="1" applyProtection="1">
      <alignment horizontal="left" vertical="top" wrapText="1"/>
    </xf>
    <xf numFmtId="0" fontId="49" fillId="4" borderId="2" xfId="0" applyFont="1" applyFill="1" applyBorder="1" applyAlignment="1" applyProtection="1">
      <alignment horizontal="left" vertical="top" wrapText="1"/>
    </xf>
    <xf numFmtId="0" fontId="49" fillId="4" borderId="37" xfId="0" applyFont="1" applyFill="1" applyBorder="1" applyAlignment="1" applyProtection="1">
      <alignment horizontal="left" vertical="top" wrapText="1"/>
    </xf>
    <xf numFmtId="0" fontId="53" fillId="0" borderId="0" xfId="0" applyFont="1" applyBorder="1" applyAlignment="1" applyProtection="1">
      <alignment horizontal="left"/>
    </xf>
    <xf numFmtId="0" fontId="61" fillId="0" borderId="0" xfId="0" applyFont="1" applyFill="1" applyBorder="1" applyAlignment="1" applyProtection="1">
      <alignment horizontal="left"/>
    </xf>
    <xf numFmtId="1" fontId="53" fillId="5" borderId="36" xfId="1" applyNumberFormat="1" applyFont="1" applyFill="1" applyBorder="1" applyAlignment="1" applyProtection="1">
      <alignment horizontal="center" vertical="center"/>
    </xf>
    <xf numFmtId="1" fontId="53" fillId="5" borderId="37" xfId="1" applyNumberFormat="1" applyFont="1" applyFill="1" applyBorder="1" applyAlignment="1" applyProtection="1">
      <alignment horizontal="center" vertical="center"/>
    </xf>
    <xf numFmtId="49" fontId="53" fillId="5" borderId="36" xfId="0" applyNumberFormat="1" applyFont="1" applyFill="1" applyBorder="1" applyAlignment="1" applyProtection="1">
      <alignment horizontal="left" vertical="center"/>
    </xf>
    <xf numFmtId="49" fontId="0" fillId="0" borderId="37" xfId="0" applyNumberFormat="1" applyBorder="1" applyProtection="1"/>
    <xf numFmtId="0" fontId="129" fillId="0" borderId="0" xfId="6" applyFont="1" applyFill="1" applyBorder="1" applyAlignment="1" applyProtection="1">
      <alignment horizontal="left" vertical="center"/>
    </xf>
    <xf numFmtId="0" fontId="130" fillId="0" borderId="0" xfId="6" applyFont="1" applyFill="1" applyBorder="1" applyAlignment="1" applyProtection="1">
      <alignment horizontal="left" vertical="center"/>
    </xf>
    <xf numFmtId="167" fontId="53" fillId="5" borderId="9" xfId="0" applyNumberFormat="1" applyFont="1" applyFill="1" applyBorder="1" applyAlignment="1" applyProtection="1">
      <alignment horizontal="left" vertical="center"/>
    </xf>
    <xf numFmtId="167" fontId="53" fillId="5" borderId="14" xfId="0" applyNumberFormat="1" applyFont="1" applyFill="1" applyBorder="1" applyAlignment="1" applyProtection="1">
      <alignment horizontal="left" vertical="center"/>
    </xf>
    <xf numFmtId="0" fontId="53" fillId="6" borderId="81" xfId="0" applyFont="1" applyFill="1" applyBorder="1" applyAlignment="1" applyProtection="1">
      <alignment horizontal="left" vertical="center"/>
    </xf>
    <xf numFmtId="0" fontId="53" fillId="6" borderId="82" xfId="0" applyFont="1" applyFill="1" applyBorder="1" applyAlignment="1" applyProtection="1">
      <alignment horizontal="left" vertical="center"/>
    </xf>
    <xf numFmtId="0" fontId="61" fillId="0" borderId="0" xfId="0" applyFont="1" applyFill="1" applyBorder="1" applyAlignment="1" applyProtection="1">
      <alignment horizontal="left" wrapText="1"/>
    </xf>
    <xf numFmtId="38" fontId="53" fillId="5" borderId="36" xfId="0" applyNumberFormat="1" applyFont="1" applyFill="1" applyBorder="1" applyAlignment="1" applyProtection="1">
      <alignment horizontal="left" vertical="center"/>
    </xf>
    <xf numFmtId="38" fontId="53" fillId="5" borderId="2" xfId="0" applyNumberFormat="1" applyFont="1" applyFill="1" applyBorder="1" applyAlignment="1" applyProtection="1">
      <alignment horizontal="left" vertical="center"/>
    </xf>
    <xf numFmtId="38" fontId="53" fillId="5" borderId="88" xfId="0" applyNumberFormat="1" applyFont="1" applyFill="1" applyBorder="1" applyAlignment="1" applyProtection="1">
      <alignment horizontal="left" vertical="center"/>
    </xf>
    <xf numFmtId="38" fontId="53" fillId="5" borderId="84" xfId="0" applyNumberFormat="1" applyFont="1" applyFill="1" applyBorder="1" applyAlignment="1" applyProtection="1">
      <alignment horizontal="left" vertical="center"/>
    </xf>
    <xf numFmtId="167" fontId="53" fillId="5" borderId="81" xfId="0" applyNumberFormat="1" applyFont="1" applyFill="1" applyBorder="1" applyAlignment="1" applyProtection="1">
      <alignment horizontal="left" vertical="center"/>
    </xf>
    <xf numFmtId="167" fontId="53" fillId="5" borderId="82" xfId="0" applyNumberFormat="1" applyFont="1" applyFill="1" applyBorder="1" applyAlignment="1" applyProtection="1">
      <alignment horizontal="left" vertical="center"/>
    </xf>
    <xf numFmtId="38" fontId="53" fillId="5" borderId="13" xfId="0" applyNumberFormat="1" applyFont="1" applyFill="1" applyBorder="1" applyAlignment="1" applyProtection="1">
      <alignment horizontal="left" vertical="center"/>
    </xf>
    <xf numFmtId="38" fontId="53" fillId="5" borderId="14" xfId="0" applyNumberFormat="1" applyFont="1" applyFill="1" applyBorder="1" applyAlignment="1" applyProtection="1">
      <alignment horizontal="left" vertical="center"/>
    </xf>
    <xf numFmtId="167" fontId="53" fillId="5" borderId="2" xfId="0" applyNumberFormat="1" applyFont="1" applyFill="1" applyBorder="1" applyAlignment="1" applyProtection="1">
      <alignment horizontal="center" vertical="center"/>
    </xf>
    <xf numFmtId="167" fontId="53" fillId="5" borderId="37" xfId="0" applyNumberFormat="1" applyFont="1" applyFill="1" applyBorder="1" applyAlignment="1" applyProtection="1">
      <alignment horizontal="center" vertical="center"/>
    </xf>
    <xf numFmtId="174" fontId="61" fillId="0" borderId="33" xfId="10" applyNumberFormat="1" applyFont="1" applyFill="1" applyBorder="1" applyAlignment="1" applyProtection="1">
      <alignment horizontal="right" vertical="center"/>
    </xf>
    <xf numFmtId="174" fontId="61" fillId="0" borderId="34" xfId="0" applyNumberFormat="1" applyFont="1" applyFill="1" applyBorder="1" applyAlignment="1" applyProtection="1">
      <alignment horizontal="right"/>
    </xf>
    <xf numFmtId="0" fontId="53" fillId="5" borderId="33" xfId="0" applyNumberFormat="1" applyFont="1" applyFill="1" applyBorder="1" applyAlignment="1" applyProtection="1">
      <alignment horizontal="center" vertical="center"/>
    </xf>
    <xf numFmtId="0" fontId="53" fillId="5" borderId="34" xfId="0" applyNumberFormat="1" applyFont="1" applyFill="1" applyBorder="1" applyAlignment="1" applyProtection="1">
      <alignment horizontal="center" vertical="center"/>
    </xf>
    <xf numFmtId="174" fontId="53" fillId="5" borderId="33" xfId="10" applyNumberFormat="1" applyFont="1" applyFill="1" applyBorder="1" applyAlignment="1" applyProtection="1">
      <alignment horizontal="right" vertical="center"/>
    </xf>
    <xf numFmtId="174" fontId="53" fillId="5" borderId="34" xfId="0" applyNumberFormat="1" applyFont="1" applyFill="1" applyBorder="1" applyAlignment="1" applyProtection="1">
      <alignment horizontal="right"/>
    </xf>
    <xf numFmtId="0" fontId="53" fillId="0" borderId="9" xfId="0" applyFont="1" applyFill="1" applyBorder="1" applyAlignment="1" applyProtection="1">
      <alignment horizontal="left" vertical="center"/>
    </xf>
    <xf numFmtId="0" fontId="53" fillId="0" borderId="13" xfId="0" applyFont="1" applyFill="1" applyBorder="1" applyAlignment="1" applyProtection="1">
      <alignment horizontal="left" vertical="center"/>
    </xf>
    <xf numFmtId="0" fontId="53" fillId="0" borderId="14" xfId="0" applyFont="1" applyFill="1" applyBorder="1" applyAlignment="1" applyProtection="1">
      <alignment horizontal="left" vertical="center"/>
    </xf>
    <xf numFmtId="0" fontId="53" fillId="0" borderId="7" xfId="0" applyFont="1" applyFill="1" applyBorder="1" applyAlignment="1" applyProtection="1">
      <alignment horizontal="left" vertical="center"/>
    </xf>
    <xf numFmtId="0" fontId="53" fillId="0" borderId="8" xfId="0" applyFont="1" applyFill="1" applyBorder="1" applyAlignment="1" applyProtection="1">
      <alignment horizontal="left" vertical="center"/>
    </xf>
    <xf numFmtId="0" fontId="53" fillId="5" borderId="17" xfId="0" applyFont="1" applyFill="1" applyBorder="1" applyAlignment="1" applyProtection="1">
      <alignment horizontal="center" vertical="center"/>
    </xf>
    <xf numFmtId="0" fontId="53" fillId="5" borderId="18" xfId="0" applyFont="1" applyFill="1" applyBorder="1" applyAlignment="1" applyProtection="1">
      <alignment horizontal="center" vertical="center"/>
    </xf>
    <xf numFmtId="0" fontId="53" fillId="5" borderId="30" xfId="0" applyNumberFormat="1" applyFont="1" applyFill="1" applyBorder="1" applyAlignment="1" applyProtection="1">
      <alignment horizontal="center" vertical="center"/>
    </xf>
    <xf numFmtId="0" fontId="53" fillId="5" borderId="31" xfId="0" applyNumberFormat="1" applyFont="1" applyFill="1" applyBorder="1" applyAlignment="1" applyProtection="1">
      <alignment horizontal="center" vertical="center"/>
    </xf>
    <xf numFmtId="174" fontId="53" fillId="5" borderId="30" xfId="10" applyNumberFormat="1" applyFont="1" applyFill="1" applyBorder="1" applyAlignment="1" applyProtection="1">
      <alignment horizontal="right" vertical="center"/>
    </xf>
    <xf numFmtId="174" fontId="53" fillId="5" borderId="31" xfId="0" applyNumberFormat="1" applyFont="1" applyFill="1" applyBorder="1" applyAlignment="1" applyProtection="1">
      <alignment horizontal="right"/>
    </xf>
    <xf numFmtId="0" fontId="53" fillId="5" borderId="30" xfId="0" applyFont="1" applyFill="1" applyBorder="1" applyAlignment="1" applyProtection="1">
      <alignment horizontal="left" vertical="center" wrapText="1"/>
    </xf>
    <xf numFmtId="0" fontId="53" fillId="5" borderId="21" xfId="0" applyFont="1" applyFill="1" applyBorder="1" applyAlignment="1" applyProtection="1">
      <alignment horizontal="left" vertical="center" wrapText="1"/>
    </xf>
    <xf numFmtId="0" fontId="53" fillId="5" borderId="31" xfId="0" applyFont="1" applyFill="1" applyBorder="1" applyAlignment="1" applyProtection="1">
      <alignment horizontal="left" vertical="center" wrapText="1"/>
    </xf>
    <xf numFmtId="0" fontId="61" fillId="0" borderId="83" xfId="0" applyFont="1" applyFill="1" applyBorder="1" applyAlignment="1" applyProtection="1">
      <alignment horizontal="center" vertical="top" wrapText="1"/>
    </xf>
    <xf numFmtId="0" fontId="61" fillId="0" borderId="88" xfId="0" applyFont="1" applyFill="1" applyBorder="1" applyAlignment="1" applyProtection="1">
      <alignment horizontal="center" vertical="top" wrapText="1"/>
    </xf>
    <xf numFmtId="0" fontId="61" fillId="0" borderId="84" xfId="0" applyFont="1" applyFill="1" applyBorder="1" applyAlignment="1" applyProtection="1">
      <alignment horizontal="center" vertical="top" wrapText="1"/>
    </xf>
    <xf numFmtId="0" fontId="61" fillId="0" borderId="7" xfId="0" applyFont="1" applyFill="1" applyBorder="1" applyAlignment="1" applyProtection="1">
      <alignment horizontal="center" vertical="top" wrapText="1"/>
    </xf>
    <xf numFmtId="0" fontId="61" fillId="0" borderId="0" xfId="0" applyFont="1" applyFill="1" applyBorder="1" applyAlignment="1" applyProtection="1">
      <alignment horizontal="center" vertical="top" wrapText="1"/>
    </xf>
    <xf numFmtId="0" fontId="61" fillId="0" borderId="8" xfId="0" applyFont="1" applyFill="1" applyBorder="1" applyAlignment="1" applyProtection="1">
      <alignment horizontal="center" vertical="top" wrapText="1"/>
    </xf>
    <xf numFmtId="0" fontId="61" fillId="0" borderId="9" xfId="0" applyFont="1" applyFill="1" applyBorder="1" applyAlignment="1" applyProtection="1">
      <alignment horizontal="center" vertical="top" wrapText="1"/>
    </xf>
    <xf numFmtId="0" fontId="61" fillId="0" borderId="13" xfId="0" applyFont="1" applyFill="1" applyBorder="1" applyAlignment="1" applyProtection="1">
      <alignment horizontal="center" vertical="top" wrapText="1"/>
    </xf>
    <xf numFmtId="0" fontId="61" fillId="0" borderId="14" xfId="0" applyFont="1" applyFill="1" applyBorder="1" applyAlignment="1" applyProtection="1">
      <alignment horizontal="center" vertical="top" wrapText="1"/>
    </xf>
    <xf numFmtId="0" fontId="53" fillId="5" borderId="28" xfId="0" applyNumberFormat="1" applyFont="1" applyFill="1" applyBorder="1" applyAlignment="1" applyProtection="1">
      <alignment horizontal="center" vertical="center"/>
    </xf>
    <xf numFmtId="0" fontId="53" fillId="5" borderId="29" xfId="0" applyNumberFormat="1" applyFont="1" applyFill="1" applyBorder="1" applyAlignment="1" applyProtection="1">
      <alignment horizontal="center" vertical="center"/>
    </xf>
    <xf numFmtId="174" fontId="53" fillId="5" borderId="28" xfId="10" applyNumberFormat="1" applyFont="1" applyFill="1" applyBorder="1" applyAlignment="1" applyProtection="1">
      <alignment horizontal="right" vertical="center"/>
    </xf>
    <xf numFmtId="174" fontId="53" fillId="5" borderId="29" xfId="0" applyNumberFormat="1" applyFont="1" applyFill="1" applyBorder="1" applyAlignment="1" applyProtection="1">
      <alignment horizontal="right"/>
    </xf>
    <xf numFmtId="0" fontId="61" fillId="0" borderId="4" xfId="0" applyFont="1" applyFill="1" applyBorder="1" applyAlignment="1" applyProtection="1">
      <alignment horizontal="center" vertical="top" wrapText="1"/>
    </xf>
    <xf numFmtId="0" fontId="53" fillId="0" borderId="6" xfId="0" applyFont="1" applyBorder="1" applyAlignment="1" applyProtection="1">
      <alignment vertical="top"/>
    </xf>
    <xf numFmtId="0" fontId="53" fillId="0" borderId="8" xfId="0" applyFont="1" applyBorder="1" applyAlignment="1" applyProtection="1">
      <alignment vertical="top"/>
    </xf>
    <xf numFmtId="0" fontId="53" fillId="0" borderId="7" xfId="0" applyFont="1" applyBorder="1" applyAlignment="1" applyProtection="1">
      <alignment vertical="top"/>
    </xf>
    <xf numFmtId="0" fontId="53" fillId="0" borderId="9" xfId="0" applyFont="1" applyBorder="1" applyAlignment="1" applyProtection="1">
      <alignment vertical="top"/>
    </xf>
    <xf numFmtId="0" fontId="53" fillId="0" borderId="14" xfId="0" applyFont="1" applyBorder="1" applyAlignment="1" applyProtection="1">
      <alignment vertical="top"/>
    </xf>
    <xf numFmtId="0" fontId="53" fillId="5" borderId="28" xfId="0" applyFont="1" applyFill="1" applyBorder="1" applyAlignment="1" applyProtection="1">
      <alignment horizontal="left" vertical="center" wrapText="1"/>
    </xf>
    <xf numFmtId="0" fontId="53" fillId="5" borderId="58" xfId="0" applyFont="1" applyFill="1" applyBorder="1" applyAlignment="1" applyProtection="1">
      <alignment horizontal="left" vertical="center" wrapText="1"/>
    </xf>
    <xf numFmtId="0" fontId="53" fillId="5" borderId="29" xfId="0" applyFont="1" applyFill="1" applyBorder="1" applyAlignment="1" applyProtection="1">
      <alignment horizontal="left" vertical="center" wrapText="1"/>
    </xf>
    <xf numFmtId="0" fontId="53" fillId="5" borderId="33" xfId="0" applyFont="1" applyFill="1" applyBorder="1" applyAlignment="1" applyProtection="1">
      <alignment horizontal="left" vertical="center" wrapText="1"/>
    </xf>
    <xf numFmtId="0" fontId="53" fillId="5" borderId="59" xfId="0" applyFont="1" applyFill="1" applyBorder="1" applyAlignment="1" applyProtection="1">
      <alignment horizontal="left" vertical="center" wrapText="1"/>
    </xf>
    <xf numFmtId="0" fontId="53" fillId="5" borderId="34" xfId="0" applyFont="1" applyFill="1" applyBorder="1" applyAlignment="1" applyProtection="1">
      <alignment horizontal="left" vertical="center" wrapText="1"/>
    </xf>
    <xf numFmtId="0" fontId="0" fillId="0" borderId="84" xfId="0" applyBorder="1" applyProtection="1"/>
    <xf numFmtId="0" fontId="0" fillId="0" borderId="7" xfId="0" applyBorder="1" applyProtection="1"/>
    <xf numFmtId="0" fontId="0" fillId="0" borderId="8" xfId="0" applyBorder="1" applyProtection="1"/>
    <xf numFmtId="0" fontId="0" fillId="0" borderId="9" xfId="0" applyBorder="1" applyProtection="1"/>
    <xf numFmtId="0" fontId="0" fillId="0" borderId="14" xfId="0" applyBorder="1" applyProtection="1"/>
    <xf numFmtId="0" fontId="53" fillId="5" borderId="16" xfId="0" applyFont="1" applyFill="1" applyBorder="1" applyAlignment="1" applyProtection="1">
      <alignment horizontal="center" vertical="center"/>
    </xf>
    <xf numFmtId="0" fontId="53" fillId="0" borderId="14" xfId="0" applyFont="1" applyBorder="1" applyProtection="1"/>
    <xf numFmtId="0" fontId="53" fillId="5" borderId="81" xfId="0" applyFont="1" applyFill="1" applyBorder="1" applyAlignment="1" applyProtection="1">
      <alignment horizontal="center"/>
    </xf>
    <xf numFmtId="0" fontId="53" fillId="5" borderId="82" xfId="0" applyFont="1" applyFill="1" applyBorder="1" applyAlignment="1" applyProtection="1">
      <alignment horizontal="center"/>
    </xf>
    <xf numFmtId="0" fontId="62" fillId="8" borderId="36" xfId="0" applyFont="1" applyFill="1" applyBorder="1" applyAlignment="1" applyProtection="1">
      <alignment horizontal="center" vertical="center"/>
    </xf>
    <xf numFmtId="0" fontId="62" fillId="8" borderId="2" xfId="0" applyFont="1" applyFill="1" applyBorder="1" applyAlignment="1" applyProtection="1">
      <alignment horizontal="center" vertical="center"/>
    </xf>
    <xf numFmtId="0" fontId="62" fillId="8" borderId="37" xfId="0" applyFont="1" applyFill="1" applyBorder="1" applyAlignment="1" applyProtection="1">
      <alignment horizontal="center" vertical="center"/>
    </xf>
    <xf numFmtId="0" fontId="53" fillId="0" borderId="83" xfId="0" applyFont="1" applyFill="1" applyBorder="1" applyAlignment="1" applyProtection="1">
      <alignment horizontal="left" vertical="center"/>
    </xf>
    <xf numFmtId="0" fontId="53" fillId="0" borderId="88" xfId="0" applyFont="1" applyFill="1" applyBorder="1" applyAlignment="1" applyProtection="1">
      <alignment horizontal="left" vertical="center"/>
    </xf>
    <xf numFmtId="0" fontId="53" fillId="0" borderId="84" xfId="0" applyFont="1" applyFill="1" applyBorder="1" applyAlignment="1" applyProtection="1">
      <alignment horizontal="left" vertical="center"/>
    </xf>
    <xf numFmtId="0" fontId="53" fillId="0" borderId="88" xfId="0" applyFont="1" applyFill="1" applyBorder="1" applyAlignment="1" applyProtection="1">
      <alignment horizontal="center" vertical="center"/>
    </xf>
    <xf numFmtId="0" fontId="53" fillId="0" borderId="0" xfId="0" applyFont="1" applyFill="1" applyBorder="1" applyAlignment="1" applyProtection="1">
      <alignment horizontal="center" vertical="center"/>
    </xf>
    <xf numFmtId="0" fontId="53" fillId="0" borderId="9" xfId="0" applyFont="1" applyFill="1" applyBorder="1" applyAlignment="1" applyProtection="1">
      <alignment horizontal="center" vertical="center"/>
    </xf>
    <xf numFmtId="0" fontId="53" fillId="0" borderId="14" xfId="0" applyFont="1" applyFill="1" applyBorder="1" applyAlignment="1" applyProtection="1">
      <alignment horizontal="center" vertical="center"/>
    </xf>
    <xf numFmtId="0" fontId="53" fillId="0" borderId="83" xfId="0" applyFont="1" applyFill="1" applyBorder="1" applyAlignment="1" applyProtection="1">
      <alignment horizontal="center" vertical="top" wrapText="1"/>
    </xf>
    <xf numFmtId="0" fontId="53" fillId="0" borderId="84" xfId="0" applyFont="1" applyFill="1" applyBorder="1" applyAlignment="1" applyProtection="1">
      <alignment horizontal="center" vertical="top" wrapText="1"/>
    </xf>
    <xf numFmtId="0" fontId="53" fillId="0" borderId="7" xfId="0" applyFont="1" applyFill="1" applyBorder="1" applyAlignment="1" applyProtection="1">
      <alignment horizontal="center" vertical="top" wrapText="1"/>
    </xf>
    <xf numFmtId="0" fontId="53" fillId="0" borderId="8" xfId="0" applyFont="1" applyFill="1" applyBorder="1" applyAlignment="1" applyProtection="1">
      <alignment horizontal="center" vertical="top" wrapText="1"/>
    </xf>
    <xf numFmtId="0" fontId="61" fillId="0" borderId="83" xfId="0" applyFont="1" applyFill="1" applyBorder="1" applyAlignment="1" applyProtection="1">
      <alignment horizontal="left" vertical="top" wrapText="1"/>
    </xf>
    <xf numFmtId="0" fontId="61" fillId="0" borderId="88" xfId="0" applyFont="1" applyFill="1" applyBorder="1" applyAlignment="1" applyProtection="1">
      <alignment horizontal="left" vertical="top" wrapText="1"/>
    </xf>
    <xf numFmtId="0" fontId="61" fillId="0" borderId="7" xfId="0" applyFont="1" applyFill="1" applyBorder="1" applyAlignment="1" applyProtection="1">
      <alignment horizontal="left" vertical="top" wrapText="1"/>
    </xf>
    <xf numFmtId="0" fontId="61" fillId="0" borderId="0" xfId="0" applyFont="1" applyFill="1" applyBorder="1" applyAlignment="1" applyProtection="1">
      <alignment horizontal="left" vertical="top" wrapText="1"/>
    </xf>
    <xf numFmtId="0" fontId="61" fillId="0" borderId="9" xfId="0" applyFont="1" applyFill="1" applyBorder="1" applyAlignment="1" applyProtection="1">
      <alignment horizontal="left" vertical="top" wrapText="1"/>
    </xf>
    <xf numFmtId="0" fontId="61" fillId="0" borderId="13" xfId="0" applyFont="1" applyFill="1" applyBorder="1" applyAlignment="1" applyProtection="1">
      <alignment horizontal="left" vertical="top" wrapText="1"/>
    </xf>
    <xf numFmtId="0" fontId="50" fillId="10" borderId="81" xfId="0" applyFont="1" applyFill="1" applyBorder="1" applyAlignment="1" applyProtection="1">
      <alignment horizontal="center" vertical="center"/>
    </xf>
    <xf numFmtId="0" fontId="50" fillId="10" borderId="82" xfId="0" applyFont="1" applyFill="1" applyBorder="1" applyAlignment="1" applyProtection="1">
      <alignment horizontal="center" vertical="center"/>
    </xf>
    <xf numFmtId="0" fontId="48" fillId="0" borderId="0" xfId="0" applyFont="1" applyFill="1" applyAlignment="1" applyProtection="1">
      <alignment horizontal="left" vertical="center" wrapText="1"/>
    </xf>
    <xf numFmtId="0" fontId="100" fillId="12" borderId="0" xfId="0" applyFont="1" applyFill="1" applyAlignment="1" applyProtection="1">
      <alignment horizontal="center" vertical="center"/>
    </xf>
    <xf numFmtId="0" fontId="7" fillId="0" borderId="0" xfId="0" applyFont="1" applyFill="1" applyAlignment="1" applyProtection="1">
      <alignment horizontal="left"/>
    </xf>
    <xf numFmtId="3" fontId="53" fillId="5" borderId="36" xfId="0" applyNumberFormat="1" applyFont="1" applyFill="1" applyBorder="1" applyAlignment="1" applyProtection="1">
      <alignment horizontal="center" vertical="center"/>
    </xf>
    <xf numFmtId="3" fontId="53" fillId="5" borderId="37" xfId="0" applyNumberFormat="1" applyFont="1" applyFill="1" applyBorder="1" applyAlignment="1" applyProtection="1">
      <alignment horizontal="center" vertical="center"/>
    </xf>
    <xf numFmtId="0" fontId="49" fillId="13" borderId="44" xfId="0" applyFont="1" applyFill="1" applyBorder="1" applyAlignment="1" applyProtection="1">
      <alignment horizontal="left" vertical="top" wrapText="1"/>
    </xf>
    <xf numFmtId="0" fontId="49" fillId="13" borderId="39" xfId="0" applyFont="1" applyFill="1" applyBorder="1" applyAlignment="1" applyProtection="1">
      <alignment horizontal="left" vertical="top" wrapText="1"/>
    </xf>
    <xf numFmtId="0" fontId="49" fillId="13" borderId="40" xfId="0" applyFont="1" applyFill="1" applyBorder="1" applyAlignment="1" applyProtection="1">
      <alignment horizontal="left" vertical="top" wrapText="1"/>
    </xf>
    <xf numFmtId="0" fontId="49" fillId="13" borderId="41" xfId="0" applyFont="1" applyFill="1" applyBorder="1" applyAlignment="1" applyProtection="1">
      <alignment horizontal="left" vertical="top" wrapText="1"/>
    </xf>
    <xf numFmtId="0" fontId="49" fillId="13" borderId="42" xfId="0" applyFont="1" applyFill="1" applyBorder="1" applyAlignment="1" applyProtection="1">
      <alignment horizontal="left" vertical="top" wrapText="1"/>
    </xf>
    <xf numFmtId="0" fontId="49" fillId="13" borderId="60" xfId="0" applyFont="1" applyFill="1" applyBorder="1" applyAlignment="1" applyProtection="1">
      <alignment horizontal="left" vertical="top" wrapText="1"/>
    </xf>
    <xf numFmtId="0" fontId="53" fillId="0" borderId="7" xfId="0" applyFont="1" applyFill="1" applyBorder="1" applyAlignment="1" applyProtection="1">
      <alignment vertical="center"/>
    </xf>
    <xf numFmtId="0" fontId="53" fillId="0" borderId="0" xfId="0" applyFont="1" applyFill="1" applyBorder="1" applyAlignment="1" applyProtection="1">
      <alignment vertical="center"/>
    </xf>
    <xf numFmtId="0" fontId="53" fillId="0" borderId="4" xfId="0" applyFont="1" applyFill="1" applyBorder="1" applyAlignment="1" applyProtection="1">
      <alignment vertical="center"/>
    </xf>
    <xf numFmtId="0" fontId="53" fillId="0" borderId="5" xfId="0" applyFont="1" applyFill="1" applyBorder="1" applyAlignment="1" applyProtection="1">
      <alignment vertical="center"/>
    </xf>
    <xf numFmtId="166" fontId="53" fillId="0" borderId="7" xfId="10" applyNumberFormat="1" applyFont="1" applyFill="1" applyBorder="1" applyAlignment="1" applyProtection="1">
      <alignment vertical="center"/>
    </xf>
    <xf numFmtId="166" fontId="53" fillId="0" borderId="0" xfId="10" applyNumberFormat="1" applyFont="1" applyFill="1" applyBorder="1" applyAlignment="1" applyProtection="1">
      <alignment vertical="center"/>
    </xf>
    <xf numFmtId="37" fontId="53" fillId="5" borderId="81" xfId="0" applyNumberFormat="1" applyFont="1" applyFill="1" applyBorder="1" applyAlignment="1" applyProtection="1">
      <alignment horizontal="center" vertical="center"/>
    </xf>
    <xf numFmtId="0" fontId="0" fillId="0" borderId="82" xfId="0" applyBorder="1" applyProtection="1"/>
    <xf numFmtId="0" fontId="53" fillId="0" borderId="9" xfId="0" applyFont="1" applyFill="1" applyBorder="1" applyAlignment="1" applyProtection="1">
      <alignment vertical="center"/>
    </xf>
    <xf numFmtId="0" fontId="53" fillId="0" borderId="13" xfId="0" applyFont="1" applyFill="1" applyBorder="1" applyAlignment="1" applyProtection="1">
      <alignment vertical="center"/>
    </xf>
    <xf numFmtId="0" fontId="53" fillId="5" borderId="3" xfId="0" applyFont="1" applyFill="1" applyBorder="1" applyAlignment="1" applyProtection="1">
      <alignment horizontal="left" vertical="center"/>
    </xf>
    <xf numFmtId="0" fontId="53" fillId="5" borderId="13" xfId="0" applyFont="1" applyFill="1" applyBorder="1" applyAlignment="1" applyProtection="1">
      <alignment vertical="center"/>
    </xf>
    <xf numFmtId="0" fontId="53" fillId="5" borderId="14" xfId="0" applyFont="1" applyFill="1" applyBorder="1" applyAlignment="1" applyProtection="1">
      <alignment vertical="center"/>
    </xf>
    <xf numFmtId="0" fontId="53" fillId="0" borderId="8" xfId="0" applyFont="1" applyFill="1" applyBorder="1" applyAlignment="1" applyProtection="1">
      <alignment vertical="center"/>
    </xf>
    <xf numFmtId="38" fontId="53" fillId="6" borderId="81" xfId="2" applyNumberFormat="1" applyFont="1" applyFill="1" applyBorder="1" applyAlignment="1" applyProtection="1">
      <alignment horizontal="center" vertical="center"/>
    </xf>
    <xf numFmtId="38" fontId="53" fillId="6" borderId="82" xfId="2" applyNumberFormat="1" applyFont="1" applyFill="1" applyBorder="1" applyAlignment="1" applyProtection="1">
      <alignment horizontal="center" vertical="center"/>
    </xf>
    <xf numFmtId="4" fontId="49" fillId="0" borderId="0" xfId="0" applyNumberFormat="1" applyFont="1" applyFill="1" applyBorder="1" applyAlignment="1" applyProtection="1">
      <alignment horizontal="center" vertical="center"/>
    </xf>
    <xf numFmtId="38" fontId="53" fillId="5" borderId="3" xfId="0" applyNumberFormat="1" applyFont="1" applyFill="1" applyBorder="1" applyAlignment="1" applyProtection="1">
      <alignment horizontal="right" vertical="center"/>
    </xf>
    <xf numFmtId="0" fontId="53" fillId="5" borderId="3" xfId="0" applyFont="1" applyFill="1" applyBorder="1" applyAlignment="1" applyProtection="1">
      <alignment vertical="center"/>
    </xf>
    <xf numFmtId="0" fontId="72" fillId="0" borderId="0" xfId="0" quotePrefix="1" applyFont="1" applyFill="1" applyBorder="1" applyAlignment="1" applyProtection="1">
      <alignment horizontal="center" vertical="center"/>
    </xf>
    <xf numFmtId="0" fontId="83" fillId="0" borderId="7" xfId="0" applyFont="1" applyFill="1" applyBorder="1" applyAlignment="1" applyProtection="1">
      <alignment horizontal="center" vertical="center"/>
    </xf>
    <xf numFmtId="0" fontId="83" fillId="0" borderId="0" xfId="0" applyFont="1" applyFill="1" applyBorder="1" applyAlignment="1" applyProtection="1">
      <alignment horizontal="center" vertical="center"/>
    </xf>
    <xf numFmtId="3" fontId="49" fillId="0" borderId="7" xfId="0" applyNumberFormat="1" applyFont="1" applyFill="1" applyBorder="1" applyAlignment="1" applyProtection="1">
      <alignment horizontal="center" vertical="center"/>
    </xf>
    <xf numFmtId="3" fontId="49" fillId="0" borderId="0" xfId="0" applyNumberFormat="1" applyFont="1" applyFill="1" applyBorder="1" applyAlignment="1" applyProtection="1">
      <alignment horizontal="center" vertical="center"/>
    </xf>
    <xf numFmtId="0" fontId="53" fillId="5" borderId="2" xfId="0" applyFont="1" applyFill="1" applyBorder="1" applyAlignment="1" applyProtection="1">
      <alignment vertical="center"/>
    </xf>
    <xf numFmtId="0" fontId="53" fillId="5" borderId="37" xfId="0" applyFont="1" applyFill="1" applyBorder="1" applyAlignment="1" applyProtection="1">
      <alignment vertical="center"/>
    </xf>
    <xf numFmtId="38" fontId="53" fillId="5" borderId="36" xfId="0" applyNumberFormat="1" applyFont="1" applyFill="1" applyBorder="1" applyAlignment="1" applyProtection="1">
      <alignment horizontal="right" vertical="center"/>
    </xf>
    <xf numFmtId="38" fontId="53" fillId="5" borderId="85" xfId="0" applyNumberFormat="1" applyFont="1" applyFill="1" applyBorder="1" applyAlignment="1" applyProtection="1">
      <alignment horizontal="right" vertical="center"/>
    </xf>
    <xf numFmtId="166" fontId="53" fillId="5" borderId="36" xfId="10" applyNumberFormat="1" applyFont="1" applyFill="1" applyBorder="1" applyAlignment="1" applyProtection="1">
      <alignment horizontal="center" vertical="center"/>
    </xf>
    <xf numFmtId="166" fontId="53" fillId="5" borderId="37" xfId="10" applyNumberFormat="1" applyFont="1" applyFill="1" applyBorder="1" applyAlignment="1" applyProtection="1">
      <alignment horizontal="center" vertical="center"/>
    </xf>
    <xf numFmtId="164" fontId="53" fillId="5" borderId="36" xfId="1" applyNumberFormat="1" applyFont="1" applyFill="1" applyBorder="1" applyAlignment="1" applyProtection="1">
      <alignment horizontal="right" vertical="center"/>
    </xf>
    <xf numFmtId="164" fontId="53" fillId="5" borderId="37" xfId="1" applyNumberFormat="1" applyFont="1" applyFill="1" applyBorder="1" applyAlignment="1" applyProtection="1">
      <alignment horizontal="right" vertical="center"/>
    </xf>
    <xf numFmtId="3" fontId="53" fillId="5" borderId="36" xfId="1" applyNumberFormat="1" applyFont="1" applyFill="1" applyBorder="1" applyAlignment="1" applyProtection="1">
      <alignment horizontal="center" vertical="center"/>
    </xf>
    <xf numFmtId="3" fontId="53" fillId="5" borderId="37" xfId="1" applyNumberFormat="1" applyFont="1" applyFill="1" applyBorder="1" applyAlignment="1" applyProtection="1">
      <alignment horizontal="center" vertical="center"/>
    </xf>
    <xf numFmtId="0" fontId="53" fillId="0" borderId="0" xfId="0" applyFont="1" applyFill="1" applyAlignment="1" applyProtection="1">
      <alignment horizontal="center" vertical="center" wrapText="1"/>
    </xf>
    <xf numFmtId="0" fontId="53" fillId="0" borderId="13" xfId="0" applyFont="1" applyFill="1" applyBorder="1" applyAlignment="1" applyProtection="1">
      <alignment horizontal="center" vertical="center" wrapText="1"/>
    </xf>
    <xf numFmtId="38" fontId="53" fillId="5" borderId="37" xfId="0" applyNumberFormat="1" applyFont="1" applyFill="1" applyBorder="1" applyAlignment="1" applyProtection="1">
      <alignment horizontal="right" vertical="center"/>
    </xf>
    <xf numFmtId="38" fontId="61" fillId="0" borderId="57" xfId="0" applyNumberFormat="1" applyFont="1" applyFill="1" applyBorder="1" applyAlignment="1" applyProtection="1">
      <alignment horizontal="center" vertical="center"/>
    </xf>
    <xf numFmtId="38" fontId="61" fillId="0" borderId="35" xfId="0" applyNumberFormat="1" applyFont="1" applyFill="1" applyBorder="1" applyAlignment="1" applyProtection="1">
      <alignment horizontal="center" vertical="center"/>
    </xf>
    <xf numFmtId="0" fontId="53" fillId="0" borderId="7" xfId="0" applyFont="1" applyFill="1" applyBorder="1" applyAlignment="1" applyProtection="1">
      <alignment horizontal="left" wrapText="1"/>
    </xf>
    <xf numFmtId="0" fontId="53" fillId="0" borderId="0" xfId="0" applyFont="1" applyFill="1" applyAlignment="1" applyProtection="1">
      <alignment horizontal="left" wrapText="1"/>
    </xf>
    <xf numFmtId="38" fontId="61" fillId="11" borderId="36" xfId="2" applyNumberFormat="1" applyFont="1" applyFill="1" applyBorder="1" applyAlignment="1" applyProtection="1">
      <alignment horizontal="right" vertical="center"/>
    </xf>
    <xf numFmtId="38" fontId="61" fillId="11" borderId="37" xfId="2" applyNumberFormat="1" applyFont="1" applyFill="1" applyBorder="1" applyAlignment="1" applyProtection="1">
      <alignment horizontal="right" vertical="center"/>
    </xf>
    <xf numFmtId="38" fontId="61" fillId="0" borderId="36" xfId="2" applyNumberFormat="1" applyFont="1" applyFill="1" applyBorder="1" applyAlignment="1" applyProtection="1">
      <alignment horizontal="right" vertical="center"/>
    </xf>
    <xf numFmtId="38" fontId="61" fillId="0" borderId="37" xfId="2" applyNumberFormat="1" applyFont="1" applyFill="1" applyBorder="1" applyAlignment="1" applyProtection="1">
      <alignment horizontal="right" vertical="center"/>
    </xf>
    <xf numFmtId="38" fontId="61" fillId="0" borderId="36" xfId="0" applyNumberFormat="1" applyFont="1" applyFill="1" applyBorder="1" applyAlignment="1" applyProtection="1">
      <alignment horizontal="right" vertical="center"/>
    </xf>
    <xf numFmtId="38" fontId="61" fillId="0" borderId="37" xfId="0" applyNumberFormat="1" applyFont="1" applyFill="1" applyBorder="1" applyAlignment="1" applyProtection="1">
      <alignment horizontal="right" vertical="center"/>
    </xf>
    <xf numFmtId="0" fontId="53" fillId="0" borderId="6" xfId="0" applyFont="1" applyFill="1" applyBorder="1" applyAlignment="1" applyProtection="1">
      <alignment vertical="center"/>
    </xf>
    <xf numFmtId="0" fontId="0" fillId="0" borderId="2" xfId="0" applyBorder="1" applyAlignment="1" applyProtection="1">
      <alignment horizontal="left" vertical="top" wrapText="1"/>
    </xf>
    <xf numFmtId="0" fontId="0" fillId="0" borderId="37" xfId="0" applyBorder="1" applyAlignment="1" applyProtection="1">
      <alignment horizontal="left" vertical="top" wrapText="1"/>
    </xf>
    <xf numFmtId="0" fontId="53" fillId="0" borderId="13" xfId="0" applyFont="1" applyBorder="1" applyAlignment="1" applyProtection="1">
      <alignment horizontal="center" wrapText="1"/>
    </xf>
    <xf numFmtId="38" fontId="61" fillId="0" borderId="36" xfId="2" applyNumberFormat="1" applyFont="1" applyFill="1" applyBorder="1" applyAlignment="1" applyProtection="1">
      <alignment horizontal="center" vertical="center"/>
    </xf>
    <xf numFmtId="38" fontId="61" fillId="0" borderId="37" xfId="2" applyNumberFormat="1" applyFont="1" applyFill="1" applyBorder="1" applyAlignment="1" applyProtection="1">
      <alignment horizontal="center" vertical="center"/>
    </xf>
    <xf numFmtId="38" fontId="61" fillId="0" borderId="9" xfId="2" applyNumberFormat="1" applyFont="1" applyFill="1" applyBorder="1" applyAlignment="1" applyProtection="1">
      <alignment horizontal="center" vertical="center"/>
    </xf>
    <xf numFmtId="38" fontId="61" fillId="0" borderId="14" xfId="2" applyNumberFormat="1" applyFont="1" applyFill="1" applyBorder="1" applyAlignment="1" applyProtection="1">
      <alignment horizontal="center" vertical="center"/>
    </xf>
    <xf numFmtId="0" fontId="53" fillId="0" borderId="85" xfId="0" applyFont="1" applyFill="1" applyBorder="1" applyAlignment="1" applyProtection="1">
      <alignment horizontal="center" vertical="center"/>
    </xf>
    <xf numFmtId="0" fontId="53" fillId="5" borderId="85" xfId="0" applyFont="1" applyFill="1" applyBorder="1" applyAlignment="1" applyProtection="1">
      <alignment vertical="center"/>
    </xf>
    <xf numFmtId="0" fontId="53" fillId="5" borderId="82" xfId="0" applyFont="1" applyFill="1" applyBorder="1" applyAlignment="1" applyProtection="1">
      <alignment vertical="center"/>
    </xf>
    <xf numFmtId="38" fontId="53" fillId="0" borderId="85" xfId="2" applyNumberFormat="1" applyFont="1" applyFill="1" applyBorder="1" applyAlignment="1" applyProtection="1">
      <alignment horizontal="center" vertical="center"/>
    </xf>
    <xf numFmtId="0" fontId="25" fillId="0" borderId="0" xfId="0" applyFont="1" applyAlignment="1" applyProtection="1">
      <alignment horizontal="center"/>
    </xf>
    <xf numFmtId="0" fontId="25" fillId="0" borderId="0" xfId="0" applyFont="1" applyFill="1" applyAlignment="1" applyProtection="1">
      <alignment horizontal="center"/>
    </xf>
    <xf numFmtId="0" fontId="25" fillId="0" borderId="0" xfId="0" applyFont="1" applyFill="1" applyAlignment="1" applyProtection="1">
      <alignment horizontal="center" vertical="top" wrapText="1"/>
    </xf>
    <xf numFmtId="0" fontId="18" fillId="0" borderId="0" xfId="0" applyFont="1" applyAlignment="1" applyProtection="1">
      <alignment horizontal="center" vertical="center"/>
    </xf>
    <xf numFmtId="8" fontId="11" fillId="0" borderId="0" xfId="0" applyNumberFormat="1" applyFont="1" applyBorder="1" applyAlignment="1" applyProtection="1">
      <alignment horizontal="center"/>
    </xf>
    <xf numFmtId="8" fontId="11" fillId="0" borderId="20" xfId="0" applyNumberFormat="1" applyFont="1" applyBorder="1" applyAlignment="1" applyProtection="1">
      <alignment horizontal="center"/>
    </xf>
    <xf numFmtId="8" fontId="11" fillId="0" borderId="5" xfId="0" applyNumberFormat="1" applyFont="1" applyBorder="1" applyAlignment="1" applyProtection="1">
      <alignment horizontal="center"/>
    </xf>
    <xf numFmtId="8" fontId="11" fillId="0" borderId="19" xfId="0" applyNumberFormat="1" applyFont="1" applyBorder="1" applyAlignment="1" applyProtection="1">
      <alignment horizontal="center"/>
    </xf>
    <xf numFmtId="0" fontId="29" fillId="8" borderId="36" xfId="0" applyFont="1" applyFill="1" applyBorder="1" applyAlignment="1" applyProtection="1">
      <alignment horizontal="center" vertical="center"/>
    </xf>
    <xf numFmtId="0" fontId="29" fillId="8" borderId="2" xfId="0" applyFont="1" applyFill="1" applyBorder="1" applyAlignment="1" applyProtection="1">
      <alignment horizontal="center" vertical="center"/>
    </xf>
    <xf numFmtId="0" fontId="29" fillId="8" borderId="37" xfId="0" applyFont="1" applyFill="1" applyBorder="1" applyAlignment="1" applyProtection="1">
      <alignment horizontal="center" vertical="center"/>
    </xf>
    <xf numFmtId="0" fontId="7" fillId="0" borderId="13" xfId="0" applyFont="1" applyBorder="1" applyAlignment="1" applyProtection="1">
      <alignment horizontal="center" vertical="center" wrapText="1"/>
    </xf>
    <xf numFmtId="0" fontId="26" fillId="0" borderId="0" xfId="0" applyFont="1" applyAlignment="1" applyProtection="1">
      <alignment horizontal="justify" vertical="top" wrapText="1"/>
    </xf>
    <xf numFmtId="0" fontId="0" fillId="0" borderId="0" xfId="0" applyAlignment="1" applyProtection="1">
      <alignment horizontal="justify" vertical="top" wrapText="1"/>
    </xf>
    <xf numFmtId="0" fontId="7" fillId="0" borderId="0" xfId="0" applyFont="1" applyAlignment="1" applyProtection="1">
      <alignment horizontal="center" wrapText="1"/>
    </xf>
    <xf numFmtId="0" fontId="0" fillId="0" borderId="0" xfId="0" applyAlignment="1" applyProtection="1">
      <alignment horizontal="center" wrapText="1"/>
    </xf>
    <xf numFmtId="164" fontId="53" fillId="0" borderId="0" xfId="1" applyNumberFormat="1" applyFont="1" applyFill="1" applyBorder="1" applyAlignment="1" applyProtection="1">
      <alignment horizontal="center" vertical="center"/>
    </xf>
    <xf numFmtId="164" fontId="61" fillId="0" borderId="63" xfId="1" applyNumberFormat="1" applyFont="1" applyFill="1" applyBorder="1" applyAlignment="1" applyProtection="1">
      <alignment horizontal="center" vertical="center" wrapText="1"/>
    </xf>
    <xf numFmtId="164" fontId="61" fillId="0" borderId="64" xfId="1" applyNumberFormat="1" applyFont="1" applyFill="1" applyBorder="1" applyAlignment="1" applyProtection="1">
      <alignment horizontal="center" vertical="center" wrapText="1"/>
    </xf>
    <xf numFmtId="164" fontId="61" fillId="0" borderId="46" xfId="1" applyNumberFormat="1" applyFont="1" applyFill="1" applyBorder="1" applyAlignment="1" applyProtection="1">
      <alignment horizontal="center" vertical="center" wrapText="1"/>
    </xf>
    <xf numFmtId="164" fontId="61" fillId="0" borderId="65" xfId="1" applyNumberFormat="1" applyFont="1" applyFill="1" applyBorder="1" applyAlignment="1" applyProtection="1">
      <alignment horizontal="center" vertical="center" wrapText="1"/>
    </xf>
    <xf numFmtId="164" fontId="53" fillId="0" borderId="61" xfId="1" applyNumberFormat="1" applyFont="1" applyFill="1" applyBorder="1" applyAlignment="1" applyProtection="1">
      <alignment horizontal="right" vertical="center"/>
    </xf>
    <xf numFmtId="164" fontId="53" fillId="0" borderId="62" xfId="1" applyNumberFormat="1" applyFont="1" applyFill="1" applyBorder="1" applyAlignment="1" applyProtection="1">
      <alignment horizontal="right" vertical="center"/>
    </xf>
    <xf numFmtId="0" fontId="61" fillId="0" borderId="63" xfId="0" applyFont="1" applyFill="1" applyBorder="1" applyAlignment="1" applyProtection="1">
      <alignment horizontal="center" vertical="center" wrapText="1"/>
    </xf>
    <xf numFmtId="0" fontId="61" fillId="0" borderId="64" xfId="0" applyFont="1" applyFill="1" applyBorder="1" applyAlignment="1" applyProtection="1">
      <alignment horizontal="center" vertical="center" wrapText="1"/>
    </xf>
    <xf numFmtId="0" fontId="61" fillId="0" borderId="46" xfId="0" applyFont="1" applyFill="1" applyBorder="1" applyAlignment="1" applyProtection="1">
      <alignment horizontal="center" vertical="center" wrapText="1"/>
    </xf>
    <xf numFmtId="0" fontId="61" fillId="0" borderId="65" xfId="0" applyFont="1" applyFill="1" applyBorder="1" applyAlignment="1" applyProtection="1">
      <alignment horizontal="center" vertical="center" wrapText="1"/>
    </xf>
    <xf numFmtId="0" fontId="2" fillId="13" borderId="44" xfId="0" applyFont="1" applyFill="1" applyBorder="1" applyAlignment="1" applyProtection="1">
      <alignment horizontal="left" vertical="top" wrapText="1"/>
    </xf>
    <xf numFmtId="0" fontId="2" fillId="13" borderId="39" xfId="0" applyFont="1" applyFill="1" applyBorder="1" applyAlignment="1" applyProtection="1">
      <alignment horizontal="left" vertical="top" wrapText="1"/>
    </xf>
    <xf numFmtId="0" fontId="2" fillId="13" borderId="40" xfId="0" applyFont="1" applyFill="1" applyBorder="1" applyAlignment="1" applyProtection="1">
      <alignment horizontal="left" vertical="top" wrapText="1"/>
    </xf>
    <xf numFmtId="0" fontId="2" fillId="13" borderId="41" xfId="0" applyFont="1" applyFill="1" applyBorder="1" applyAlignment="1" applyProtection="1">
      <alignment horizontal="left" vertical="top" wrapText="1"/>
    </xf>
    <xf numFmtId="0" fontId="2" fillId="13" borderId="42" xfId="0" applyFont="1" applyFill="1" applyBorder="1" applyAlignment="1" applyProtection="1">
      <alignment horizontal="left" vertical="top" wrapText="1"/>
    </xf>
    <xf numFmtId="0" fontId="2" fillId="13" borderId="60" xfId="0" applyFont="1" applyFill="1" applyBorder="1" applyAlignment="1" applyProtection="1">
      <alignment horizontal="left" vertical="top" wrapText="1"/>
    </xf>
    <xf numFmtId="38" fontId="61" fillId="10" borderId="36" xfId="0" applyNumberFormat="1" applyFont="1" applyFill="1" applyBorder="1" applyAlignment="1" applyProtection="1">
      <alignment horizontal="center" vertical="center"/>
    </xf>
    <xf numFmtId="38" fontId="61" fillId="10" borderId="2" xfId="0" applyNumberFormat="1" applyFont="1" applyFill="1" applyBorder="1" applyAlignment="1" applyProtection="1">
      <alignment horizontal="center" vertical="center"/>
    </xf>
    <xf numFmtId="38" fontId="61" fillId="10" borderId="37" xfId="0" applyNumberFormat="1" applyFont="1" applyFill="1" applyBorder="1" applyAlignment="1" applyProtection="1">
      <alignment horizontal="center" vertical="center"/>
    </xf>
    <xf numFmtId="38" fontId="53" fillId="0" borderId="36" xfId="0" applyNumberFormat="1" applyFont="1" applyFill="1" applyBorder="1" applyAlignment="1" applyProtection="1">
      <alignment horizontal="center" vertical="center"/>
    </xf>
    <xf numFmtId="38" fontId="53" fillId="0" borderId="2" xfId="0" applyNumberFormat="1" applyFont="1" applyFill="1" applyBorder="1" applyAlignment="1" applyProtection="1">
      <alignment horizontal="center" vertical="center"/>
    </xf>
    <xf numFmtId="38" fontId="53" fillId="0" borderId="85" xfId="0" applyNumberFormat="1" applyFont="1" applyFill="1" applyBorder="1" applyAlignment="1" applyProtection="1">
      <alignment horizontal="center" vertical="center"/>
    </xf>
    <xf numFmtId="0" fontId="53" fillId="0" borderId="2" xfId="0" applyFont="1" applyFill="1" applyBorder="1" applyAlignment="1" applyProtection="1">
      <alignment horizontal="center" vertical="center"/>
    </xf>
    <xf numFmtId="38" fontId="61" fillId="5" borderId="36" xfId="0" applyNumberFormat="1" applyFont="1" applyFill="1" applyBorder="1" applyAlignment="1" applyProtection="1">
      <alignment horizontal="center" vertical="center"/>
    </xf>
    <xf numFmtId="38" fontId="61" fillId="5" borderId="37" xfId="0" applyNumberFormat="1" applyFont="1" applyFill="1" applyBorder="1" applyAlignment="1" applyProtection="1">
      <alignment horizontal="center" vertical="center"/>
    </xf>
    <xf numFmtId="38" fontId="61" fillId="0" borderId="36" xfId="0" applyNumberFormat="1" applyFont="1" applyFill="1" applyBorder="1" applyAlignment="1" applyProtection="1">
      <alignment horizontal="center" vertical="center"/>
    </xf>
    <xf numFmtId="38" fontId="61" fillId="0" borderId="2" xfId="0" applyNumberFormat="1" applyFont="1" applyFill="1" applyBorder="1" applyAlignment="1" applyProtection="1">
      <alignment horizontal="center" vertical="center"/>
    </xf>
    <xf numFmtId="38" fontId="61" fillId="0" borderId="37" xfId="0" applyNumberFormat="1" applyFont="1" applyFill="1" applyBorder="1" applyAlignment="1" applyProtection="1">
      <alignment horizontal="center" vertical="center"/>
    </xf>
    <xf numFmtId="38" fontId="53" fillId="0" borderId="37" xfId="0" applyNumberFormat="1" applyFont="1" applyFill="1" applyBorder="1" applyAlignment="1" applyProtection="1">
      <alignment horizontal="center" vertical="center"/>
    </xf>
    <xf numFmtId="0" fontId="49" fillId="0" borderId="91" xfId="0" applyFont="1" applyFill="1" applyBorder="1" applyAlignment="1" applyProtection="1">
      <alignment horizontal="center" vertical="center"/>
    </xf>
    <xf numFmtId="0" fontId="49" fillId="0" borderId="92" xfId="0" applyFont="1" applyFill="1" applyBorder="1" applyAlignment="1" applyProtection="1">
      <alignment horizontal="center" vertical="center"/>
    </xf>
    <xf numFmtId="0" fontId="49" fillId="5" borderId="36" xfId="0" applyFont="1" applyFill="1" applyBorder="1" applyAlignment="1" applyProtection="1">
      <alignment vertical="top" wrapText="1"/>
    </xf>
    <xf numFmtId="0" fontId="49" fillId="0" borderId="2" xfId="0" applyFont="1" applyBorder="1" applyAlignment="1" applyProtection="1">
      <alignment vertical="top" wrapText="1"/>
    </xf>
    <xf numFmtId="0" fontId="49" fillId="0" borderId="37" xfId="0" applyFont="1" applyBorder="1" applyAlignment="1" applyProtection="1">
      <alignment vertical="top" wrapText="1"/>
    </xf>
    <xf numFmtId="0" fontId="49" fillId="13" borderId="36" xfId="0" applyFont="1" applyFill="1" applyBorder="1" applyAlignment="1" applyProtection="1">
      <alignment vertical="top" wrapText="1"/>
    </xf>
    <xf numFmtId="0" fontId="49" fillId="13" borderId="2" xfId="0" applyFont="1" applyFill="1" applyBorder="1" applyAlignment="1" applyProtection="1">
      <alignment vertical="top" wrapText="1"/>
    </xf>
    <xf numFmtId="0" fontId="49" fillId="13" borderId="37" xfId="0" applyFont="1" applyFill="1" applyBorder="1" applyAlignment="1" applyProtection="1">
      <alignment vertical="top" wrapText="1"/>
    </xf>
    <xf numFmtId="10" fontId="53" fillId="5" borderId="36" xfId="0" applyNumberFormat="1" applyFont="1" applyFill="1" applyBorder="1" applyAlignment="1" applyProtection="1">
      <alignment horizontal="center" vertical="center"/>
    </xf>
    <xf numFmtId="10" fontId="53" fillId="5" borderId="37" xfId="0" applyNumberFormat="1" applyFont="1" applyFill="1" applyBorder="1" applyAlignment="1" applyProtection="1">
      <alignment horizontal="center" vertical="center"/>
    </xf>
    <xf numFmtId="38" fontId="53" fillId="0" borderId="4" xfId="0" applyNumberFormat="1" applyFont="1" applyFill="1" applyBorder="1" applyAlignment="1" applyProtection="1">
      <alignment horizontal="center" vertical="center"/>
    </xf>
    <xf numFmtId="38" fontId="53" fillId="0" borderId="6" xfId="0" applyNumberFormat="1" applyFont="1" applyFill="1" applyBorder="1" applyAlignment="1" applyProtection="1">
      <alignment horizontal="center" vertical="center"/>
    </xf>
    <xf numFmtId="171" fontId="61" fillId="0" borderId="0" xfId="0" applyNumberFormat="1" applyFont="1" applyFill="1" applyBorder="1" applyAlignment="1" applyProtection="1">
      <alignment horizontal="center" vertical="center"/>
    </xf>
    <xf numFmtId="10" fontId="61" fillId="0" borderId="36" xfId="0" applyNumberFormat="1" applyFont="1" applyFill="1" applyBorder="1" applyAlignment="1" applyProtection="1">
      <alignment horizontal="center" vertical="center"/>
    </xf>
    <xf numFmtId="10" fontId="61" fillId="0" borderId="37" xfId="0" applyNumberFormat="1" applyFont="1" applyFill="1" applyBorder="1" applyAlignment="1" applyProtection="1">
      <alignment horizontal="center" vertical="center"/>
    </xf>
    <xf numFmtId="10" fontId="53" fillId="0" borderId="2" xfId="0" applyNumberFormat="1" applyFont="1" applyFill="1" applyBorder="1" applyAlignment="1" applyProtection="1">
      <alignment horizontal="center" vertical="center"/>
    </xf>
    <xf numFmtId="38" fontId="53" fillId="0" borderId="71" xfId="0" applyNumberFormat="1" applyFont="1" applyFill="1" applyBorder="1" applyAlignment="1" applyProtection="1">
      <alignment horizontal="center" vertical="center"/>
    </xf>
    <xf numFmtId="38" fontId="53" fillId="0" borderId="72" xfId="0" applyNumberFormat="1" applyFont="1" applyFill="1" applyBorder="1" applyAlignment="1" applyProtection="1">
      <alignment horizontal="center" vertical="center"/>
    </xf>
    <xf numFmtId="38" fontId="53" fillId="0" borderId="69" xfId="0" applyNumberFormat="1" applyFont="1" applyFill="1" applyBorder="1" applyAlignment="1" applyProtection="1">
      <alignment horizontal="center" vertical="center"/>
    </xf>
    <xf numFmtId="38" fontId="53" fillId="0" borderId="70" xfId="0" applyNumberFormat="1" applyFont="1" applyFill="1" applyBorder="1" applyAlignment="1" applyProtection="1">
      <alignment horizontal="center" vertical="center"/>
    </xf>
    <xf numFmtId="38" fontId="53" fillId="11" borderId="36" xfId="0" applyNumberFormat="1" applyFont="1" applyFill="1" applyBorder="1" applyAlignment="1" applyProtection="1">
      <alignment horizontal="center" vertical="center"/>
    </xf>
    <xf numFmtId="38" fontId="53" fillId="11" borderId="2" xfId="0" applyNumberFormat="1" applyFont="1" applyFill="1" applyBorder="1" applyAlignment="1" applyProtection="1">
      <alignment horizontal="center" vertical="center"/>
    </xf>
    <xf numFmtId="38" fontId="53" fillId="11" borderId="85" xfId="0" applyNumberFormat="1" applyFont="1" applyFill="1" applyBorder="1" applyAlignment="1" applyProtection="1">
      <alignment horizontal="center" vertical="center"/>
    </xf>
    <xf numFmtId="0" fontId="73" fillId="0" borderId="63" xfId="0" applyFont="1" applyFill="1" applyBorder="1" applyAlignment="1" applyProtection="1">
      <alignment horizontal="justify" vertical="top" wrapText="1"/>
    </xf>
    <xf numFmtId="0" fontId="73" fillId="0" borderId="73" xfId="0" applyFont="1" applyFill="1" applyBorder="1" applyAlignment="1" applyProtection="1">
      <alignment horizontal="justify" vertical="top" wrapText="1"/>
    </xf>
    <xf numFmtId="0" fontId="73" fillId="0" borderId="64" xfId="0" applyFont="1" applyFill="1" applyBorder="1" applyAlignment="1" applyProtection="1">
      <alignment horizontal="justify" vertical="top" wrapText="1"/>
    </xf>
    <xf numFmtId="0" fontId="73" fillId="0" borderId="45" xfId="0" applyFont="1" applyFill="1" applyBorder="1" applyAlignment="1" applyProtection="1">
      <alignment horizontal="justify" vertical="top" wrapText="1"/>
    </xf>
    <xf numFmtId="0" fontId="73" fillId="0" borderId="0" xfId="0" applyFont="1" applyFill="1" applyBorder="1" applyAlignment="1" applyProtection="1">
      <alignment horizontal="justify" vertical="top" wrapText="1"/>
    </xf>
    <xf numFmtId="0" fontId="73" fillId="0" borderId="48" xfId="0" applyFont="1" applyFill="1" applyBorder="1" applyAlignment="1" applyProtection="1">
      <alignment horizontal="justify" vertical="top" wrapText="1"/>
    </xf>
    <xf numFmtId="0" fontId="73" fillId="0" borderId="63" xfId="0" applyFont="1" applyFill="1" applyBorder="1" applyAlignment="1" applyProtection="1">
      <alignment horizontal="center" vertical="center" wrapText="1"/>
    </xf>
    <xf numFmtId="0" fontId="73" fillId="0" borderId="64" xfId="0" applyFont="1" applyFill="1" applyBorder="1" applyAlignment="1" applyProtection="1">
      <alignment horizontal="center" vertical="center" wrapText="1"/>
    </xf>
    <xf numFmtId="0" fontId="73" fillId="0" borderId="45" xfId="0" applyFont="1" applyFill="1" applyBorder="1" applyAlignment="1" applyProtection="1">
      <alignment horizontal="center" vertical="center" wrapText="1"/>
    </xf>
    <xf numFmtId="0" fontId="73" fillId="0" borderId="48" xfId="0" applyFont="1" applyFill="1" applyBorder="1" applyAlignment="1" applyProtection="1">
      <alignment horizontal="center" vertical="center" wrapText="1"/>
    </xf>
    <xf numFmtId="0" fontId="89" fillId="0" borderId="0" xfId="0" applyFont="1" applyFill="1" applyBorder="1" applyAlignment="1" applyProtection="1">
      <alignment horizontal="center" vertical="center"/>
    </xf>
    <xf numFmtId="0" fontId="89" fillId="0" borderId="8" xfId="0" applyFont="1" applyFill="1" applyBorder="1" applyAlignment="1" applyProtection="1">
      <alignment horizontal="center" vertical="center"/>
    </xf>
    <xf numFmtId="3" fontId="53" fillId="0" borderId="81" xfId="1" applyNumberFormat="1" applyFont="1" applyFill="1" applyBorder="1" applyAlignment="1" applyProtection="1">
      <alignment horizontal="center" vertical="center"/>
    </xf>
    <xf numFmtId="3" fontId="53" fillId="0" borderId="85" xfId="1" applyNumberFormat="1" applyFont="1" applyFill="1" applyBorder="1" applyAlignment="1" applyProtection="1">
      <alignment horizontal="center" vertical="center"/>
    </xf>
    <xf numFmtId="3" fontId="53" fillId="0" borderId="82" xfId="1" applyNumberFormat="1" applyFont="1" applyFill="1" applyBorder="1" applyAlignment="1" applyProtection="1">
      <alignment horizontal="center" vertical="center"/>
    </xf>
    <xf numFmtId="38" fontId="61" fillId="0" borderId="1" xfId="0" applyNumberFormat="1" applyFont="1" applyFill="1" applyBorder="1" applyAlignment="1" applyProtection="1">
      <alignment horizontal="center" vertical="center"/>
    </xf>
    <xf numFmtId="170" fontId="53" fillId="5" borderId="36" xfId="0" applyNumberFormat="1" applyFont="1" applyFill="1" applyBorder="1" applyAlignment="1" applyProtection="1">
      <alignment horizontal="center" vertical="center"/>
    </xf>
    <xf numFmtId="170" fontId="53" fillId="5" borderId="37" xfId="0" applyNumberFormat="1" applyFont="1" applyFill="1" applyBorder="1" applyAlignment="1" applyProtection="1">
      <alignment horizontal="center" vertical="center"/>
    </xf>
    <xf numFmtId="38" fontId="49" fillId="0" borderId="90" xfId="0" applyNumberFormat="1" applyFont="1" applyFill="1" applyBorder="1" applyAlignment="1" applyProtection="1">
      <alignment horizontal="center" vertical="center"/>
    </xf>
    <xf numFmtId="38" fontId="49" fillId="0" borderId="47" xfId="0" applyNumberFormat="1" applyFont="1" applyFill="1" applyBorder="1" applyAlignment="1" applyProtection="1">
      <alignment horizontal="center" vertical="center"/>
    </xf>
    <xf numFmtId="168" fontId="53" fillId="0" borderId="74" xfId="0" applyNumberFormat="1" applyFont="1" applyFill="1" applyBorder="1" applyAlignment="1" applyProtection="1">
      <alignment horizontal="center" vertical="center"/>
    </xf>
    <xf numFmtId="168" fontId="53" fillId="0" borderId="75" xfId="0" applyNumberFormat="1" applyFont="1" applyFill="1" applyBorder="1" applyAlignment="1" applyProtection="1">
      <alignment horizontal="center" vertical="center"/>
    </xf>
    <xf numFmtId="168" fontId="53" fillId="0" borderId="76" xfId="0" applyNumberFormat="1" applyFont="1" applyFill="1" applyBorder="1" applyAlignment="1" applyProtection="1">
      <alignment horizontal="center" vertical="center"/>
    </xf>
    <xf numFmtId="164" fontId="61" fillId="0" borderId="57" xfId="1" applyNumberFormat="1" applyFont="1" applyFill="1" applyBorder="1" applyAlignment="1" applyProtection="1">
      <alignment horizontal="center" vertical="center"/>
    </xf>
    <xf numFmtId="164" fontId="61" fillId="0" borderId="35" xfId="1" applyNumberFormat="1" applyFont="1" applyFill="1" applyBorder="1" applyAlignment="1" applyProtection="1">
      <alignment horizontal="center" vertical="center"/>
    </xf>
    <xf numFmtId="4" fontId="53" fillId="0" borderId="85" xfId="1" applyNumberFormat="1" applyFont="1" applyFill="1" applyBorder="1" applyAlignment="1" applyProtection="1">
      <alignment vertical="center"/>
    </xf>
    <xf numFmtId="164" fontId="53" fillId="5" borderId="4" xfId="1" applyNumberFormat="1" applyFont="1" applyFill="1" applyBorder="1" applyAlignment="1" applyProtection="1">
      <alignment horizontal="right" vertical="center"/>
    </xf>
    <xf numFmtId="164" fontId="53" fillId="5" borderId="6" xfId="1" applyNumberFormat="1" applyFont="1" applyFill="1" applyBorder="1" applyAlignment="1" applyProtection="1">
      <alignment horizontal="right" vertical="center"/>
    </xf>
    <xf numFmtId="164" fontId="53" fillId="0" borderId="68" xfId="1" applyNumberFormat="1" applyFont="1" applyFill="1" applyBorder="1" applyAlignment="1" applyProtection="1">
      <alignment horizontal="right" vertical="center"/>
    </xf>
    <xf numFmtId="171" fontId="70" fillId="0" borderId="88" xfId="0" applyNumberFormat="1" applyFont="1" applyFill="1" applyBorder="1" applyAlignment="1" applyProtection="1">
      <alignment horizontal="left" vertical="center"/>
    </xf>
    <xf numFmtId="0" fontId="70" fillId="0" borderId="13" xfId="0" applyFont="1" applyFill="1" applyBorder="1" applyAlignment="1" applyProtection="1">
      <alignment horizontal="left" vertical="center"/>
    </xf>
    <xf numFmtId="4" fontId="70" fillId="0" borderId="88" xfId="1" applyNumberFormat="1" applyFont="1" applyFill="1" applyBorder="1" applyAlignment="1" applyProtection="1">
      <alignment horizontal="right" vertical="center"/>
    </xf>
    <xf numFmtId="0" fontId="99" fillId="14" borderId="0" xfId="0" applyFont="1" applyFill="1" applyAlignment="1" applyProtection="1">
      <alignment horizontal="center" vertical="center"/>
    </xf>
    <xf numFmtId="0" fontId="62" fillId="8" borderId="7" xfId="0" applyFont="1" applyFill="1" applyBorder="1" applyAlignment="1" applyProtection="1">
      <alignment horizontal="center" vertical="center"/>
    </xf>
    <xf numFmtId="0" fontId="62" fillId="8" borderId="0" xfId="0" applyFont="1" applyFill="1" applyBorder="1" applyAlignment="1" applyProtection="1">
      <alignment horizontal="center" vertical="center"/>
    </xf>
    <xf numFmtId="0" fontId="61" fillId="0" borderId="57" xfId="0" applyFont="1" applyFill="1" applyBorder="1" applyAlignment="1" applyProtection="1">
      <alignment horizontal="center" vertical="center"/>
    </xf>
    <xf numFmtId="0" fontId="61" fillId="0" borderId="35" xfId="0" applyFont="1" applyFill="1" applyBorder="1" applyAlignment="1" applyProtection="1">
      <alignment horizontal="center" vertical="center"/>
    </xf>
    <xf numFmtId="4" fontId="70" fillId="0" borderId="13" xfId="1" applyNumberFormat="1" applyFont="1" applyFill="1" applyBorder="1" applyAlignment="1" applyProtection="1">
      <alignment horizontal="right" vertical="center"/>
    </xf>
    <xf numFmtId="0" fontId="61" fillId="0" borderId="83" xfId="0" applyFont="1" applyFill="1" applyBorder="1" applyAlignment="1" applyProtection="1">
      <alignment horizontal="center" vertical="center" wrapText="1"/>
    </xf>
    <xf numFmtId="0" fontId="61" fillId="0" borderId="9" xfId="0" applyFont="1" applyFill="1" applyBorder="1" applyAlignment="1" applyProtection="1">
      <alignment horizontal="center" vertical="center" wrapText="1"/>
    </xf>
    <xf numFmtId="0" fontId="0" fillId="0" borderId="13" xfId="0" applyBorder="1" applyProtection="1"/>
    <xf numFmtId="164" fontId="53" fillId="5" borderId="66" xfId="1" applyNumberFormat="1" applyFont="1" applyFill="1" applyBorder="1" applyAlignment="1" applyProtection="1">
      <alignment horizontal="right" vertical="center"/>
    </xf>
    <xf numFmtId="164" fontId="53" fillId="5" borderId="67" xfId="1" applyNumberFormat="1" applyFont="1" applyFill="1" applyBorder="1" applyAlignment="1" applyProtection="1">
      <alignment horizontal="right" vertical="center"/>
    </xf>
    <xf numFmtId="4" fontId="70" fillId="0" borderId="9" xfId="0" applyNumberFormat="1" applyFont="1" applyFill="1" applyBorder="1" applyAlignment="1" applyProtection="1">
      <alignment horizontal="left" vertical="center"/>
    </xf>
    <xf numFmtId="4" fontId="70" fillId="0" borderId="14" xfId="0" applyNumberFormat="1" applyFont="1" applyFill="1" applyBorder="1" applyAlignment="1" applyProtection="1">
      <alignment horizontal="left" vertical="center"/>
    </xf>
    <xf numFmtId="164" fontId="70" fillId="0" borderId="0" xfId="1" applyNumberFormat="1" applyFont="1" applyFill="1" applyAlignment="1" applyProtection="1">
      <alignment horizontal="center" vertical="center"/>
    </xf>
    <xf numFmtId="164" fontId="70" fillId="0" borderId="8" xfId="1" applyNumberFormat="1" applyFont="1" applyFill="1" applyBorder="1" applyAlignment="1" applyProtection="1">
      <alignment horizontal="center" vertical="center"/>
    </xf>
    <xf numFmtId="4" fontId="53" fillId="0" borderId="82" xfId="1" applyNumberFormat="1" applyFont="1" applyFill="1" applyBorder="1" applyAlignment="1" applyProtection="1">
      <alignment vertical="center"/>
    </xf>
    <xf numFmtId="0" fontId="12" fillId="13" borderId="44" xfId="0" applyFont="1" applyFill="1" applyBorder="1" applyAlignment="1" applyProtection="1">
      <alignment horizontal="left" vertical="top" wrapText="1"/>
    </xf>
    <xf numFmtId="0" fontId="12" fillId="13" borderId="39" xfId="0" applyFont="1" applyFill="1" applyBorder="1" applyAlignment="1" applyProtection="1">
      <alignment horizontal="left" vertical="top" wrapText="1"/>
    </xf>
    <xf numFmtId="0" fontId="12" fillId="13" borderId="40" xfId="0" applyFont="1" applyFill="1" applyBorder="1" applyAlignment="1" applyProtection="1">
      <alignment horizontal="left" vertical="top" wrapText="1"/>
    </xf>
    <xf numFmtId="0" fontId="12" fillId="13" borderId="41" xfId="0" applyFont="1" applyFill="1" applyBorder="1" applyAlignment="1" applyProtection="1">
      <alignment horizontal="left" vertical="top" wrapText="1"/>
    </xf>
    <xf numFmtId="0" fontId="12" fillId="13" borderId="42" xfId="0" applyFont="1" applyFill="1" applyBorder="1" applyAlignment="1" applyProtection="1">
      <alignment horizontal="left" vertical="top" wrapText="1"/>
    </xf>
    <xf numFmtId="0" fontId="12" fillId="13" borderId="60" xfId="0" applyFont="1" applyFill="1" applyBorder="1" applyAlignment="1" applyProtection="1">
      <alignment horizontal="left" vertical="top" wrapText="1"/>
    </xf>
    <xf numFmtId="0" fontId="70" fillId="0" borderId="88" xfId="0" applyFont="1" applyFill="1" applyBorder="1" applyAlignment="1" applyProtection="1">
      <alignment horizontal="left" vertical="center"/>
    </xf>
    <xf numFmtId="0" fontId="70" fillId="0" borderId="84" xfId="0" applyFont="1" applyFill="1" applyBorder="1" applyAlignment="1" applyProtection="1">
      <alignment horizontal="left" vertical="center"/>
    </xf>
    <xf numFmtId="0" fontId="2" fillId="13" borderId="20" xfId="0" applyFont="1" applyFill="1" applyBorder="1" applyAlignment="1" applyProtection="1">
      <alignment horizontal="left" vertical="top" wrapText="1"/>
    </xf>
    <xf numFmtId="0" fontId="61" fillId="0" borderId="0" xfId="0" applyFont="1" applyFill="1" applyAlignment="1" applyProtection="1">
      <alignment horizontal="left"/>
    </xf>
    <xf numFmtId="0" fontId="12" fillId="13" borderId="80" xfId="0" applyFont="1" applyFill="1" applyBorder="1" applyAlignment="1" applyProtection="1">
      <alignment horizontal="left" vertical="top" wrapText="1"/>
    </xf>
    <xf numFmtId="0" fontId="12" fillId="13" borderId="77" xfId="0" applyFont="1" applyFill="1" applyBorder="1" applyAlignment="1" applyProtection="1">
      <alignment horizontal="left" vertical="top" wrapText="1"/>
    </xf>
    <xf numFmtId="0" fontId="53" fillId="0" borderId="62" xfId="0" applyFont="1" applyBorder="1" applyProtection="1"/>
    <xf numFmtId="0" fontId="12" fillId="13" borderId="36" xfId="0" applyFont="1" applyFill="1" applyBorder="1" applyAlignment="1" applyProtection="1">
      <alignment horizontal="left" vertical="top" wrapText="1"/>
    </xf>
    <xf numFmtId="0" fontId="12" fillId="13" borderId="2" xfId="0" applyFont="1" applyFill="1" applyBorder="1" applyAlignment="1" applyProtection="1">
      <alignment horizontal="left" vertical="top" wrapText="1"/>
    </xf>
    <xf numFmtId="0" fontId="12" fillId="13" borderId="37" xfId="0" applyFont="1" applyFill="1" applyBorder="1" applyAlignment="1" applyProtection="1">
      <alignment horizontal="left" vertical="top" wrapText="1"/>
    </xf>
    <xf numFmtId="0" fontId="0" fillId="5" borderId="28" xfId="0" applyFill="1" applyBorder="1" applyAlignment="1" applyProtection="1">
      <alignment horizontal="left"/>
    </xf>
    <xf numFmtId="0" fontId="0" fillId="5" borderId="29" xfId="0" applyFill="1" applyBorder="1" applyAlignment="1" applyProtection="1">
      <alignment horizontal="left"/>
    </xf>
    <xf numFmtId="0" fontId="0" fillId="5" borderId="30" xfId="0" applyFill="1" applyBorder="1" applyAlignment="1" applyProtection="1">
      <alignment horizontal="left"/>
    </xf>
    <xf numFmtId="0" fontId="0" fillId="5" borderId="31" xfId="0" applyFill="1" applyBorder="1" applyAlignment="1" applyProtection="1">
      <alignment horizontal="left"/>
    </xf>
    <xf numFmtId="0" fontId="12" fillId="5" borderId="36" xfId="0" applyFont="1" applyFill="1" applyBorder="1" applyAlignment="1" applyProtection="1">
      <alignment horizontal="left" vertical="top" wrapText="1"/>
    </xf>
    <xf numFmtId="0" fontId="12" fillId="5" borderId="2" xfId="0" applyFont="1" applyFill="1" applyBorder="1" applyAlignment="1" applyProtection="1">
      <alignment horizontal="left" vertical="top" wrapText="1"/>
    </xf>
    <xf numFmtId="0" fontId="12" fillId="5" borderId="37" xfId="0" applyFont="1" applyFill="1" applyBorder="1" applyAlignment="1" applyProtection="1">
      <alignment horizontal="left" vertical="top" wrapText="1"/>
    </xf>
    <xf numFmtId="0" fontId="7" fillId="0" borderId="0" xfId="0" applyFont="1" applyBorder="1" applyAlignment="1" applyProtection="1">
      <alignment horizontal="center"/>
    </xf>
    <xf numFmtId="0" fontId="11" fillId="5" borderId="36" xfId="0" applyFont="1" applyFill="1" applyBorder="1" applyAlignment="1" applyProtection="1">
      <alignment horizontal="left"/>
    </xf>
    <xf numFmtId="0" fontId="11" fillId="5" borderId="2" xfId="0" applyFont="1" applyFill="1" applyBorder="1" applyAlignment="1" applyProtection="1">
      <alignment horizontal="left"/>
    </xf>
    <xf numFmtId="0" fontId="11" fillId="5" borderId="37" xfId="0" applyFont="1" applyFill="1" applyBorder="1" applyAlignment="1" applyProtection="1">
      <alignment horizontal="left"/>
    </xf>
    <xf numFmtId="0" fontId="7" fillId="0" borderId="0" xfId="0" applyFont="1" applyAlignment="1" applyProtection="1">
      <alignment horizontal="center"/>
    </xf>
    <xf numFmtId="175" fontId="11" fillId="5" borderId="36" xfId="0" applyNumberFormat="1" applyFont="1" applyFill="1" applyBorder="1" applyAlignment="1" applyProtection="1">
      <alignment horizontal="left"/>
    </xf>
    <xf numFmtId="175" fontId="11" fillId="5" borderId="37" xfId="0" applyNumberFormat="1" applyFont="1" applyFill="1" applyBorder="1" applyAlignment="1" applyProtection="1">
      <alignment horizontal="left"/>
    </xf>
    <xf numFmtId="0" fontId="29" fillId="8" borderId="7" xfId="0" applyFont="1" applyFill="1" applyBorder="1" applyAlignment="1" applyProtection="1">
      <alignment horizontal="center" vertical="center"/>
    </xf>
    <xf numFmtId="0" fontId="29" fillId="8" borderId="0" xfId="0" applyFont="1" applyFill="1" applyBorder="1" applyAlignment="1" applyProtection="1">
      <alignment horizontal="center" vertical="center"/>
    </xf>
    <xf numFmtId="0" fontId="2" fillId="5" borderId="36" xfId="0" applyFont="1" applyFill="1" applyBorder="1" applyAlignment="1" applyProtection="1">
      <alignment horizontal="left"/>
    </xf>
    <xf numFmtId="0" fontId="126" fillId="0" borderId="0" xfId="0" applyFont="1" applyFill="1" applyAlignment="1" applyProtection="1">
      <alignment horizontal="left"/>
    </xf>
    <xf numFmtId="164" fontId="11" fillId="11" borderId="81" xfId="0" applyNumberFormat="1" applyFont="1" applyFill="1" applyBorder="1" applyAlignment="1" applyProtection="1">
      <alignment horizontal="center"/>
    </xf>
    <xf numFmtId="164" fontId="11" fillId="11" borderId="82" xfId="0" applyNumberFormat="1" applyFont="1" applyFill="1" applyBorder="1" applyAlignment="1" applyProtection="1">
      <alignment horizontal="center"/>
    </xf>
    <xf numFmtId="0" fontId="95" fillId="15" borderId="0" xfId="0" applyFont="1" applyFill="1" applyAlignment="1" applyProtection="1">
      <alignment horizontal="center" vertical="center"/>
    </xf>
    <xf numFmtId="0" fontId="13" fillId="0" borderId="0" xfId="0" applyFont="1" applyFill="1" applyAlignment="1" applyProtection="1">
      <alignment horizontal="left"/>
    </xf>
    <xf numFmtId="0" fontId="106" fillId="0" borderId="0" xfId="0" applyFont="1" applyFill="1" applyAlignment="1" applyProtection="1">
      <alignment horizontal="center" wrapText="1"/>
    </xf>
    <xf numFmtId="0" fontId="110" fillId="0" borderId="0" xfId="0" applyFont="1" applyFill="1" applyAlignment="1" applyProtection="1">
      <alignment horizontal="center" wrapText="1"/>
    </xf>
    <xf numFmtId="0" fontId="9" fillId="0" borderId="0" xfId="0" applyFont="1" applyFill="1" applyAlignment="1" applyProtection="1">
      <alignment horizontal="center" vertical="center"/>
    </xf>
    <xf numFmtId="0" fontId="35" fillId="0" borderId="0" xfId="0" applyFont="1" applyFill="1" applyAlignment="1" applyProtection="1">
      <alignment horizontal="center" textRotation="90"/>
    </xf>
    <xf numFmtId="3" fontId="113" fillId="0" borderId="0" xfId="0" applyNumberFormat="1" applyFont="1" applyFill="1" applyBorder="1" applyAlignment="1" applyProtection="1">
      <alignment horizontal="left" vertical="center"/>
    </xf>
    <xf numFmtId="0" fontId="96" fillId="0" borderId="0" xfId="0" applyFont="1" applyFill="1" applyAlignment="1" applyProtection="1">
      <alignment horizontal="center" vertical="center"/>
    </xf>
    <xf numFmtId="0" fontId="95" fillId="0" borderId="0" xfId="0" applyFont="1" applyFill="1" applyAlignment="1" applyProtection="1">
      <alignment horizontal="center" vertical="center"/>
    </xf>
    <xf numFmtId="0" fontId="3" fillId="5" borderId="36" xfId="0" applyFont="1" applyFill="1" applyBorder="1" applyAlignment="1" applyProtection="1">
      <alignment horizontal="left" vertical="center"/>
    </xf>
    <xf numFmtId="0" fontId="3" fillId="5" borderId="2" xfId="0" applyFont="1" applyFill="1" applyBorder="1" applyAlignment="1" applyProtection="1">
      <alignment horizontal="left" vertical="center"/>
    </xf>
    <xf numFmtId="0" fontId="3" fillId="5" borderId="37" xfId="0" applyFont="1" applyFill="1" applyBorder="1" applyAlignment="1" applyProtection="1">
      <alignment horizontal="left" vertical="center"/>
    </xf>
    <xf numFmtId="0" fontId="26" fillId="0" borderId="0" xfId="0" applyFont="1" applyFill="1" applyAlignment="1" applyProtection="1">
      <alignment horizontal="left" vertical="center" wrapText="1"/>
    </xf>
    <xf numFmtId="38" fontId="11" fillId="5" borderId="36" xfId="1" applyNumberFormat="1" applyFont="1" applyFill="1" applyBorder="1" applyAlignment="1" applyProtection="1">
      <alignment horizontal="right" vertical="center"/>
    </xf>
    <xf numFmtId="38" fontId="11" fillId="5" borderId="37" xfId="1" applyNumberFormat="1" applyFont="1" applyFill="1" applyBorder="1" applyAlignment="1" applyProtection="1">
      <alignment horizontal="right" vertical="center"/>
    </xf>
    <xf numFmtId="38" fontId="11" fillId="0" borderId="61" xfId="1" applyNumberFormat="1" applyFont="1" applyFill="1" applyBorder="1" applyAlignment="1" applyProtection="1">
      <alignment horizontal="right" vertical="center"/>
    </xf>
    <xf numFmtId="38" fontId="11" fillId="0" borderId="62" xfId="1" applyNumberFormat="1" applyFont="1" applyFill="1" applyBorder="1" applyAlignment="1" applyProtection="1">
      <alignment horizontal="right" vertical="center"/>
    </xf>
    <xf numFmtId="0" fontId="3" fillId="5" borderId="36" xfId="0" applyFont="1" applyFill="1" applyBorder="1" applyAlignment="1" applyProtection="1">
      <alignment horizontal="left"/>
    </xf>
    <xf numFmtId="0" fontId="3" fillId="5" borderId="2" xfId="0" applyFont="1" applyFill="1" applyBorder="1" applyAlignment="1" applyProtection="1">
      <alignment horizontal="left"/>
    </xf>
    <xf numFmtId="0" fontId="3" fillId="5" borderId="37" xfId="0" applyFont="1" applyFill="1" applyBorder="1" applyAlignment="1" applyProtection="1">
      <alignment horizontal="left"/>
    </xf>
    <xf numFmtId="0" fontId="87" fillId="0" borderId="0" xfId="0" applyNumberFormat="1" applyFont="1" applyAlignment="1" applyProtection="1">
      <alignment horizontal="center" vertical="center" wrapText="1"/>
    </xf>
    <xf numFmtId="0" fontId="29" fillId="0" borderId="0" xfId="0" applyNumberFormat="1" applyFont="1" applyAlignment="1" applyProtection="1">
      <alignment horizontal="center" vertical="center" wrapText="1"/>
    </xf>
    <xf numFmtId="0" fontId="3" fillId="0" borderId="7" xfId="0" applyFont="1" applyFill="1" applyBorder="1" applyAlignment="1" applyProtection="1">
      <alignment horizontal="left" vertical="center" wrapText="1"/>
    </xf>
    <xf numFmtId="0" fontId="3" fillId="0" borderId="0" xfId="0" applyFont="1" applyFill="1" applyBorder="1" applyAlignment="1" applyProtection="1">
      <alignment horizontal="left" vertical="center" wrapText="1"/>
    </xf>
    <xf numFmtId="0" fontId="12" fillId="0" borderId="0" xfId="0" applyFont="1" applyFill="1" applyBorder="1" applyAlignment="1" applyProtection="1">
      <alignment horizontal="left" vertical="top" wrapText="1"/>
    </xf>
    <xf numFmtId="38" fontId="3" fillId="5" borderId="36" xfId="0" applyNumberFormat="1" applyFont="1" applyFill="1" applyBorder="1" applyAlignment="1" applyProtection="1">
      <alignment horizontal="left" vertical="center" wrapText="1"/>
    </xf>
    <xf numFmtId="38" fontId="3" fillId="5" borderId="37" xfId="0" applyNumberFormat="1" applyFont="1" applyFill="1" applyBorder="1" applyAlignment="1" applyProtection="1">
      <alignment horizontal="left" vertical="center" wrapText="1"/>
    </xf>
    <xf numFmtId="0" fontId="89" fillId="0" borderId="0" xfId="0" applyFont="1" applyFill="1" applyAlignment="1" applyProtection="1">
      <alignment horizontal="left" vertical="center" wrapText="1"/>
    </xf>
    <xf numFmtId="0" fontId="50" fillId="0" borderId="0" xfId="0" applyFont="1" applyAlignment="1" applyProtection="1">
      <alignment horizontal="left" vertical="center" wrapText="1"/>
    </xf>
    <xf numFmtId="38" fontId="11" fillId="5" borderId="66" xfId="1" applyNumberFormat="1" applyFont="1" applyFill="1" applyBorder="1" applyAlignment="1" applyProtection="1">
      <alignment horizontal="right" vertical="center"/>
    </xf>
    <xf numFmtId="38" fontId="11" fillId="5" borderId="67" xfId="1" applyNumberFormat="1" applyFont="1" applyFill="1" applyBorder="1" applyAlignment="1" applyProtection="1">
      <alignment horizontal="right" vertical="center"/>
    </xf>
    <xf numFmtId="38" fontId="11" fillId="5" borderId="36" xfId="1" applyNumberFormat="1" applyFont="1" applyFill="1" applyBorder="1" applyAlignment="1" applyProtection="1">
      <alignment vertical="center"/>
    </xf>
    <xf numFmtId="38" fontId="11" fillId="5" borderId="37" xfId="1" applyNumberFormat="1" applyFont="1" applyFill="1" applyBorder="1" applyAlignment="1" applyProtection="1">
      <alignment vertical="center"/>
    </xf>
    <xf numFmtId="3" fontId="11" fillId="5" borderId="4" xfId="0" applyNumberFormat="1" applyFont="1" applyFill="1" applyBorder="1" applyAlignment="1" applyProtection="1">
      <alignment horizontal="right" vertical="center"/>
    </xf>
    <xf numFmtId="3" fontId="11" fillId="5" borderId="6" xfId="0" applyNumberFormat="1" applyFont="1" applyFill="1" applyBorder="1" applyAlignment="1" applyProtection="1">
      <alignment horizontal="right" vertical="center"/>
    </xf>
    <xf numFmtId="3" fontId="11" fillId="5" borderId="36" xfId="0" applyNumberFormat="1" applyFont="1" applyFill="1" applyBorder="1" applyAlignment="1" applyProtection="1">
      <alignment horizontal="right" vertical="center"/>
    </xf>
    <xf numFmtId="3" fontId="11" fillId="5" borderId="37" xfId="0" applyNumberFormat="1" applyFont="1" applyFill="1" applyBorder="1" applyAlignment="1" applyProtection="1">
      <alignment horizontal="right" vertical="center"/>
    </xf>
    <xf numFmtId="3" fontId="11" fillId="0" borderId="61" xfId="0" applyNumberFormat="1" applyFont="1" applyFill="1" applyBorder="1" applyAlignment="1" applyProtection="1">
      <alignment horizontal="right" vertical="center"/>
    </xf>
    <xf numFmtId="3" fontId="11" fillId="0" borderId="62" xfId="0" applyNumberFormat="1" applyFont="1" applyFill="1" applyBorder="1" applyAlignment="1" applyProtection="1">
      <alignment horizontal="right" vertical="center"/>
    </xf>
    <xf numFmtId="38" fontId="11" fillId="0" borderId="9" xfId="1" applyNumberFormat="1" applyFont="1" applyFill="1" applyBorder="1" applyAlignment="1" applyProtection="1">
      <alignment horizontal="right" vertical="center"/>
    </xf>
    <xf numFmtId="38" fontId="11" fillId="0" borderId="14" xfId="1" applyNumberFormat="1" applyFont="1" applyFill="1" applyBorder="1" applyAlignment="1" applyProtection="1">
      <alignment horizontal="right" vertical="center"/>
    </xf>
    <xf numFmtId="0" fontId="11" fillId="0" borderId="0" xfId="0" applyFont="1" applyFill="1" applyAlignment="1" applyProtection="1">
      <alignment horizontal="left" vertical="center" wrapText="1"/>
    </xf>
    <xf numFmtId="0" fontId="11" fillId="0" borderId="0" xfId="0" applyFont="1" applyAlignment="1" applyProtection="1">
      <alignment horizontal="left" vertical="center" wrapText="1"/>
    </xf>
    <xf numFmtId="0" fontId="49" fillId="0" borderId="2" xfId="0" applyFont="1" applyBorder="1" applyAlignment="1" applyProtection="1">
      <alignment horizontal="left" vertical="top" wrapText="1"/>
    </xf>
    <xf numFmtId="0" fontId="49" fillId="0" borderId="37" xfId="0" applyFont="1" applyBorder="1" applyAlignment="1" applyProtection="1">
      <alignment horizontal="left" vertical="top" wrapText="1"/>
    </xf>
    <xf numFmtId="0" fontId="49" fillId="13" borderId="36" xfId="0" applyFont="1" applyFill="1" applyBorder="1" applyAlignment="1" applyProtection="1">
      <alignment horizontal="left" vertical="top" wrapText="1"/>
    </xf>
    <xf numFmtId="0" fontId="49" fillId="13" borderId="2" xfId="0" applyFont="1" applyFill="1" applyBorder="1" applyAlignment="1" applyProtection="1">
      <alignment horizontal="left" vertical="top" wrapText="1"/>
    </xf>
    <xf numFmtId="0" fontId="49" fillId="13" borderId="37" xfId="0" applyFont="1" applyFill="1" applyBorder="1" applyAlignment="1" applyProtection="1">
      <alignment horizontal="left" vertical="top" wrapText="1"/>
    </xf>
    <xf numFmtId="0" fontId="95" fillId="12" borderId="0" xfId="0" applyFont="1" applyFill="1" applyBorder="1" applyAlignment="1" applyProtection="1">
      <alignment horizontal="center" vertical="center"/>
    </xf>
    <xf numFmtId="0" fontId="7" fillId="0" borderId="0" xfId="0" applyFont="1" applyFill="1" applyAlignment="1" applyProtection="1">
      <alignment horizontal="center"/>
    </xf>
    <xf numFmtId="0" fontId="29" fillId="9" borderId="81" xfId="0" applyFont="1" applyFill="1" applyBorder="1" applyAlignment="1" applyProtection="1">
      <alignment horizontal="center" vertical="center"/>
    </xf>
    <xf numFmtId="0" fontId="0" fillId="0" borderId="85" xfId="0" applyBorder="1" applyProtection="1"/>
    <xf numFmtId="0" fontId="13" fillId="5" borderId="33" xfId="0" applyFont="1" applyFill="1" applyBorder="1" applyAlignment="1" applyProtection="1">
      <alignment horizontal="left" vertical="center"/>
    </xf>
    <xf numFmtId="0" fontId="13" fillId="5" borderId="59" xfId="0" applyFont="1" applyFill="1" applyBorder="1" applyAlignment="1" applyProtection="1">
      <alignment horizontal="left" vertical="center"/>
    </xf>
    <xf numFmtId="0" fontId="13" fillId="5" borderId="34" xfId="0" applyFont="1" applyFill="1" applyBorder="1" applyAlignment="1" applyProtection="1">
      <alignment horizontal="left" vertical="center"/>
    </xf>
    <xf numFmtId="0" fontId="13" fillId="5" borderId="81" xfId="0" applyFont="1" applyFill="1" applyBorder="1" applyAlignment="1" applyProtection="1">
      <alignment horizontal="left" vertical="center"/>
    </xf>
    <xf numFmtId="0" fontId="13" fillId="5" borderId="85" xfId="0" applyFont="1" applyFill="1" applyBorder="1" applyAlignment="1" applyProtection="1">
      <alignment horizontal="left" vertical="center"/>
    </xf>
    <xf numFmtId="0" fontId="13" fillId="5" borderId="82" xfId="0" applyFont="1" applyFill="1" applyBorder="1" applyAlignment="1" applyProtection="1">
      <alignment horizontal="left" vertical="center"/>
    </xf>
    <xf numFmtId="0" fontId="3" fillId="0" borderId="0" xfId="0" applyFont="1" applyFill="1" applyBorder="1" applyAlignment="1" applyProtection="1">
      <alignment horizontal="left" vertical="top" wrapText="1"/>
    </xf>
    <xf numFmtId="0" fontId="6" fillId="0" borderId="0" xfId="0" applyFont="1" applyFill="1" applyAlignment="1" applyProtection="1">
      <alignment horizontal="center"/>
    </xf>
    <xf numFmtId="0" fontId="13" fillId="5" borderId="16" xfId="0" applyFont="1" applyFill="1" applyBorder="1" applyAlignment="1" applyProtection="1">
      <alignment horizontal="left" vertical="center"/>
    </xf>
    <xf numFmtId="0" fontId="9" fillId="13" borderId="36" xfId="0" applyFont="1" applyFill="1" applyBorder="1" applyAlignment="1" applyProtection="1">
      <alignment horizontal="center" vertical="center"/>
    </xf>
    <xf numFmtId="0" fontId="9" fillId="13" borderId="37" xfId="0" applyFont="1" applyFill="1" applyBorder="1" applyAlignment="1" applyProtection="1">
      <alignment horizontal="center" vertical="center"/>
    </xf>
    <xf numFmtId="0" fontId="3" fillId="5" borderId="36" xfId="0" applyFont="1" applyFill="1" applyBorder="1" applyAlignment="1" applyProtection="1">
      <alignment horizontal="left" vertical="top" wrapText="1"/>
    </xf>
    <xf numFmtId="0" fontId="3" fillId="5" borderId="2" xfId="0" applyFont="1" applyFill="1" applyBorder="1" applyAlignment="1" applyProtection="1">
      <alignment horizontal="left" vertical="top" wrapText="1"/>
    </xf>
    <xf numFmtId="0" fontId="3" fillId="5" borderId="37" xfId="0" applyFont="1" applyFill="1" applyBorder="1" applyAlignment="1" applyProtection="1">
      <alignment horizontal="left" vertical="top" wrapText="1"/>
    </xf>
    <xf numFmtId="0" fontId="3" fillId="13" borderId="36" xfId="0" applyFont="1" applyFill="1" applyBorder="1" applyAlignment="1" applyProtection="1">
      <alignment horizontal="left" vertical="top" wrapText="1"/>
    </xf>
    <xf numFmtId="0" fontId="3" fillId="13" borderId="2" xfId="0" applyFont="1" applyFill="1" applyBorder="1" applyAlignment="1" applyProtection="1">
      <alignment horizontal="left" vertical="top" wrapText="1"/>
    </xf>
    <xf numFmtId="0" fontId="3" fillId="13" borderId="37" xfId="0" applyFont="1" applyFill="1" applyBorder="1" applyAlignment="1" applyProtection="1">
      <alignment horizontal="left" vertical="top" wrapText="1"/>
    </xf>
    <xf numFmtId="0" fontId="13" fillId="5" borderId="36" xfId="0" applyFont="1" applyFill="1" applyBorder="1" applyAlignment="1" applyProtection="1">
      <alignment horizontal="left" vertical="center"/>
    </xf>
    <xf numFmtId="0" fontId="13" fillId="5" borderId="2" xfId="0" applyFont="1" applyFill="1" applyBorder="1" applyAlignment="1" applyProtection="1">
      <alignment horizontal="left" vertical="center"/>
    </xf>
    <xf numFmtId="0" fontId="13" fillId="5" borderId="37" xfId="0" applyFont="1" applyFill="1" applyBorder="1" applyAlignment="1" applyProtection="1">
      <alignment horizontal="left" vertical="center"/>
    </xf>
    <xf numFmtId="0" fontId="13" fillId="5" borderId="28" xfId="0" applyFont="1" applyFill="1" applyBorder="1" applyAlignment="1" applyProtection="1">
      <alignment horizontal="left" vertical="center"/>
    </xf>
    <xf numFmtId="0" fontId="13" fillId="5" borderId="58" xfId="0" applyFont="1" applyFill="1" applyBorder="1" applyAlignment="1" applyProtection="1">
      <alignment horizontal="left" vertical="center"/>
    </xf>
    <xf numFmtId="0" fontId="13" fillId="5" borderId="29" xfId="0" applyFont="1" applyFill="1" applyBorder="1" applyAlignment="1" applyProtection="1">
      <alignment horizontal="left" vertical="center"/>
    </xf>
    <xf numFmtId="0" fontId="22" fillId="0" borderId="0" xfId="0" applyFont="1" applyFill="1" applyAlignment="1" applyProtection="1">
      <alignment horizontal="left" vertical="center"/>
    </xf>
    <xf numFmtId="0" fontId="50" fillId="13" borderId="30" xfId="0" applyFont="1" applyFill="1" applyBorder="1" applyAlignment="1" applyProtection="1">
      <alignment horizontal="justify" vertical="top" wrapText="1"/>
    </xf>
    <xf numFmtId="0" fontId="50" fillId="13" borderId="21" xfId="0" applyFont="1" applyFill="1" applyBorder="1" applyAlignment="1" applyProtection="1">
      <alignment horizontal="justify" vertical="top" wrapText="1"/>
    </xf>
    <xf numFmtId="0" fontId="50" fillId="13" borderId="31" xfId="0" applyFont="1" applyFill="1" applyBorder="1" applyAlignment="1" applyProtection="1">
      <alignment horizontal="justify" vertical="top" wrapText="1"/>
    </xf>
    <xf numFmtId="0" fontId="114" fillId="13" borderId="36" xfId="0" applyFont="1" applyFill="1" applyBorder="1" applyAlignment="1" applyProtection="1">
      <alignment horizontal="center" vertical="center"/>
    </xf>
    <xf numFmtId="0" fontId="114" fillId="13" borderId="37" xfId="0" applyFont="1" applyFill="1" applyBorder="1" applyAlignment="1" applyProtection="1">
      <alignment horizontal="center" vertical="center"/>
    </xf>
    <xf numFmtId="0" fontId="50" fillId="13" borderId="28" xfId="0" applyFont="1" applyFill="1" applyBorder="1" applyAlignment="1" applyProtection="1">
      <alignment horizontal="justify" vertical="top" wrapText="1"/>
    </xf>
    <xf numFmtId="0" fontId="50" fillId="13" borderId="58" xfId="0" applyFont="1" applyFill="1" applyBorder="1" applyAlignment="1" applyProtection="1">
      <alignment horizontal="justify" vertical="top" wrapText="1"/>
    </xf>
    <xf numFmtId="0" fontId="50" fillId="13" borderId="29" xfId="0" applyFont="1" applyFill="1" applyBorder="1" applyAlignment="1" applyProtection="1">
      <alignment horizontal="justify" vertical="top" wrapText="1"/>
    </xf>
    <xf numFmtId="0" fontId="46" fillId="0" borderId="0" xfId="0" applyFont="1" applyFill="1" applyAlignment="1" applyProtection="1">
      <alignment horizontal="center" vertical="center"/>
    </xf>
    <xf numFmtId="0" fontId="46" fillId="0" borderId="8" xfId="0" applyFont="1" applyFill="1" applyBorder="1" applyAlignment="1" applyProtection="1">
      <alignment horizontal="center" vertical="center"/>
    </xf>
    <xf numFmtId="0" fontId="7" fillId="5" borderId="36" xfId="0" applyFont="1" applyFill="1" applyBorder="1" applyAlignment="1" applyProtection="1">
      <alignment horizontal="center" vertical="center" wrapText="1"/>
    </xf>
    <xf numFmtId="0" fontId="7" fillId="5" borderId="37" xfId="0" applyFont="1" applyFill="1" applyBorder="1" applyAlignment="1" applyProtection="1">
      <alignment horizontal="center" vertical="center" wrapText="1"/>
    </xf>
    <xf numFmtId="0" fontId="13" fillId="5" borderId="30" xfId="0" applyFont="1" applyFill="1" applyBorder="1" applyAlignment="1" applyProtection="1">
      <alignment horizontal="left" vertical="center"/>
    </xf>
    <xf numFmtId="0" fontId="13" fillId="5" borderId="21" xfId="0" applyFont="1" applyFill="1" applyBorder="1" applyAlignment="1" applyProtection="1">
      <alignment horizontal="left" vertical="center"/>
    </xf>
    <xf numFmtId="0" fontId="13" fillId="5" borderId="31" xfId="0" applyFont="1" applyFill="1" applyBorder="1" applyAlignment="1" applyProtection="1">
      <alignment horizontal="left" vertical="center"/>
    </xf>
    <xf numFmtId="0" fontId="3" fillId="0" borderId="19" xfId="0" applyFont="1" applyFill="1" applyBorder="1" applyAlignment="1" applyProtection="1">
      <alignment horizontal="center" wrapText="1"/>
    </xf>
    <xf numFmtId="0" fontId="3" fillId="0" borderId="13" xfId="0" applyFont="1" applyFill="1" applyBorder="1" applyAlignment="1" applyProtection="1">
      <alignment horizontal="center" wrapText="1"/>
    </xf>
    <xf numFmtId="0" fontId="13" fillId="0" borderId="40" xfId="0" applyFont="1" applyBorder="1" applyAlignment="1" applyProtection="1">
      <alignment horizontal="center" vertical="top"/>
    </xf>
    <xf numFmtId="0" fontId="13" fillId="0" borderId="0" xfId="0" applyFont="1" applyBorder="1" applyAlignment="1" applyProtection="1">
      <alignment horizontal="center" vertical="top"/>
    </xf>
    <xf numFmtId="0" fontId="13" fillId="0" borderId="41" xfId="0" applyFont="1" applyBorder="1" applyAlignment="1" applyProtection="1">
      <alignment horizontal="center" vertical="top"/>
    </xf>
    <xf numFmtId="0" fontId="3" fillId="13" borderId="30" xfId="0" applyFont="1" applyFill="1" applyBorder="1" applyAlignment="1" applyProtection="1">
      <alignment horizontal="left" vertical="top" wrapText="1"/>
    </xf>
    <xf numFmtId="0" fontId="3" fillId="13" borderId="21" xfId="0" applyFont="1" applyFill="1" applyBorder="1" applyAlignment="1" applyProtection="1">
      <alignment horizontal="left" vertical="top" wrapText="1"/>
    </xf>
    <xf numFmtId="0" fontId="3" fillId="13" borderId="31" xfId="0" applyFont="1" applyFill="1" applyBorder="1" applyAlignment="1" applyProtection="1">
      <alignment horizontal="left" vertical="top" wrapText="1"/>
    </xf>
    <xf numFmtId="0" fontId="13" fillId="6" borderId="36" xfId="0" applyFont="1" applyFill="1" applyBorder="1" applyAlignment="1" applyProtection="1">
      <alignment horizontal="center" vertical="center"/>
    </xf>
    <xf numFmtId="0" fontId="13" fillId="6" borderId="2" xfId="0" applyFont="1" applyFill="1" applyBorder="1" applyAlignment="1" applyProtection="1">
      <alignment horizontal="center" vertical="center"/>
    </xf>
    <xf numFmtId="0" fontId="13" fillId="6" borderId="37" xfId="0" applyFont="1" applyFill="1" applyBorder="1" applyAlignment="1" applyProtection="1">
      <alignment horizontal="center" vertical="center"/>
    </xf>
    <xf numFmtId="0" fontId="13" fillId="0" borderId="44" xfId="0" applyFont="1" applyBorder="1" applyAlignment="1" applyProtection="1">
      <alignment horizontal="center" vertical="top"/>
    </xf>
    <xf numFmtId="0" fontId="13" fillId="0" borderId="19" xfId="0" applyFont="1" applyBorder="1" applyAlignment="1" applyProtection="1">
      <alignment horizontal="center" vertical="top"/>
    </xf>
    <xf numFmtId="0" fontId="13" fillId="0" borderId="39" xfId="0" applyFont="1" applyBorder="1" applyAlignment="1" applyProtection="1">
      <alignment horizontal="center" vertical="top"/>
    </xf>
    <xf numFmtId="0" fontId="3" fillId="0" borderId="19" xfId="0" applyFont="1" applyBorder="1" applyAlignment="1" applyProtection="1">
      <alignment horizontal="center" wrapText="1"/>
    </xf>
    <xf numFmtId="0" fontId="3" fillId="0" borderId="13" xfId="0" applyFont="1" applyBorder="1" applyAlignment="1" applyProtection="1">
      <alignment horizontal="center" wrapText="1"/>
    </xf>
    <xf numFmtId="3" fontId="9" fillId="0" borderId="81" xfId="0" applyNumberFormat="1" applyFont="1" applyFill="1" applyBorder="1" applyAlignment="1" applyProtection="1">
      <alignment horizontal="center" vertical="top" wrapText="1"/>
    </xf>
    <xf numFmtId="3" fontId="9" fillId="0" borderId="82" xfId="0" applyNumberFormat="1" applyFont="1" applyFill="1" applyBorder="1" applyAlignment="1" applyProtection="1">
      <alignment horizontal="center" vertical="top" wrapText="1"/>
    </xf>
    <xf numFmtId="0" fontId="13" fillId="0" borderId="42" xfId="0" applyFont="1" applyFill="1" applyBorder="1" applyAlignment="1" applyProtection="1">
      <alignment horizontal="center"/>
    </xf>
    <xf numFmtId="0" fontId="13" fillId="0" borderId="20" xfId="0" applyFont="1" applyFill="1" applyBorder="1" applyAlignment="1" applyProtection="1">
      <alignment horizontal="center"/>
    </xf>
    <xf numFmtId="0" fontId="13" fillId="0" borderId="60" xfId="0" applyFont="1" applyFill="1" applyBorder="1" applyAlignment="1" applyProtection="1">
      <alignment horizontal="center"/>
    </xf>
    <xf numFmtId="0" fontId="13" fillId="0" borderId="42" xfId="0" applyFont="1" applyBorder="1" applyAlignment="1" applyProtection="1">
      <alignment horizontal="center" vertical="top"/>
    </xf>
    <xf numFmtId="0" fontId="13" fillId="0" borderId="20" xfId="0" applyFont="1" applyBorder="1" applyAlignment="1" applyProtection="1">
      <alignment horizontal="center" vertical="top"/>
    </xf>
    <xf numFmtId="0" fontId="13" fillId="0" borderId="60" xfId="0" applyFont="1" applyBorder="1" applyAlignment="1" applyProtection="1">
      <alignment horizontal="center" vertical="top"/>
    </xf>
    <xf numFmtId="0" fontId="132" fillId="0" borderId="0" xfId="0" applyFont="1" applyFill="1" applyBorder="1" applyAlignment="1" applyProtection="1">
      <alignment horizontal="center" vertical="center" wrapText="1"/>
    </xf>
    <xf numFmtId="0" fontId="113" fillId="0" borderId="0" xfId="0" applyFont="1" applyFill="1" applyAlignment="1" applyProtection="1">
      <alignment horizontal="center"/>
    </xf>
    <xf numFmtId="0" fontId="0" fillId="0" borderId="82" xfId="0" applyBorder="1" applyAlignment="1" applyProtection="1">
      <alignment horizontal="left" vertical="center"/>
    </xf>
    <xf numFmtId="0" fontId="13" fillId="5" borderId="4" xfId="0" applyFont="1" applyFill="1" applyBorder="1" applyAlignment="1" applyProtection="1">
      <alignment horizontal="left"/>
    </xf>
    <xf numFmtId="0" fontId="13" fillId="5" borderId="37" xfId="0" applyFont="1" applyFill="1" applyBorder="1" applyAlignment="1" applyProtection="1">
      <alignment horizontal="left"/>
    </xf>
    <xf numFmtId="10" fontId="13" fillId="5" borderId="30" xfId="0" applyNumberFormat="1" applyFont="1" applyFill="1" applyBorder="1" applyAlignment="1" applyProtection="1">
      <alignment horizontal="left" vertical="center"/>
    </xf>
    <xf numFmtId="10" fontId="13" fillId="5" borderId="21" xfId="0" applyNumberFormat="1" applyFont="1" applyFill="1" applyBorder="1" applyAlignment="1" applyProtection="1">
      <alignment horizontal="left" vertical="center"/>
    </xf>
    <xf numFmtId="10" fontId="0" fillId="0" borderId="31" xfId="0" applyNumberFormat="1" applyBorder="1" applyAlignment="1" applyProtection="1">
      <alignment horizontal="left" vertical="center"/>
    </xf>
    <xf numFmtId="0" fontId="0" fillId="0" borderId="0" xfId="0" applyAlignment="1" applyProtection="1">
      <alignment horizontal="left" vertical="center" wrapText="1"/>
    </xf>
    <xf numFmtId="0" fontId="13" fillId="5" borderId="18" xfId="0" applyFont="1" applyFill="1" applyBorder="1" applyAlignment="1" applyProtection="1">
      <alignment horizontal="left" vertical="center"/>
    </xf>
    <xf numFmtId="0" fontId="3" fillId="5" borderId="81" xfId="0" applyFont="1" applyFill="1" applyBorder="1" applyAlignment="1" applyProtection="1">
      <alignment horizontal="left" vertical="center" wrapText="1"/>
    </xf>
    <xf numFmtId="0" fontId="3" fillId="5" borderId="85" xfId="0" applyFont="1" applyFill="1" applyBorder="1" applyAlignment="1" applyProtection="1">
      <alignment horizontal="left" vertical="center" wrapText="1"/>
    </xf>
    <xf numFmtId="0" fontId="3" fillId="5" borderId="82" xfId="0" applyFont="1" applyFill="1" applyBorder="1" applyAlignment="1" applyProtection="1">
      <alignment horizontal="left" vertical="center" wrapText="1"/>
    </xf>
    <xf numFmtId="0" fontId="9" fillId="13" borderId="6" xfId="0" applyFont="1" applyFill="1" applyBorder="1" applyAlignment="1" applyProtection="1">
      <alignment horizontal="center" vertical="center"/>
    </xf>
    <xf numFmtId="0" fontId="48" fillId="0" borderId="7" xfId="0" applyFont="1" applyFill="1" applyBorder="1" applyAlignment="1" applyProtection="1">
      <alignment horizontal="center" vertical="center" wrapText="1"/>
    </xf>
    <xf numFmtId="0" fontId="13" fillId="13" borderId="36" xfId="0" applyFont="1" applyFill="1" applyBorder="1" applyAlignment="1" applyProtection="1">
      <alignment horizontal="left"/>
    </xf>
    <xf numFmtId="0" fontId="13" fillId="13" borderId="37" xfId="0" applyFont="1" applyFill="1" applyBorder="1" applyAlignment="1" applyProtection="1">
      <alignment horizontal="left"/>
    </xf>
    <xf numFmtId="0" fontId="13" fillId="13" borderId="36" xfId="0" applyFont="1" applyFill="1" applyBorder="1" applyAlignment="1" applyProtection="1">
      <alignment horizontal="left" vertical="center"/>
    </xf>
    <xf numFmtId="0" fontId="13" fillId="13" borderId="37" xfId="0" applyFont="1" applyFill="1" applyBorder="1" applyAlignment="1" applyProtection="1">
      <alignment horizontal="left" vertical="center"/>
    </xf>
    <xf numFmtId="0" fontId="3" fillId="13" borderId="33" xfId="0" applyFont="1" applyFill="1" applyBorder="1" applyAlignment="1" applyProtection="1">
      <alignment horizontal="left" vertical="top" wrapText="1"/>
    </xf>
    <xf numFmtId="0" fontId="3" fillId="13" borderId="59" xfId="0" applyFont="1" applyFill="1" applyBorder="1" applyAlignment="1" applyProtection="1">
      <alignment horizontal="left" vertical="top" wrapText="1"/>
    </xf>
    <xf numFmtId="0" fontId="3" fillId="13" borderId="34" xfId="0" applyFont="1" applyFill="1" applyBorder="1" applyAlignment="1" applyProtection="1">
      <alignment horizontal="left" vertical="top" wrapText="1"/>
    </xf>
    <xf numFmtId="0" fontId="3" fillId="13" borderId="28" xfId="0" applyFont="1" applyFill="1" applyBorder="1" applyAlignment="1" applyProtection="1">
      <alignment horizontal="left" vertical="top" wrapText="1"/>
    </xf>
    <xf numFmtId="0" fontId="3" fillId="13" borderId="58" xfId="0" applyFont="1" applyFill="1" applyBorder="1" applyAlignment="1" applyProtection="1">
      <alignment horizontal="left" vertical="top" wrapText="1"/>
    </xf>
    <xf numFmtId="0" fontId="3" fillId="13" borderId="29" xfId="0" applyFont="1" applyFill="1" applyBorder="1" applyAlignment="1" applyProtection="1">
      <alignment horizontal="left" vertical="top" wrapText="1"/>
    </xf>
    <xf numFmtId="0" fontId="9" fillId="5" borderId="36" xfId="0" applyFont="1" applyFill="1" applyBorder="1" applyAlignment="1" applyProtection="1">
      <alignment horizontal="center" vertical="center"/>
    </xf>
    <xf numFmtId="0" fontId="9" fillId="5" borderId="2" xfId="0" applyFont="1" applyFill="1" applyBorder="1" applyAlignment="1" applyProtection="1">
      <alignment horizontal="center" vertical="center"/>
    </xf>
    <xf numFmtId="0" fontId="9" fillId="5" borderId="37" xfId="0" applyFont="1" applyFill="1" applyBorder="1" applyAlignment="1" applyProtection="1">
      <alignment horizontal="center" vertical="center"/>
    </xf>
    <xf numFmtId="0" fontId="50" fillId="13" borderId="33" xfId="0" applyFont="1" applyFill="1" applyBorder="1" applyAlignment="1" applyProtection="1">
      <alignment horizontal="justify" vertical="top" wrapText="1"/>
    </xf>
    <xf numFmtId="0" fontId="50" fillId="13" borderId="59" xfId="0" applyFont="1" applyFill="1" applyBorder="1" applyAlignment="1" applyProtection="1">
      <alignment horizontal="justify" vertical="top" wrapText="1"/>
    </xf>
    <xf numFmtId="0" fontId="50" fillId="13" borderId="34" xfId="0" applyFont="1" applyFill="1" applyBorder="1" applyAlignment="1" applyProtection="1">
      <alignment horizontal="justify" vertical="top" wrapText="1"/>
    </xf>
    <xf numFmtId="0" fontId="3" fillId="0" borderId="0" xfId="0" applyFont="1" applyFill="1" applyAlignment="1" applyProtection="1">
      <alignment horizontal="left" vertical="top" wrapText="1"/>
    </xf>
    <xf numFmtId="0" fontId="6" fillId="0" borderId="0" xfId="0" applyFont="1" applyFill="1" applyAlignment="1" applyProtection="1">
      <alignment horizontal="left" vertical="top" wrapText="1"/>
    </xf>
    <xf numFmtId="0" fontId="0" fillId="0" borderId="29" xfId="0" applyBorder="1" applyAlignment="1" applyProtection="1">
      <alignment horizontal="left" vertical="center"/>
    </xf>
    <xf numFmtId="0" fontId="0" fillId="0" borderId="31" xfId="0" applyBorder="1" applyAlignment="1" applyProtection="1">
      <alignment horizontal="left" vertical="center"/>
    </xf>
    <xf numFmtId="0" fontId="7" fillId="0" borderId="0" xfId="0" applyFont="1" applyFill="1" applyAlignment="1" applyProtection="1">
      <alignment horizontal="left" vertical="center"/>
    </xf>
    <xf numFmtId="0" fontId="3" fillId="5" borderId="36" xfId="0" applyFont="1" applyFill="1" applyBorder="1" applyAlignment="1" applyProtection="1">
      <alignment horizontal="left" vertical="center" wrapText="1"/>
    </xf>
    <xf numFmtId="0" fontId="3" fillId="5" borderId="2" xfId="0" applyFont="1" applyFill="1" applyBorder="1" applyAlignment="1" applyProtection="1">
      <alignment horizontal="left" vertical="center" wrapText="1"/>
    </xf>
    <xf numFmtId="0" fontId="3" fillId="5" borderId="37" xfId="0" applyFont="1" applyFill="1" applyBorder="1" applyAlignment="1" applyProtection="1">
      <alignment horizontal="left" vertical="center" wrapText="1"/>
    </xf>
    <xf numFmtId="0" fontId="3" fillId="0" borderId="0" xfId="0" applyFont="1" applyFill="1" applyAlignment="1" applyProtection="1">
      <alignment horizontal="justify" vertical="top" wrapText="1"/>
    </xf>
    <xf numFmtId="0" fontId="13" fillId="5" borderId="36" xfId="0" applyFont="1" applyFill="1" applyBorder="1" applyAlignment="1" applyProtection="1">
      <alignment horizontal="center" vertical="top"/>
    </xf>
    <xf numFmtId="0" fontId="13" fillId="5" borderId="37" xfId="0" applyFont="1" applyFill="1" applyBorder="1" applyAlignment="1" applyProtection="1">
      <alignment horizontal="center" vertical="top"/>
    </xf>
    <xf numFmtId="175" fontId="13" fillId="5" borderId="36" xfId="0" applyNumberFormat="1" applyFont="1" applyFill="1" applyBorder="1" applyAlignment="1" applyProtection="1">
      <alignment horizontal="left" vertical="center"/>
    </xf>
    <xf numFmtId="175" fontId="13" fillId="5" borderId="2" xfId="0" applyNumberFormat="1" applyFont="1" applyFill="1" applyBorder="1" applyAlignment="1" applyProtection="1">
      <alignment horizontal="left" vertical="center"/>
    </xf>
    <xf numFmtId="175" fontId="13" fillId="5" borderId="37" xfId="0" applyNumberFormat="1" applyFont="1" applyFill="1" applyBorder="1" applyAlignment="1" applyProtection="1">
      <alignment horizontal="left" vertical="center"/>
    </xf>
    <xf numFmtId="0" fontId="3" fillId="5" borderId="33" xfId="0" applyFont="1" applyFill="1" applyBorder="1" applyAlignment="1" applyProtection="1">
      <alignment horizontal="left" vertical="top" wrapText="1"/>
    </xf>
    <xf numFmtId="0" fontId="3" fillId="5" borderId="59" xfId="0" applyFont="1" applyFill="1" applyBorder="1" applyAlignment="1" applyProtection="1">
      <alignment horizontal="left" vertical="top" wrapText="1"/>
    </xf>
    <xf numFmtId="0" fontId="3" fillId="5" borderId="34" xfId="0" applyFont="1" applyFill="1" applyBorder="1" applyAlignment="1" applyProtection="1">
      <alignment horizontal="left" vertical="top" wrapText="1"/>
    </xf>
    <xf numFmtId="0" fontId="13" fillId="5" borderId="83" xfId="0" applyFont="1" applyFill="1" applyBorder="1" applyAlignment="1" applyProtection="1">
      <alignment horizontal="left" vertical="center"/>
    </xf>
    <xf numFmtId="0" fontId="13" fillId="5" borderId="84" xfId="0" applyFont="1" applyFill="1" applyBorder="1" applyAlignment="1" applyProtection="1">
      <alignment horizontal="left" vertical="center"/>
    </xf>
    <xf numFmtId="0" fontId="50" fillId="10" borderId="81" xfId="0" applyFont="1" applyFill="1" applyBorder="1" applyAlignment="1" applyProtection="1">
      <alignment horizontal="center"/>
    </xf>
    <xf numFmtId="0" fontId="50" fillId="10" borderId="85" xfId="0" applyFont="1" applyFill="1" applyBorder="1" applyAlignment="1" applyProtection="1">
      <alignment horizontal="center"/>
    </xf>
    <xf numFmtId="0" fontId="50" fillId="10" borderId="82" xfId="0" applyFont="1" applyFill="1" applyBorder="1" applyAlignment="1" applyProtection="1">
      <alignment horizontal="center"/>
    </xf>
    <xf numFmtId="0" fontId="13" fillId="5" borderId="14" xfId="0" applyFont="1" applyFill="1" applyBorder="1" applyAlignment="1" applyProtection="1">
      <alignment horizontal="left" vertical="center"/>
    </xf>
    <xf numFmtId="0" fontId="3" fillId="0" borderId="0" xfId="0" applyFont="1" applyFill="1" applyBorder="1" applyAlignment="1" applyProtection="1">
      <alignment horizontal="justify" vertical="top" wrapText="1"/>
    </xf>
    <xf numFmtId="0" fontId="3" fillId="0" borderId="0" xfId="0" applyFont="1" applyFill="1" applyBorder="1" applyAlignment="1" applyProtection="1">
      <alignment horizontal="justify" vertical="center" wrapText="1"/>
    </xf>
    <xf numFmtId="0" fontId="18" fillId="5" borderId="81" xfId="0" applyFont="1" applyFill="1" applyBorder="1" applyAlignment="1" applyProtection="1">
      <alignment horizontal="left"/>
    </xf>
    <xf numFmtId="0" fontId="18" fillId="5" borderId="85" xfId="0" applyFont="1" applyFill="1" applyBorder="1" applyAlignment="1" applyProtection="1">
      <alignment horizontal="left"/>
    </xf>
    <xf numFmtId="0" fontId="18" fillId="5" borderId="82" xfId="0" applyFont="1" applyFill="1" applyBorder="1" applyAlignment="1" applyProtection="1">
      <alignment horizontal="left"/>
    </xf>
    <xf numFmtId="175" fontId="13" fillId="13" borderId="36" xfId="0" applyNumberFormat="1" applyFont="1" applyFill="1" applyBorder="1" applyAlignment="1" applyProtection="1">
      <alignment horizontal="left" vertical="center"/>
    </xf>
    <xf numFmtId="175" fontId="13" fillId="13" borderId="37" xfId="0" applyNumberFormat="1" applyFont="1" applyFill="1" applyBorder="1" applyAlignment="1" applyProtection="1">
      <alignment horizontal="left" vertical="center"/>
    </xf>
    <xf numFmtId="0" fontId="3" fillId="13" borderId="81" xfId="0" applyFont="1" applyFill="1" applyBorder="1" applyAlignment="1" applyProtection="1">
      <alignment horizontal="left" vertical="top" wrapText="1"/>
    </xf>
    <xf numFmtId="0" fontId="3" fillId="13" borderId="85" xfId="0" applyFont="1" applyFill="1" applyBorder="1" applyAlignment="1" applyProtection="1">
      <alignment horizontal="left" vertical="top" wrapText="1"/>
    </xf>
    <xf numFmtId="0" fontId="3" fillId="13" borderId="82" xfId="0" applyFont="1" applyFill="1" applyBorder="1" applyAlignment="1" applyProtection="1">
      <alignment horizontal="left" vertical="top" wrapText="1"/>
    </xf>
    <xf numFmtId="0" fontId="9" fillId="13" borderId="9" xfId="0" applyFont="1" applyFill="1" applyBorder="1" applyAlignment="1" applyProtection="1">
      <alignment horizontal="center" vertical="center"/>
    </xf>
    <xf numFmtId="0" fontId="9" fillId="13" borderId="14" xfId="0" applyFont="1" applyFill="1" applyBorder="1" applyAlignment="1" applyProtection="1">
      <alignment horizontal="center" vertical="center"/>
    </xf>
    <xf numFmtId="0" fontId="3" fillId="5" borderId="28" xfId="0" applyFont="1" applyFill="1" applyBorder="1" applyAlignment="1" applyProtection="1">
      <alignment horizontal="left" vertical="top" wrapText="1"/>
    </xf>
    <xf numFmtId="0" fontId="3" fillId="5" borderId="58" xfId="0" applyFont="1" applyFill="1" applyBorder="1" applyAlignment="1" applyProtection="1">
      <alignment horizontal="left" vertical="top" wrapText="1"/>
    </xf>
    <xf numFmtId="0" fontId="3" fillId="5" borderId="29" xfId="0" applyFont="1" applyFill="1" applyBorder="1" applyAlignment="1" applyProtection="1">
      <alignment horizontal="left" vertical="top" wrapText="1"/>
    </xf>
    <xf numFmtId="10" fontId="13" fillId="5" borderId="33" xfId="0" applyNumberFormat="1" applyFont="1" applyFill="1" applyBorder="1" applyAlignment="1" applyProtection="1">
      <alignment horizontal="left" vertical="center"/>
    </xf>
    <xf numFmtId="10" fontId="13" fillId="5" borderId="59" xfId="0" applyNumberFormat="1" applyFont="1" applyFill="1" applyBorder="1" applyAlignment="1" applyProtection="1">
      <alignment horizontal="left" vertical="center"/>
    </xf>
    <xf numFmtId="10" fontId="0" fillId="0" borderId="34" xfId="0" applyNumberFormat="1" applyBorder="1" applyAlignment="1" applyProtection="1">
      <alignment horizontal="left" vertical="center"/>
    </xf>
    <xf numFmtId="176" fontId="20" fillId="10" borderId="81" xfId="0" applyNumberFormat="1" applyFont="1" applyFill="1" applyBorder="1" applyAlignment="1" applyProtection="1">
      <alignment horizontal="center"/>
    </xf>
    <xf numFmtId="176" fontId="20" fillId="10" borderId="82" xfId="0" applyNumberFormat="1" applyFont="1" applyFill="1" applyBorder="1" applyAlignment="1" applyProtection="1">
      <alignment horizontal="center"/>
    </xf>
    <xf numFmtId="0" fontId="13" fillId="5" borderId="81" xfId="0" applyFont="1" applyFill="1" applyBorder="1" applyAlignment="1" applyProtection="1">
      <alignment horizontal="center"/>
    </xf>
    <xf numFmtId="0" fontId="13" fillId="5" borderId="85" xfId="0" applyFont="1" applyFill="1" applyBorder="1" applyAlignment="1" applyProtection="1">
      <alignment horizontal="center"/>
    </xf>
    <xf numFmtId="0" fontId="13" fillId="5" borderId="82" xfId="0" applyFont="1" applyFill="1" applyBorder="1" applyAlignment="1" applyProtection="1">
      <alignment horizontal="center"/>
    </xf>
    <xf numFmtId="0" fontId="13" fillId="0" borderId="0" xfId="0" applyFont="1" applyFill="1" applyBorder="1" applyAlignment="1" applyProtection="1">
      <alignment horizontal="left" vertical="top" wrapText="1"/>
    </xf>
    <xf numFmtId="0" fontId="3" fillId="5" borderId="28" xfId="0" applyFont="1" applyFill="1" applyBorder="1" applyAlignment="1" applyProtection="1">
      <alignment vertical="top" wrapText="1"/>
    </xf>
    <xf numFmtId="0" fontId="0" fillId="0" borderId="58" xfId="0" applyBorder="1" applyAlignment="1" applyProtection="1">
      <alignment vertical="top" wrapText="1"/>
    </xf>
    <xf numFmtId="0" fontId="0" fillId="0" borderId="29" xfId="0" applyBorder="1" applyAlignment="1" applyProtection="1">
      <alignment vertical="top" wrapText="1"/>
    </xf>
    <xf numFmtId="0" fontId="116" fillId="0" borderId="0" xfId="0" applyFont="1" applyFill="1" applyAlignment="1" applyProtection="1">
      <alignment horizontal="justify" vertical="top" wrapText="1"/>
    </xf>
    <xf numFmtId="0" fontId="13" fillId="13" borderId="36" xfId="0" applyFont="1" applyFill="1" applyBorder="1" applyAlignment="1" applyProtection="1">
      <alignment horizontal="center" vertical="top"/>
    </xf>
    <xf numFmtId="0" fontId="13" fillId="13" borderId="37" xfId="0" applyFont="1" applyFill="1" applyBorder="1" applyAlignment="1" applyProtection="1">
      <alignment horizontal="center" vertical="top"/>
    </xf>
    <xf numFmtId="0" fontId="50" fillId="0" borderId="88" xfId="0" applyFont="1" applyFill="1" applyBorder="1" applyAlignment="1" applyProtection="1">
      <alignment horizontal="center" vertical="center" wrapText="1"/>
    </xf>
    <xf numFmtId="0" fontId="50" fillId="0" borderId="0" xfId="0" applyFont="1" applyFill="1" applyAlignment="1" applyProtection="1">
      <alignment horizontal="center" vertical="center" wrapText="1"/>
    </xf>
    <xf numFmtId="0" fontId="3" fillId="0" borderId="7" xfId="0" applyFont="1" applyBorder="1" applyAlignment="1" applyProtection="1">
      <alignment horizontal="center" vertical="center"/>
    </xf>
    <xf numFmtId="0" fontId="3" fillId="0" borderId="0" xfId="0" applyFont="1" applyAlignment="1" applyProtection="1">
      <alignment horizontal="center" vertical="center"/>
    </xf>
    <xf numFmtId="0" fontId="3" fillId="0" borderId="8" xfId="0" applyFont="1" applyBorder="1" applyAlignment="1" applyProtection="1">
      <alignment horizontal="center" vertical="center"/>
    </xf>
    <xf numFmtId="0" fontId="13" fillId="0" borderId="0" xfId="0" applyFont="1" applyFill="1" applyBorder="1" applyAlignment="1" applyProtection="1">
      <alignment horizontal="left" vertical="center" wrapText="1"/>
    </xf>
    <xf numFmtId="0" fontId="0" fillId="0" borderId="59" xfId="0" applyBorder="1" applyAlignment="1" applyProtection="1">
      <alignment horizontal="left" vertical="top" wrapText="1"/>
    </xf>
    <xf numFmtId="0" fontId="0" fillId="0" borderId="34" xfId="0" applyBorder="1" applyAlignment="1" applyProtection="1">
      <alignment horizontal="left" vertical="top" wrapText="1"/>
    </xf>
    <xf numFmtId="0" fontId="0" fillId="0" borderId="0" xfId="0" applyAlignment="1" applyProtection="1">
      <alignment horizontal="left" vertical="top" wrapText="1"/>
    </xf>
    <xf numFmtId="0" fontId="0" fillId="0" borderId="8" xfId="0" applyBorder="1" applyAlignment="1" applyProtection="1">
      <alignment horizontal="left" vertical="top" wrapText="1"/>
    </xf>
    <xf numFmtId="0" fontId="18" fillId="13" borderId="81" xfId="0" applyFont="1" applyFill="1" applyBorder="1" applyAlignment="1" applyProtection="1">
      <alignment horizontal="left"/>
    </xf>
    <xf numFmtId="0" fontId="18" fillId="13" borderId="85" xfId="0" applyFont="1" applyFill="1" applyBorder="1" applyAlignment="1" applyProtection="1">
      <alignment horizontal="left"/>
    </xf>
    <xf numFmtId="0" fontId="18" fillId="13" borderId="82" xfId="0" applyFont="1" applyFill="1" applyBorder="1" applyAlignment="1" applyProtection="1">
      <alignment horizontal="left"/>
    </xf>
    <xf numFmtId="0" fontId="3" fillId="5" borderId="81" xfId="0" applyFont="1" applyFill="1" applyBorder="1" applyAlignment="1" applyProtection="1">
      <alignment horizontal="left"/>
    </xf>
    <xf numFmtId="0" fontId="6" fillId="5" borderId="85" xfId="0" applyFont="1" applyFill="1" applyBorder="1" applyAlignment="1" applyProtection="1">
      <alignment horizontal="left"/>
    </xf>
    <xf numFmtId="0" fontId="6" fillId="5" borderId="82" xfId="0" applyFont="1" applyFill="1" applyBorder="1" applyAlignment="1" applyProtection="1">
      <alignment horizontal="left"/>
    </xf>
    <xf numFmtId="0" fontId="3" fillId="0" borderId="33" xfId="0" applyFont="1" applyFill="1" applyBorder="1" applyAlignment="1" applyProtection="1">
      <alignment horizontal="left"/>
    </xf>
    <xf numFmtId="0" fontId="0" fillId="0" borderId="59" xfId="0" applyBorder="1" applyProtection="1"/>
    <xf numFmtId="0" fontId="0" fillId="0" borderId="34" xfId="0" applyBorder="1" applyProtection="1"/>
    <xf numFmtId="0" fontId="3" fillId="0" borderId="30" xfId="0" applyFont="1" applyFill="1" applyBorder="1" applyAlignment="1" applyProtection="1">
      <alignment horizontal="left"/>
    </xf>
    <xf numFmtId="0" fontId="3" fillId="0" borderId="21" xfId="0" applyFont="1" applyFill="1" applyBorder="1" applyAlignment="1" applyProtection="1">
      <alignment horizontal="left"/>
    </xf>
    <xf numFmtId="0" fontId="3" fillId="0" borderId="31" xfId="0" applyFont="1" applyFill="1" applyBorder="1" applyAlignment="1" applyProtection="1">
      <alignment horizontal="left"/>
    </xf>
    <xf numFmtId="0" fontId="3" fillId="0" borderId="28" xfId="0" applyFont="1" applyFill="1" applyBorder="1" applyAlignment="1" applyProtection="1">
      <alignment horizontal="left"/>
    </xf>
    <xf numFmtId="0" fontId="3" fillId="0" borderId="58" xfId="0" applyFont="1" applyFill="1" applyBorder="1" applyAlignment="1" applyProtection="1">
      <alignment horizontal="left"/>
    </xf>
    <xf numFmtId="0" fontId="3" fillId="0" borderId="29" xfId="0" applyFont="1" applyFill="1" applyBorder="1" applyAlignment="1" applyProtection="1">
      <alignment horizontal="left"/>
    </xf>
    <xf numFmtId="0" fontId="3" fillId="0" borderId="28" xfId="0" applyFont="1" applyFill="1" applyBorder="1" applyAlignment="1" applyProtection="1">
      <alignment horizontal="center"/>
    </xf>
    <xf numFmtId="0" fontId="3" fillId="0" borderId="58" xfId="0" applyFont="1" applyFill="1" applyBorder="1" applyAlignment="1" applyProtection="1">
      <alignment horizontal="center"/>
    </xf>
    <xf numFmtId="0" fontId="3" fillId="0" borderId="89" xfId="0" applyFont="1" applyFill="1" applyBorder="1" applyAlignment="1" applyProtection="1">
      <alignment horizontal="center" vertical="center"/>
    </xf>
    <xf numFmtId="0" fontId="3" fillId="0" borderId="30" xfId="0" applyFont="1" applyFill="1" applyBorder="1" applyAlignment="1" applyProtection="1">
      <alignment horizontal="center"/>
    </xf>
    <xf numFmtId="0" fontId="3" fillId="0" borderId="21" xfId="0" applyFont="1" applyFill="1" applyBorder="1" applyAlignment="1" applyProtection="1">
      <alignment horizontal="center"/>
    </xf>
    <xf numFmtId="0" fontId="9" fillId="0" borderId="96" xfId="0" applyFont="1" applyFill="1" applyBorder="1" applyAlignment="1" applyProtection="1">
      <alignment horizontal="center"/>
    </xf>
    <xf numFmtId="0" fontId="9" fillId="0" borderId="79" xfId="0" applyFont="1" applyFill="1" applyBorder="1" applyAlignment="1" applyProtection="1">
      <alignment horizontal="center"/>
    </xf>
    <xf numFmtId="0" fontId="3" fillId="0" borderId="33" xfId="0" applyFont="1" applyFill="1" applyBorder="1" applyAlignment="1" applyProtection="1">
      <alignment horizontal="center"/>
    </xf>
    <xf numFmtId="0" fontId="3" fillId="0" borderId="59" xfId="0" applyFont="1" applyFill="1" applyBorder="1" applyAlignment="1" applyProtection="1">
      <alignment horizontal="center"/>
    </xf>
    <xf numFmtId="0" fontId="3" fillId="0" borderId="19" xfId="0" applyFont="1" applyFill="1" applyBorder="1" applyAlignment="1" applyProtection="1">
      <alignment horizontal="justify" wrapText="1"/>
    </xf>
    <xf numFmtId="0" fontId="3" fillId="0" borderId="0" xfId="0" applyFont="1" applyFill="1" applyAlignment="1" applyProtection="1">
      <alignment vertical="center" wrapText="1"/>
    </xf>
    <xf numFmtId="0" fontId="0" fillId="0" borderId="0" xfId="0" applyAlignment="1" applyProtection="1">
      <alignment vertical="center" wrapText="1"/>
    </xf>
    <xf numFmtId="0" fontId="3" fillId="10" borderId="81" xfId="0" applyFont="1" applyFill="1" applyBorder="1" applyAlignment="1" applyProtection="1">
      <alignment horizontal="left" vertical="top"/>
    </xf>
    <xf numFmtId="0" fontId="3" fillId="10" borderId="85" xfId="0" applyFont="1" applyFill="1" applyBorder="1" applyAlignment="1" applyProtection="1">
      <alignment horizontal="left" vertical="top"/>
    </xf>
    <xf numFmtId="0" fontId="3" fillId="10" borderId="82" xfId="0" applyFont="1" applyFill="1" applyBorder="1" applyAlignment="1" applyProtection="1">
      <alignment horizontal="left" vertical="top"/>
    </xf>
    <xf numFmtId="0" fontId="7" fillId="13" borderId="16" xfId="0" applyFont="1" applyFill="1" applyBorder="1" applyAlignment="1" applyProtection="1">
      <alignment horizontal="center" vertical="top"/>
    </xf>
    <xf numFmtId="0" fontId="7" fillId="13" borderId="18" xfId="0" applyFont="1" applyFill="1" applyBorder="1" applyAlignment="1" applyProtection="1">
      <alignment horizontal="center" vertical="top"/>
    </xf>
    <xf numFmtId="0" fontId="105" fillId="0" borderId="89" xfId="0" applyFont="1" applyFill="1" applyBorder="1" applyAlignment="1" applyProtection="1">
      <alignment horizontal="center" vertical="center" wrapText="1"/>
    </xf>
    <xf numFmtId="0" fontId="3" fillId="0" borderId="0" xfId="0" applyFont="1" applyFill="1" applyBorder="1" applyAlignment="1" applyProtection="1">
      <alignment horizontal="left"/>
    </xf>
    <xf numFmtId="3" fontId="3" fillId="0" borderId="38" xfId="0" applyNumberFormat="1" applyFont="1" applyBorder="1" applyAlignment="1" applyProtection="1">
      <alignment horizontal="center" vertical="center" wrapText="1"/>
    </xf>
    <xf numFmtId="0" fontId="3" fillId="0" borderId="94" xfId="0" applyFont="1" applyBorder="1" applyAlignment="1" applyProtection="1">
      <alignment horizontal="center" vertical="top" wrapText="1"/>
    </xf>
    <xf numFmtId="0" fontId="13" fillId="0" borderId="93" xfId="0" applyFont="1" applyBorder="1" applyAlignment="1" applyProtection="1">
      <alignment horizontal="center" vertical="top" wrapText="1"/>
    </xf>
    <xf numFmtId="0" fontId="3" fillId="10" borderId="81" xfId="0" applyFont="1" applyFill="1" applyBorder="1" applyAlignment="1" applyProtection="1">
      <alignment horizontal="left" vertical="center" wrapText="1"/>
    </xf>
    <xf numFmtId="0" fontId="3" fillId="10" borderId="85" xfId="0" applyFont="1" applyFill="1" applyBorder="1" applyAlignment="1" applyProtection="1">
      <alignment horizontal="left" vertical="center" wrapText="1"/>
    </xf>
    <xf numFmtId="0" fontId="3" fillId="10" borderId="82" xfId="0" applyFont="1" applyFill="1" applyBorder="1" applyAlignment="1" applyProtection="1">
      <alignment horizontal="left" vertical="center" wrapText="1"/>
    </xf>
    <xf numFmtId="0" fontId="3" fillId="0" borderId="0" xfId="0" applyFont="1" applyFill="1" applyAlignment="1" applyProtection="1">
      <alignment horizontal="center" vertical="center"/>
    </xf>
    <xf numFmtId="0" fontId="3" fillId="0" borderId="29" xfId="0" applyFont="1" applyFill="1" applyBorder="1" applyAlignment="1" applyProtection="1">
      <alignment horizontal="center"/>
    </xf>
    <xf numFmtId="0" fontId="3" fillId="0" borderId="31" xfId="0" applyFont="1" applyFill="1" applyBorder="1" applyAlignment="1" applyProtection="1">
      <alignment horizontal="center"/>
    </xf>
    <xf numFmtId="0" fontId="3" fillId="0" borderId="34" xfId="0" applyFont="1" applyFill="1" applyBorder="1" applyAlignment="1" applyProtection="1">
      <alignment horizontal="center"/>
    </xf>
    <xf numFmtId="0" fontId="3" fillId="0" borderId="87" xfId="0" applyFont="1" applyFill="1" applyBorder="1" applyAlignment="1" applyProtection="1">
      <alignment horizontal="center" vertical="center"/>
    </xf>
    <xf numFmtId="0" fontId="3" fillId="0" borderId="11" xfId="0" applyFont="1" applyFill="1" applyBorder="1" applyAlignment="1" applyProtection="1">
      <alignment horizontal="center" vertical="center"/>
    </xf>
    <xf numFmtId="0" fontId="3" fillId="0" borderId="12" xfId="0" applyFont="1" applyFill="1" applyBorder="1" applyAlignment="1" applyProtection="1">
      <alignment horizontal="center" vertical="center"/>
    </xf>
    <xf numFmtId="0" fontId="9" fillId="0" borderId="44" xfId="0" applyFont="1" applyFill="1" applyBorder="1" applyAlignment="1" applyProtection="1">
      <alignment horizontal="center"/>
    </xf>
    <xf numFmtId="0" fontId="9" fillId="0" borderId="39" xfId="0" applyFont="1" applyFill="1" applyBorder="1" applyAlignment="1" applyProtection="1">
      <alignment horizontal="center"/>
    </xf>
    <xf numFmtId="0" fontId="50" fillId="13" borderId="51" xfId="0" applyFont="1" applyFill="1" applyBorder="1" applyAlignment="1" applyProtection="1">
      <alignment horizontal="left" vertical="top" wrapText="1"/>
    </xf>
    <xf numFmtId="0" fontId="50" fillId="13" borderId="38" xfId="0" applyFont="1" applyFill="1" applyBorder="1" applyAlignment="1" applyProtection="1">
      <alignment horizontal="left" vertical="top" wrapText="1"/>
    </xf>
    <xf numFmtId="0" fontId="50" fillId="13" borderId="30" xfId="0" applyFont="1" applyFill="1" applyBorder="1" applyAlignment="1" applyProtection="1">
      <alignment horizontal="left" vertical="top" wrapText="1"/>
    </xf>
    <xf numFmtId="0" fontId="0" fillId="13" borderId="21" xfId="0" applyFill="1" applyBorder="1" applyProtection="1"/>
    <xf numFmtId="0" fontId="0" fillId="13" borderId="77" xfId="0" applyFill="1" applyBorder="1" applyProtection="1"/>
    <xf numFmtId="0" fontId="50" fillId="13" borderId="52" xfId="0" applyFont="1" applyFill="1" applyBorder="1" applyAlignment="1" applyProtection="1">
      <alignment horizontal="left" vertical="top" wrapText="1"/>
    </xf>
    <xf numFmtId="0" fontId="50" fillId="13" borderId="53" xfId="0" applyFont="1" applyFill="1" applyBorder="1" applyAlignment="1" applyProtection="1">
      <alignment horizontal="left" vertical="top" wrapText="1"/>
    </xf>
    <xf numFmtId="0" fontId="50" fillId="13" borderId="28" xfId="0" applyFont="1" applyFill="1" applyBorder="1" applyAlignment="1" applyProtection="1">
      <alignment horizontal="left" vertical="top" wrapText="1"/>
    </xf>
    <xf numFmtId="0" fontId="0" fillId="13" borderId="58" xfId="0" applyFill="1" applyBorder="1" applyProtection="1"/>
    <xf numFmtId="0" fontId="0" fillId="13" borderId="78" xfId="0" applyFill="1" applyBorder="1" applyProtection="1"/>
    <xf numFmtId="0" fontId="13" fillId="0" borderId="13" xfId="0" applyFont="1" applyFill="1" applyBorder="1" applyAlignment="1" applyProtection="1">
      <alignment horizontal="left" vertical="center"/>
    </xf>
    <xf numFmtId="0" fontId="13" fillId="0" borderId="9" xfId="0" applyFont="1" applyFill="1" applyBorder="1" applyAlignment="1" applyProtection="1">
      <alignment horizontal="left" vertical="center"/>
    </xf>
    <xf numFmtId="0" fontId="50" fillId="13" borderId="49" xfId="0" applyFont="1" applyFill="1" applyBorder="1" applyAlignment="1" applyProtection="1">
      <alignment horizontal="left" vertical="top" wrapText="1"/>
    </xf>
    <xf numFmtId="0" fontId="50" fillId="13" borderId="50" xfId="0" applyFont="1" applyFill="1" applyBorder="1" applyAlignment="1" applyProtection="1">
      <alignment horizontal="left" vertical="top" wrapText="1"/>
    </xf>
    <xf numFmtId="0" fontId="3" fillId="0" borderId="13" xfId="0" applyFont="1" applyFill="1" applyBorder="1" applyAlignment="1" applyProtection="1">
      <alignment horizontal="center"/>
    </xf>
    <xf numFmtId="0" fontId="9" fillId="0" borderId="0" xfId="0" applyFont="1" applyFill="1" applyAlignment="1" applyProtection="1">
      <alignment horizontal="left" vertical="top" wrapText="1"/>
    </xf>
    <xf numFmtId="0" fontId="50" fillId="13" borderId="33" xfId="0" applyFont="1" applyFill="1" applyBorder="1" applyAlignment="1" applyProtection="1">
      <alignment horizontal="left" vertical="top" wrapText="1"/>
    </xf>
    <xf numFmtId="0" fontId="0" fillId="13" borderId="59" xfId="0" applyFill="1" applyBorder="1" applyProtection="1"/>
    <xf numFmtId="0" fontId="0" fillId="13" borderId="79" xfId="0" applyFill="1" applyBorder="1" applyProtection="1"/>
    <xf numFmtId="0" fontId="50" fillId="5" borderId="36" xfId="0" applyFont="1" applyFill="1" applyBorder="1" applyAlignment="1" applyProtection="1">
      <alignment horizontal="left" vertical="top" wrapText="1"/>
    </xf>
    <xf numFmtId="0" fontId="50" fillId="5" borderId="2" xfId="0" applyFont="1" applyFill="1" applyBorder="1" applyAlignment="1" applyProtection="1">
      <alignment horizontal="left" vertical="top" wrapText="1"/>
    </xf>
    <xf numFmtId="0" fontId="50" fillId="5" borderId="37" xfId="0" applyFont="1" applyFill="1" applyBorder="1" applyAlignment="1" applyProtection="1">
      <alignment horizontal="left" vertical="top" wrapText="1"/>
    </xf>
    <xf numFmtId="0" fontId="3" fillId="0" borderId="0" xfId="0" applyFont="1" applyBorder="1" applyAlignment="1" applyProtection="1">
      <alignment horizontal="left" vertical="top" wrapText="1"/>
    </xf>
    <xf numFmtId="0" fontId="50" fillId="10" borderId="81" xfId="0" applyFont="1" applyFill="1" applyBorder="1" applyAlignment="1" applyProtection="1">
      <alignment horizontal="left"/>
    </xf>
    <xf numFmtId="0" fontId="50" fillId="10" borderId="82" xfId="0" applyFont="1" applyFill="1" applyBorder="1" applyAlignment="1" applyProtection="1">
      <alignment horizontal="left"/>
    </xf>
    <xf numFmtId="0" fontId="50" fillId="13" borderId="36" xfId="0" applyFont="1" applyFill="1" applyBorder="1" applyAlignment="1" applyProtection="1">
      <alignment horizontal="left" vertical="top" wrapText="1"/>
    </xf>
    <xf numFmtId="0" fontId="50" fillId="13" borderId="2" xfId="0" applyFont="1" applyFill="1" applyBorder="1" applyAlignment="1" applyProtection="1">
      <alignment horizontal="left" vertical="top" wrapText="1"/>
    </xf>
    <xf numFmtId="0" fontId="50" fillId="13" borderId="37" xfId="0" applyFont="1" applyFill="1" applyBorder="1" applyAlignment="1" applyProtection="1">
      <alignment horizontal="left" vertical="top" wrapText="1"/>
    </xf>
    <xf numFmtId="0" fontId="6" fillId="5" borderId="36" xfId="0" applyFont="1" applyFill="1" applyBorder="1" applyAlignment="1" applyProtection="1">
      <alignment horizontal="center" vertical="center"/>
    </xf>
    <xf numFmtId="0" fontId="6" fillId="5" borderId="2" xfId="0" applyFont="1" applyFill="1" applyBorder="1" applyAlignment="1" applyProtection="1">
      <alignment horizontal="center" vertical="center"/>
    </xf>
    <xf numFmtId="0" fontId="6" fillId="5" borderId="37" xfId="0" applyFont="1" applyFill="1" applyBorder="1" applyAlignment="1" applyProtection="1">
      <alignment horizontal="center" vertical="center"/>
    </xf>
    <xf numFmtId="0" fontId="125" fillId="5" borderId="81" xfId="0" applyFont="1" applyFill="1" applyBorder="1" applyAlignment="1" applyProtection="1">
      <alignment horizontal="center" vertical="center"/>
    </xf>
    <xf numFmtId="0" fontId="125" fillId="5" borderId="85" xfId="0" applyFont="1" applyFill="1" applyBorder="1" applyAlignment="1" applyProtection="1">
      <alignment horizontal="center" vertical="center"/>
    </xf>
    <xf numFmtId="0" fontId="125" fillId="5" borderId="82" xfId="0" applyFont="1" applyFill="1" applyBorder="1" applyAlignment="1" applyProtection="1">
      <alignment horizontal="center" vertical="center"/>
    </xf>
    <xf numFmtId="176" fontId="49" fillId="5" borderId="81" xfId="0" applyNumberFormat="1" applyFont="1" applyFill="1" applyBorder="1" applyAlignment="1" applyProtection="1">
      <alignment horizontal="left" vertical="center"/>
    </xf>
    <xf numFmtId="176" fontId="49" fillId="5" borderId="82" xfId="0" applyNumberFormat="1" applyFont="1" applyFill="1" applyBorder="1" applyAlignment="1" applyProtection="1">
      <alignment horizontal="left" vertical="center"/>
    </xf>
    <xf numFmtId="0" fontId="50" fillId="5" borderId="81" xfId="0" applyFont="1" applyFill="1" applyBorder="1" applyAlignment="1" applyProtection="1">
      <alignment horizontal="left" vertical="center" wrapText="1"/>
    </xf>
    <xf numFmtId="0" fontId="50" fillId="5" borderId="85" xfId="0" applyFont="1" applyFill="1" applyBorder="1" applyAlignment="1" applyProtection="1">
      <alignment horizontal="left" vertical="center" wrapText="1"/>
    </xf>
    <xf numFmtId="0" fontId="50" fillId="5" borderId="82" xfId="0" applyFont="1" applyFill="1" applyBorder="1" applyAlignment="1" applyProtection="1">
      <alignment horizontal="left" vertical="center" wrapText="1"/>
    </xf>
    <xf numFmtId="0" fontId="6" fillId="5" borderId="36" xfId="0" applyFont="1" applyFill="1" applyBorder="1" applyAlignment="1" applyProtection="1">
      <alignment horizontal="left" vertical="center"/>
    </xf>
    <xf numFmtId="0" fontId="6" fillId="5" borderId="2" xfId="0" applyFont="1" applyFill="1" applyBorder="1" applyAlignment="1" applyProtection="1">
      <alignment horizontal="left" vertical="center"/>
    </xf>
    <xf numFmtId="0" fontId="6" fillId="5" borderId="37" xfId="0" applyFont="1" applyFill="1" applyBorder="1" applyAlignment="1" applyProtection="1">
      <alignment horizontal="left" vertical="center"/>
    </xf>
    <xf numFmtId="0" fontId="57" fillId="0" borderId="5" xfId="0" applyFont="1" applyBorder="1" applyAlignment="1" applyProtection="1">
      <alignment horizontal="center" wrapText="1"/>
    </xf>
    <xf numFmtId="0" fontId="57" fillId="0" borderId="0" xfId="0" applyFont="1" applyAlignment="1" applyProtection="1">
      <alignment horizontal="center" wrapText="1"/>
    </xf>
    <xf numFmtId="0" fontId="49" fillId="5" borderId="85" xfId="0" applyFont="1" applyFill="1" applyBorder="1" applyAlignment="1" applyProtection="1">
      <alignment horizontal="center" vertical="center"/>
    </xf>
    <xf numFmtId="0" fontId="7" fillId="10" borderId="16" xfId="0" applyFont="1" applyFill="1" applyBorder="1" applyAlignment="1" applyProtection="1">
      <alignment horizontal="center" vertical="top"/>
    </xf>
    <xf numFmtId="0" fontId="7" fillId="10" borderId="18" xfId="0" applyFont="1" applyFill="1" applyBorder="1" applyAlignment="1" applyProtection="1">
      <alignment horizontal="center" vertical="top"/>
    </xf>
    <xf numFmtId="3" fontId="3" fillId="10" borderId="26" xfId="0" applyNumberFormat="1" applyFont="1" applyFill="1" applyBorder="1" applyAlignment="1" applyProtection="1">
      <alignment horizontal="center" vertical="center"/>
    </xf>
    <xf numFmtId="3" fontId="3" fillId="10" borderId="32" xfId="0" applyNumberFormat="1" applyFont="1" applyFill="1" applyBorder="1" applyAlignment="1" applyProtection="1">
      <alignment horizontal="center" vertical="center"/>
    </xf>
    <xf numFmtId="3" fontId="3" fillId="10" borderId="57" xfId="0" applyNumberFormat="1" applyFont="1" applyFill="1" applyBorder="1" applyAlignment="1" applyProtection="1">
      <alignment horizontal="center" vertical="center"/>
    </xf>
    <xf numFmtId="3" fontId="3" fillId="10" borderId="35" xfId="0" applyNumberFormat="1" applyFont="1" applyFill="1" applyBorder="1" applyAlignment="1" applyProtection="1">
      <alignment horizontal="center" vertical="center"/>
    </xf>
    <xf numFmtId="0" fontId="3" fillId="0" borderId="0" xfId="0" applyFont="1" applyBorder="1" applyAlignment="1" applyProtection="1">
      <alignment horizontal="justify" vertical="top" wrapText="1"/>
    </xf>
    <xf numFmtId="49" fontId="86" fillId="0" borderId="0" xfId="0" applyNumberFormat="1" applyFont="1" applyBorder="1" applyAlignment="1" applyProtection="1">
      <alignment horizontal="left"/>
    </xf>
    <xf numFmtId="0" fontId="86" fillId="0" borderId="0" xfId="0" applyFont="1" applyBorder="1" applyAlignment="1" applyProtection="1">
      <alignment horizontal="left"/>
    </xf>
    <xf numFmtId="0" fontId="3" fillId="0" borderId="0" xfId="0" applyFont="1" applyAlignment="1" applyProtection="1">
      <alignment horizontal="left" vertical="top" wrapText="1"/>
    </xf>
    <xf numFmtId="0" fontId="3" fillId="5" borderId="36" xfId="0" applyFont="1" applyFill="1" applyBorder="1" applyAlignment="1" applyProtection="1">
      <alignment horizontal="center"/>
    </xf>
    <xf numFmtId="0" fontId="6" fillId="5" borderId="2" xfId="0" applyFont="1" applyFill="1" applyBorder="1" applyAlignment="1" applyProtection="1">
      <alignment horizontal="center"/>
    </xf>
    <xf numFmtId="0" fontId="6" fillId="5" borderId="37" xfId="0" applyFont="1" applyFill="1" applyBorder="1" applyAlignment="1" applyProtection="1">
      <alignment horizontal="center"/>
    </xf>
    <xf numFmtId="0" fontId="6" fillId="0" borderId="0" xfId="0" applyFont="1" applyFill="1" applyBorder="1" applyAlignment="1" applyProtection="1">
      <alignment horizontal="left" vertical="center" wrapText="1"/>
    </xf>
    <xf numFmtId="3" fontId="3" fillId="10" borderId="30" xfId="0" applyNumberFormat="1" applyFont="1" applyFill="1" applyBorder="1" applyAlignment="1" applyProtection="1">
      <alignment horizontal="center" vertical="center"/>
    </xf>
    <xf numFmtId="3" fontId="3" fillId="10" borderId="31" xfId="0" applyNumberFormat="1" applyFont="1" applyFill="1" applyBorder="1" applyAlignment="1" applyProtection="1">
      <alignment horizontal="center" vertical="center"/>
    </xf>
    <xf numFmtId="3" fontId="3" fillId="10" borderId="28" xfId="0" applyNumberFormat="1" applyFont="1" applyFill="1" applyBorder="1" applyAlignment="1" applyProtection="1">
      <alignment horizontal="center" vertical="center"/>
    </xf>
    <xf numFmtId="3" fontId="3" fillId="10" borderId="29" xfId="0" applyNumberFormat="1" applyFont="1" applyFill="1" applyBorder="1" applyAlignment="1" applyProtection="1">
      <alignment horizontal="center" vertical="center"/>
    </xf>
    <xf numFmtId="174" fontId="86" fillId="0" borderId="81" xfId="0" applyNumberFormat="1" applyFont="1" applyFill="1" applyBorder="1" applyAlignment="1" applyProtection="1">
      <alignment horizontal="center" vertical="center"/>
    </xf>
    <xf numFmtId="174" fontId="86" fillId="0" borderId="82" xfId="0" applyNumberFormat="1" applyFont="1" applyFill="1" applyBorder="1" applyAlignment="1" applyProtection="1">
      <alignment horizontal="center" vertical="center"/>
    </xf>
    <xf numFmtId="0" fontId="50" fillId="5" borderId="81" xfId="0" applyFont="1" applyFill="1" applyBorder="1" applyAlignment="1" applyProtection="1">
      <alignment horizontal="justify" vertical="top" wrapText="1"/>
    </xf>
    <xf numFmtId="0" fontId="0" fillId="0" borderId="85" xfId="0" applyBorder="1" applyAlignment="1" applyProtection="1">
      <alignment vertical="top"/>
    </xf>
    <xf numFmtId="0" fontId="0" fillId="0" borderId="82" xfId="0" applyBorder="1" applyAlignment="1" applyProtection="1">
      <alignment vertical="top"/>
    </xf>
    <xf numFmtId="3" fontId="3" fillId="5" borderId="36" xfId="0" applyNumberFormat="1" applyFont="1" applyFill="1" applyBorder="1" applyAlignment="1" applyProtection="1">
      <alignment horizontal="left" vertical="center" wrapText="1"/>
    </xf>
    <xf numFmtId="3" fontId="3" fillId="5" borderId="37" xfId="0" applyNumberFormat="1" applyFont="1" applyFill="1" applyBorder="1" applyAlignment="1" applyProtection="1">
      <alignment horizontal="left" vertical="center" wrapText="1"/>
    </xf>
    <xf numFmtId="0" fontId="3" fillId="0" borderId="19" xfId="0" applyFont="1" applyFill="1" applyBorder="1" applyAlignment="1" applyProtection="1">
      <alignment horizontal="justify" vertical="top" wrapText="1"/>
    </xf>
    <xf numFmtId="0" fontId="15" fillId="0" borderId="0" xfId="0" applyFont="1" applyAlignment="1" applyProtection="1">
      <alignment horizontal="center"/>
    </xf>
    <xf numFmtId="174" fontId="86" fillId="0" borderId="36" xfId="0" applyNumberFormat="1" applyFont="1" applyFill="1" applyBorder="1" applyAlignment="1" applyProtection="1">
      <alignment horizontal="center" vertical="center"/>
    </xf>
    <xf numFmtId="174" fontId="86" fillId="0" borderId="37" xfId="0" applyNumberFormat="1" applyFont="1" applyFill="1" applyBorder="1" applyAlignment="1" applyProtection="1">
      <alignment horizontal="center" vertical="center"/>
    </xf>
    <xf numFmtId="0" fontId="3" fillId="0" borderId="0" xfId="0" applyFont="1" applyFill="1" applyBorder="1" applyAlignment="1" applyProtection="1">
      <alignment horizontal="justify" wrapText="1"/>
    </xf>
    <xf numFmtId="3" fontId="3" fillId="0" borderId="81" xfId="0" applyNumberFormat="1" applyFont="1" applyFill="1" applyBorder="1" applyAlignment="1" applyProtection="1">
      <alignment horizontal="center" vertical="center"/>
    </xf>
    <xf numFmtId="3" fontId="3" fillId="0" borderId="82" xfId="0" applyNumberFormat="1" applyFont="1" applyFill="1" applyBorder="1" applyAlignment="1" applyProtection="1">
      <alignment horizontal="center" vertical="center"/>
    </xf>
    <xf numFmtId="38" fontId="16" fillId="0" borderId="81" xfId="0" applyNumberFormat="1" applyFont="1" applyFill="1" applyBorder="1" applyAlignment="1" applyProtection="1">
      <alignment horizontal="center"/>
    </xf>
    <xf numFmtId="0" fontId="3" fillId="10" borderId="81" xfId="0" applyFont="1" applyFill="1" applyBorder="1" applyAlignment="1" applyProtection="1">
      <alignment horizontal="left"/>
    </xf>
    <xf numFmtId="0" fontId="3" fillId="10" borderId="85" xfId="0" applyFont="1" applyFill="1" applyBorder="1" applyAlignment="1" applyProtection="1">
      <alignment horizontal="left"/>
    </xf>
    <xf numFmtId="0" fontId="3" fillId="10" borderId="82" xfId="0" applyFont="1" applyFill="1" applyBorder="1" applyAlignment="1" applyProtection="1">
      <alignment horizontal="left"/>
    </xf>
    <xf numFmtId="0" fontId="3" fillId="0" borderId="0" xfId="0" applyFont="1" applyFill="1" applyBorder="1" applyAlignment="1" applyProtection="1">
      <alignment horizontal="center" vertical="center"/>
    </xf>
    <xf numFmtId="0" fontId="3" fillId="0" borderId="0" xfId="0" applyFont="1" applyFill="1" applyAlignment="1" applyProtection="1">
      <alignment horizontal="left" wrapText="1"/>
    </xf>
    <xf numFmtId="0" fontId="9" fillId="0" borderId="44" xfId="0" applyFont="1" applyFill="1" applyBorder="1" applyAlignment="1" applyProtection="1">
      <alignment horizontal="center" vertical="center"/>
    </xf>
    <xf numFmtId="0" fontId="9" fillId="0" borderId="39" xfId="0" applyFont="1" applyFill="1" applyBorder="1" applyAlignment="1" applyProtection="1">
      <alignment horizontal="center" vertical="center"/>
    </xf>
    <xf numFmtId="0" fontId="139" fillId="0" borderId="0" xfId="0" applyFont="1" applyFill="1" applyBorder="1" applyAlignment="1" applyProtection="1">
      <alignment horizontal="left" wrapText="1"/>
    </xf>
    <xf numFmtId="0" fontId="139" fillId="0" borderId="41" xfId="0" applyFont="1" applyFill="1" applyBorder="1" applyAlignment="1" applyProtection="1">
      <alignment horizontal="left" wrapText="1"/>
    </xf>
    <xf numFmtId="0" fontId="3" fillId="0" borderId="0" xfId="0" applyFont="1" applyFill="1" applyAlignment="1" applyProtection="1">
      <alignment horizontal="center" vertical="center" wrapText="1"/>
    </xf>
    <xf numFmtId="0" fontId="48" fillId="0" borderId="0" xfId="0" applyFont="1" applyFill="1" applyBorder="1" applyAlignment="1" applyProtection="1">
      <alignment horizontal="center" vertical="center" wrapText="1"/>
    </xf>
    <xf numFmtId="0" fontId="45" fillId="0" borderId="0" xfId="13" applyFont="1" applyAlignment="1" applyProtection="1">
      <alignment horizontal="center"/>
    </xf>
    <xf numFmtId="0" fontId="43" fillId="0" borderId="0" xfId="13" applyFont="1" applyAlignment="1" applyProtection="1">
      <alignment horizontal="justify" vertical="top" wrapText="1"/>
    </xf>
    <xf numFmtId="0" fontId="43" fillId="0" borderId="0" xfId="13" applyFont="1" applyAlignment="1" applyProtection="1">
      <alignment horizontal="left"/>
    </xf>
    <xf numFmtId="0" fontId="43" fillId="0" borderId="13" xfId="13" applyFont="1" applyBorder="1" applyAlignment="1" applyProtection="1">
      <alignment horizontal="left"/>
    </xf>
    <xf numFmtId="0" fontId="45" fillId="0" borderId="88" xfId="13" applyFont="1" applyBorder="1" applyAlignment="1" applyProtection="1">
      <alignment horizontal="center" vertical="top"/>
    </xf>
    <xf numFmtId="175" fontId="43" fillId="0" borderId="13" xfId="13" applyNumberFormat="1" applyFont="1" applyBorder="1" applyAlignment="1" applyProtection="1">
      <alignment horizontal="left"/>
    </xf>
    <xf numFmtId="0" fontId="43" fillId="0" borderId="0" xfId="13" applyFont="1" applyAlignment="1" applyProtection="1">
      <alignment horizontal="left" wrapText="1"/>
    </xf>
    <xf numFmtId="0" fontId="43" fillId="0" borderId="0" xfId="13" applyFont="1" applyAlignment="1" applyProtection="1">
      <alignment horizontal="justify" vertical="center" wrapText="1"/>
    </xf>
    <xf numFmtId="9" fontId="50" fillId="0" borderId="3" xfId="10" applyFont="1" applyBorder="1" applyAlignment="1" applyProtection="1">
      <alignment horizontal="center" vertical="center"/>
    </xf>
    <xf numFmtId="0" fontId="52" fillId="0" borderId="36" xfId="0" applyFont="1" applyFill="1" applyBorder="1" applyAlignment="1" applyProtection="1">
      <alignment horizontal="center" vertical="center"/>
    </xf>
    <xf numFmtId="0" fontId="52" fillId="0" borderId="2" xfId="0" applyFont="1" applyFill="1" applyBorder="1" applyAlignment="1" applyProtection="1">
      <alignment horizontal="center" vertical="center"/>
    </xf>
    <xf numFmtId="0" fontId="52" fillId="0" borderId="37" xfId="0" applyFont="1" applyFill="1" applyBorder="1" applyAlignment="1" applyProtection="1">
      <alignment horizontal="center" vertical="center"/>
    </xf>
    <xf numFmtId="3" fontId="50" fillId="0" borderId="36" xfId="1" applyNumberFormat="1" applyFont="1" applyFill="1" applyBorder="1" applyAlignment="1" applyProtection="1">
      <alignment horizontal="center" vertical="center"/>
    </xf>
    <xf numFmtId="3" fontId="50" fillId="0" borderId="37" xfId="1" applyNumberFormat="1" applyFont="1" applyFill="1" applyBorder="1" applyAlignment="1" applyProtection="1">
      <alignment horizontal="center" vertical="center"/>
    </xf>
    <xf numFmtId="0" fontId="122" fillId="0" borderId="0" xfId="0" applyFont="1" applyBorder="1" applyAlignment="1" applyProtection="1">
      <alignment horizontal="justify" vertical="top" wrapText="1"/>
    </xf>
    <xf numFmtId="0" fontId="107" fillId="0" borderId="0" xfId="0" applyFont="1" applyFill="1" applyBorder="1" applyAlignment="1" applyProtection="1">
      <alignment horizontal="left" vertical="top" wrapText="1"/>
    </xf>
    <xf numFmtId="0" fontId="106" fillId="0" borderId="0" xfId="0" applyFont="1" applyFill="1" applyBorder="1" applyAlignment="1" applyProtection="1">
      <alignment horizontal="left" vertical="top" wrapText="1"/>
    </xf>
    <xf numFmtId="0" fontId="107" fillId="0" borderId="0" xfId="0" applyFont="1" applyFill="1" applyBorder="1" applyAlignment="1" applyProtection="1">
      <alignment vertical="top" wrapText="1"/>
    </xf>
    <xf numFmtId="0" fontId="106" fillId="0" borderId="0" xfId="0" applyFont="1" applyFill="1" applyBorder="1" applyAlignment="1" applyProtection="1">
      <alignment vertical="top" wrapText="1"/>
    </xf>
    <xf numFmtId="0" fontId="121" fillId="0" borderId="0" xfId="0" applyFont="1" applyFill="1" applyBorder="1" applyAlignment="1" applyProtection="1">
      <alignment horizontal="left" vertical="top" wrapText="1"/>
    </xf>
    <xf numFmtId="0" fontId="121" fillId="0" borderId="0" xfId="0" applyFont="1" applyFill="1" applyBorder="1" applyAlignment="1" applyProtection="1">
      <alignment horizontal="left" vertical="center" wrapText="1"/>
    </xf>
    <xf numFmtId="0" fontId="107" fillId="0" borderId="0" xfId="0" applyFont="1" applyFill="1" applyBorder="1" applyAlignment="1" applyProtection="1">
      <alignment horizontal="justify" vertical="top" wrapText="1"/>
    </xf>
    <xf numFmtId="0" fontId="109" fillId="0" borderId="0" xfId="0" applyFont="1" applyFill="1" applyBorder="1" applyAlignment="1" applyProtection="1">
      <alignment horizontal="justify" vertical="top" wrapText="1"/>
    </xf>
    <xf numFmtId="0" fontId="96" fillId="0" borderId="0" xfId="0" applyFont="1" applyFill="1" applyBorder="1" applyAlignment="1" applyProtection="1">
      <alignment horizontal="center" vertical="center"/>
    </xf>
    <xf numFmtId="0" fontId="107" fillId="0" borderId="0" xfId="0" applyFont="1" applyFill="1" applyBorder="1" applyAlignment="1" applyProtection="1">
      <alignment horizontal="left" vertical="center" wrapText="1"/>
    </xf>
    <xf numFmtId="0" fontId="121" fillId="0" borderId="0" xfId="0" applyFont="1" applyFill="1" applyBorder="1" applyAlignment="1" applyProtection="1">
      <alignment horizontal="center"/>
    </xf>
    <xf numFmtId="0" fontId="121" fillId="0" borderId="0" xfId="0" applyFont="1" applyFill="1" applyBorder="1" applyAlignment="1" applyProtection="1">
      <alignment horizontal="center" vertical="top"/>
    </xf>
    <xf numFmtId="0" fontId="121" fillId="0" borderId="0" xfId="0" applyFont="1" applyFill="1" applyBorder="1" applyAlignment="1" applyProtection="1">
      <alignment horizontal="left" vertical="center"/>
    </xf>
    <xf numFmtId="0" fontId="109" fillId="0" borderId="0" xfId="0" applyFont="1" applyFill="1" applyBorder="1" applyAlignment="1" applyProtection="1">
      <alignment horizontal="center"/>
    </xf>
    <xf numFmtId="0" fontId="107" fillId="0" borderId="0" xfId="0" applyFont="1" applyFill="1" applyBorder="1" applyAlignment="1" applyProtection="1">
      <alignment horizontal="center"/>
    </xf>
    <xf numFmtId="0" fontId="107" fillId="0" borderId="0" xfId="0" applyFont="1" applyFill="1" applyBorder="1" applyAlignment="1" applyProtection="1">
      <alignment horizontal="center" vertical="center"/>
    </xf>
    <xf numFmtId="0" fontId="110" fillId="0" borderId="0" xfId="0" applyFont="1" applyFill="1" applyBorder="1" applyAlignment="1" applyProtection="1">
      <alignment horizontal="left"/>
    </xf>
    <xf numFmtId="0" fontId="95" fillId="0" borderId="0" xfId="0" applyFont="1" applyFill="1" applyBorder="1" applyAlignment="1" applyProtection="1">
      <alignment horizontal="left" vertical="center"/>
    </xf>
    <xf numFmtId="176" fontId="106" fillId="0" borderId="0" xfId="0" applyNumberFormat="1" applyFont="1" applyFill="1" applyBorder="1" applyAlignment="1" applyProtection="1">
      <alignment horizontal="center"/>
    </xf>
    <xf numFmtId="0" fontId="121" fillId="0" borderId="0" xfId="0" applyFont="1" applyFill="1" applyBorder="1" applyAlignment="1" applyProtection="1">
      <alignment horizontal="left"/>
    </xf>
    <xf numFmtId="0" fontId="106" fillId="0" borderId="0" xfId="0" applyFont="1" applyFill="1" applyBorder="1" applyAlignment="1" applyProtection="1">
      <alignment horizontal="left" vertical="center"/>
    </xf>
    <xf numFmtId="0" fontId="106" fillId="0" borderId="0" xfId="0" applyFont="1" applyFill="1" applyBorder="1" applyAlignment="1" applyProtection="1">
      <alignment horizontal="left" vertical="center" wrapText="1"/>
    </xf>
    <xf numFmtId="0" fontId="107" fillId="0" borderId="0" xfId="0" applyFont="1" applyFill="1" applyBorder="1" applyAlignment="1" applyProtection="1">
      <alignment horizontal="center" wrapText="1"/>
    </xf>
    <xf numFmtId="3" fontId="96" fillId="0" borderId="0" xfId="0" applyNumberFormat="1" applyFont="1" applyFill="1" applyBorder="1" applyAlignment="1" applyProtection="1">
      <alignment horizontal="center" vertical="top" wrapText="1"/>
    </xf>
    <xf numFmtId="0" fontId="95" fillId="0" borderId="0" xfId="0" applyFont="1" applyFill="1" applyBorder="1" applyAlignment="1" applyProtection="1">
      <alignment horizontal="center" vertical="center"/>
    </xf>
    <xf numFmtId="0" fontId="160" fillId="0" borderId="0" xfId="0" applyFont="1" applyFill="1" applyBorder="1" applyAlignment="1" applyProtection="1">
      <alignment horizontal="center" vertical="center"/>
    </xf>
    <xf numFmtId="0" fontId="95" fillId="0" borderId="0" xfId="0" applyFont="1" applyFill="1" applyBorder="1" applyAlignment="1" applyProtection="1">
      <alignment horizontal="center" vertical="center" wrapText="1"/>
    </xf>
    <xf numFmtId="0" fontId="161" fillId="0" borderId="0" xfId="0" applyFont="1" applyFill="1" applyBorder="1" applyAlignment="1" applyProtection="1">
      <alignment horizontal="left" vertical="center"/>
    </xf>
    <xf numFmtId="0" fontId="162" fillId="0" borderId="0" xfId="0" applyFont="1" applyFill="1" applyBorder="1" applyAlignment="1" applyProtection="1">
      <alignment horizontal="center" vertical="center"/>
    </xf>
    <xf numFmtId="0" fontId="107" fillId="0" borderId="0" xfId="0" applyFont="1" applyFill="1" applyBorder="1" applyAlignment="1" applyProtection="1">
      <alignment horizontal="justify" vertical="center" wrapText="1"/>
    </xf>
    <xf numFmtId="0" fontId="106" fillId="0" borderId="0" xfId="0" applyFont="1" applyFill="1" applyBorder="1" applyAlignment="1" applyProtection="1">
      <alignment horizontal="justify" vertical="top" wrapText="1"/>
    </xf>
    <xf numFmtId="175" fontId="121" fillId="0" borderId="0" xfId="0" applyNumberFormat="1" applyFont="1" applyFill="1" applyBorder="1" applyAlignment="1" applyProtection="1">
      <alignment horizontal="left" vertical="center"/>
    </xf>
    <xf numFmtId="10" fontId="121" fillId="0" borderId="0" xfId="0" applyNumberFormat="1" applyFont="1" applyFill="1" applyBorder="1" applyAlignment="1" applyProtection="1">
      <alignment horizontal="left" vertical="center"/>
    </xf>
    <xf numFmtId="10" fontId="106" fillId="0" borderId="0" xfId="0" applyNumberFormat="1" applyFont="1" applyFill="1" applyBorder="1" applyAlignment="1" applyProtection="1">
      <alignment horizontal="left" vertical="center"/>
    </xf>
    <xf numFmtId="0" fontId="109" fillId="0" borderId="0" xfId="0" applyFont="1" applyFill="1" applyBorder="1" applyAlignment="1" applyProtection="1">
      <alignment horizontal="center" vertical="center" wrapText="1"/>
    </xf>
    <xf numFmtId="0" fontId="95" fillId="0" borderId="0" xfId="0" applyFont="1" applyFill="1" applyBorder="1" applyAlignment="1" applyProtection="1">
      <alignment horizontal="center"/>
    </xf>
    <xf numFmtId="0" fontId="121" fillId="0" borderId="0" xfId="0" applyFont="1" applyFill="1" applyBorder="1" applyAlignment="1" applyProtection="1">
      <alignment horizontal="center" vertical="center"/>
    </xf>
    <xf numFmtId="0" fontId="164" fillId="0" borderId="0" xfId="0" applyFont="1" applyFill="1" applyBorder="1" applyAlignment="1" applyProtection="1">
      <alignment horizontal="justify" vertical="top" wrapText="1"/>
    </xf>
    <xf numFmtId="0" fontId="159" fillId="0" borderId="0" xfId="0" applyFont="1" applyFill="1" applyBorder="1" applyAlignment="1" applyProtection="1">
      <alignment horizontal="center" vertical="center" wrapText="1"/>
    </xf>
    <xf numFmtId="38" fontId="106" fillId="0" borderId="0" xfId="1" applyNumberFormat="1" applyFont="1" applyFill="1" applyBorder="1" applyAlignment="1" applyProtection="1">
      <alignment horizontal="right" vertical="center"/>
    </xf>
    <xf numFmtId="0" fontId="159" fillId="0" borderId="0" xfId="0" applyFont="1" applyFill="1" applyBorder="1" applyAlignment="1" applyProtection="1">
      <alignment horizontal="left" vertical="center" wrapText="1"/>
    </xf>
    <xf numFmtId="0" fontId="106" fillId="0" borderId="0" xfId="0" applyFont="1" applyFill="1" applyBorder="1" applyProtection="1"/>
    <xf numFmtId="0" fontId="143" fillId="0" borderId="0" xfId="0" applyFont="1" applyFill="1" applyBorder="1" applyAlignment="1" applyProtection="1">
      <alignment horizontal="left" vertical="top" wrapText="1"/>
    </xf>
    <xf numFmtId="0" fontId="107" fillId="0" borderId="0" xfId="0" applyFont="1" applyFill="1" applyBorder="1" applyAlignment="1" applyProtection="1">
      <alignment horizontal="left" vertical="center"/>
    </xf>
    <xf numFmtId="38" fontId="107" fillId="0" borderId="0" xfId="0" applyNumberFormat="1" applyFont="1" applyFill="1" applyBorder="1" applyAlignment="1" applyProtection="1">
      <alignment horizontal="left" vertical="center" wrapText="1"/>
    </xf>
    <xf numFmtId="3" fontId="106" fillId="0" borderId="0" xfId="0" applyNumberFormat="1" applyFont="1" applyFill="1" applyBorder="1" applyAlignment="1" applyProtection="1">
      <alignment horizontal="right" vertical="center"/>
    </xf>
    <xf numFmtId="0" fontId="107" fillId="0" borderId="0" xfId="0" applyFont="1" applyFill="1" applyBorder="1" applyAlignment="1" applyProtection="1">
      <alignment horizontal="left"/>
    </xf>
    <xf numFmtId="0" fontId="110" fillId="0" borderId="0" xfId="0" applyFont="1" applyFill="1" applyBorder="1" applyAlignment="1" applyProtection="1">
      <alignment horizontal="left" vertical="top" wrapText="1"/>
    </xf>
    <xf numFmtId="0" fontId="96" fillId="0" borderId="0" xfId="0" applyFont="1" applyFill="1" applyBorder="1" applyAlignment="1" applyProtection="1">
      <alignment horizontal="left"/>
    </xf>
    <xf numFmtId="164" fontId="106" fillId="0" borderId="0" xfId="0" applyNumberFormat="1" applyFont="1" applyFill="1" applyBorder="1" applyAlignment="1" applyProtection="1">
      <alignment horizontal="center"/>
    </xf>
    <xf numFmtId="0" fontId="123" fillId="0" borderId="0" xfId="0" applyFont="1" applyFill="1" applyBorder="1" applyAlignment="1" applyProtection="1">
      <alignment horizontal="left" vertical="center" wrapText="1"/>
    </xf>
    <xf numFmtId="0" fontId="109" fillId="0" borderId="0" xfId="0" applyFont="1" applyFill="1" applyBorder="1" applyAlignment="1" applyProtection="1">
      <alignment horizontal="left" vertical="center" wrapText="1"/>
    </xf>
    <xf numFmtId="0" fontId="121" fillId="0" borderId="0" xfId="0" applyNumberFormat="1" applyFont="1" applyFill="1" applyBorder="1" applyAlignment="1" applyProtection="1">
      <alignment horizontal="center" vertical="center" wrapText="1"/>
    </xf>
    <xf numFmtId="0" fontId="95" fillId="0" borderId="0" xfId="0" applyNumberFormat="1" applyFont="1" applyFill="1" applyBorder="1" applyAlignment="1" applyProtection="1">
      <alignment horizontal="center" vertical="center" wrapText="1"/>
    </xf>
    <xf numFmtId="0" fontId="95" fillId="0" borderId="0" xfId="0" applyFont="1" applyFill="1" applyBorder="1" applyAlignment="1" applyProtection="1">
      <alignment horizontal="left"/>
    </xf>
    <xf numFmtId="0" fontId="95" fillId="0" borderId="0" xfId="0" applyFont="1" applyFill="1" applyBorder="1" applyAlignment="1" applyProtection="1">
      <alignment horizontal="left" vertical="center" wrapText="1"/>
    </xf>
    <xf numFmtId="0" fontId="106" fillId="0" borderId="0" xfId="0" applyFont="1" applyFill="1" applyBorder="1" applyAlignment="1" applyProtection="1">
      <alignment horizontal="center" wrapText="1"/>
    </xf>
    <xf numFmtId="3" fontId="95" fillId="0" borderId="0" xfId="0" applyNumberFormat="1" applyFont="1" applyFill="1" applyBorder="1" applyAlignment="1" applyProtection="1">
      <alignment horizontal="left" vertical="center"/>
    </xf>
    <xf numFmtId="0" fontId="96" fillId="0" borderId="0" xfId="0" applyFont="1" applyFill="1" applyBorder="1" applyAlignment="1" applyProtection="1">
      <alignment horizontal="center" textRotation="90"/>
    </xf>
    <xf numFmtId="0" fontId="110" fillId="0" borderId="0" xfId="0" applyFont="1" applyFill="1" applyBorder="1" applyAlignment="1" applyProtection="1">
      <alignment horizontal="center" wrapText="1"/>
    </xf>
    <xf numFmtId="0" fontId="106" fillId="0" borderId="0" xfId="0" applyFont="1" applyFill="1" applyBorder="1" applyAlignment="1" applyProtection="1">
      <alignment horizontal="left"/>
    </xf>
    <xf numFmtId="175" fontId="106" fillId="0" borderId="0" xfId="0" applyNumberFormat="1" applyFont="1" applyFill="1" applyBorder="1" applyAlignment="1" applyProtection="1">
      <alignment horizontal="left"/>
    </xf>
    <xf numFmtId="38" fontId="99" fillId="0" borderId="0" xfId="0" applyNumberFormat="1" applyFont="1" applyFill="1" applyBorder="1" applyAlignment="1" applyProtection="1">
      <alignment horizontal="center" vertical="center"/>
    </xf>
    <xf numFmtId="0" fontId="143" fillId="0" borderId="0" xfId="0" applyFont="1" applyFill="1" applyBorder="1" applyAlignment="1" applyProtection="1">
      <alignment vertical="top" wrapText="1"/>
    </xf>
    <xf numFmtId="0" fontId="122" fillId="0" borderId="0" xfId="0" applyFont="1" applyFill="1" applyBorder="1" applyAlignment="1" applyProtection="1">
      <alignment horizontal="center" vertical="center"/>
    </xf>
    <xf numFmtId="38" fontId="122" fillId="0" borderId="0" xfId="0" applyNumberFormat="1" applyFont="1" applyFill="1" applyBorder="1" applyAlignment="1" applyProtection="1">
      <alignment horizontal="center" vertical="center"/>
    </xf>
    <xf numFmtId="168" fontId="122" fillId="0" borderId="0" xfId="0" applyNumberFormat="1" applyFont="1" applyFill="1" applyBorder="1" applyAlignment="1" applyProtection="1">
      <alignment horizontal="center" vertical="center"/>
    </xf>
    <xf numFmtId="170" fontId="122" fillId="0" borderId="0" xfId="0" applyNumberFormat="1" applyFont="1" applyFill="1" applyBorder="1" applyAlignment="1" applyProtection="1">
      <alignment horizontal="center" vertical="center"/>
    </xf>
    <xf numFmtId="0" fontId="143" fillId="0" borderId="0" xfId="0" applyFont="1" applyFill="1" applyBorder="1" applyAlignment="1" applyProtection="1">
      <alignment horizontal="center" vertical="center"/>
    </xf>
    <xf numFmtId="38" fontId="143" fillId="0" borderId="0" xfId="0" applyNumberFormat="1" applyFont="1" applyFill="1" applyBorder="1" applyAlignment="1" applyProtection="1">
      <alignment horizontal="center" vertical="center"/>
    </xf>
    <xf numFmtId="0" fontId="123" fillId="0" borderId="0" xfId="0" applyFont="1" applyFill="1" applyBorder="1" applyAlignment="1" applyProtection="1">
      <alignment horizontal="center" vertical="center"/>
    </xf>
    <xf numFmtId="3" fontId="122" fillId="0" borderId="0" xfId="1" applyNumberFormat="1" applyFont="1" applyFill="1" applyBorder="1" applyAlignment="1" applyProtection="1">
      <alignment horizontal="center" vertical="center"/>
    </xf>
    <xf numFmtId="10" fontId="122" fillId="0" borderId="0" xfId="0" applyNumberFormat="1" applyFont="1" applyFill="1" applyBorder="1" applyAlignment="1" applyProtection="1">
      <alignment horizontal="center" vertical="center"/>
    </xf>
    <xf numFmtId="10" fontId="99" fillId="0" borderId="0" xfId="0" applyNumberFormat="1" applyFont="1" applyFill="1" applyBorder="1" applyAlignment="1" applyProtection="1">
      <alignment horizontal="center" vertical="center"/>
    </xf>
    <xf numFmtId="164" fontId="122" fillId="0" borderId="0" xfId="1" applyNumberFormat="1" applyFont="1" applyFill="1" applyBorder="1" applyAlignment="1" applyProtection="1">
      <alignment horizontal="right" vertical="center"/>
    </xf>
    <xf numFmtId="0" fontId="122" fillId="0" borderId="0" xfId="0" applyFont="1" applyFill="1" applyBorder="1" applyAlignment="1" applyProtection="1">
      <alignment horizontal="left" vertical="center"/>
    </xf>
    <xf numFmtId="4" fontId="122" fillId="0" borderId="0" xfId="1" applyNumberFormat="1" applyFont="1" applyFill="1" applyBorder="1" applyAlignment="1" applyProtection="1">
      <alignment vertical="center"/>
    </xf>
    <xf numFmtId="0" fontId="99" fillId="0" borderId="0" xfId="0" applyFont="1" applyFill="1" applyBorder="1" applyAlignment="1" applyProtection="1">
      <alignment horizontal="center" vertical="center" wrapText="1"/>
    </xf>
    <xf numFmtId="164" fontId="99" fillId="0" borderId="0" xfId="1" applyNumberFormat="1" applyFont="1" applyFill="1" applyBorder="1" applyAlignment="1" applyProtection="1">
      <alignment horizontal="center" vertical="center"/>
    </xf>
    <xf numFmtId="164" fontId="122" fillId="0" borderId="0" xfId="1" applyNumberFormat="1" applyFont="1" applyFill="1" applyBorder="1" applyAlignment="1" applyProtection="1">
      <alignment horizontal="center" vertical="center"/>
    </xf>
    <xf numFmtId="164" fontId="149" fillId="0" borderId="0" xfId="1" applyNumberFormat="1" applyFont="1" applyFill="1" applyBorder="1" applyAlignment="1" applyProtection="1">
      <alignment horizontal="center" vertical="center"/>
    </xf>
    <xf numFmtId="164" fontId="99" fillId="0" borderId="0" xfId="1" applyNumberFormat="1" applyFont="1" applyFill="1" applyBorder="1" applyAlignment="1" applyProtection="1">
      <alignment horizontal="center" vertical="center" wrapText="1"/>
    </xf>
    <xf numFmtId="0" fontId="99" fillId="0" borderId="0" xfId="0" applyFont="1" applyFill="1" applyBorder="1" applyAlignment="1" applyProtection="1">
      <alignment horizontal="center" vertical="center"/>
    </xf>
    <xf numFmtId="4" fontId="149" fillId="0" borderId="0" xfId="1" applyNumberFormat="1" applyFont="1" applyFill="1" applyBorder="1" applyAlignment="1" applyProtection="1">
      <alignment horizontal="right" vertical="center"/>
    </xf>
    <xf numFmtId="171" fontId="149" fillId="0" borderId="0" xfId="0" applyNumberFormat="1" applyFont="1" applyFill="1" applyBorder="1" applyAlignment="1" applyProtection="1">
      <alignment horizontal="left" vertical="center"/>
    </xf>
    <xf numFmtId="0" fontId="149" fillId="0" borderId="0" xfId="0" applyFont="1" applyFill="1" applyBorder="1" applyAlignment="1" applyProtection="1">
      <alignment horizontal="left" vertical="center"/>
    </xf>
    <xf numFmtId="4" fontId="149" fillId="0" borderId="0" xfId="0" applyNumberFormat="1" applyFont="1" applyFill="1" applyBorder="1" applyAlignment="1" applyProtection="1">
      <alignment horizontal="left" vertical="center"/>
    </xf>
    <xf numFmtId="171" fontId="99" fillId="0" borderId="0" xfId="0" applyNumberFormat="1" applyFont="1" applyFill="1" applyBorder="1" applyAlignment="1" applyProtection="1">
      <alignment horizontal="center" vertical="center"/>
    </xf>
    <xf numFmtId="0" fontId="122" fillId="0" borderId="0" xfId="0" applyFont="1" applyFill="1" applyBorder="1" applyProtection="1"/>
    <xf numFmtId="0" fontId="122" fillId="0" borderId="0" xfId="0" applyFont="1" applyFill="1" applyBorder="1" applyAlignment="1" applyProtection="1">
      <alignment vertical="center"/>
    </xf>
    <xf numFmtId="38" fontId="122" fillId="0" borderId="0" xfId="0" applyNumberFormat="1" applyFont="1" applyFill="1" applyBorder="1" applyAlignment="1" applyProtection="1">
      <alignment horizontal="right" vertical="center"/>
    </xf>
    <xf numFmtId="38" fontId="99" fillId="0" borderId="0" xfId="2" applyNumberFormat="1" applyFont="1" applyFill="1" applyBorder="1" applyAlignment="1" applyProtection="1">
      <alignment horizontal="center" vertical="center"/>
    </xf>
    <xf numFmtId="3" fontId="143" fillId="0" borderId="0" xfId="0" applyNumberFormat="1" applyFont="1" applyFill="1" applyBorder="1" applyAlignment="1" applyProtection="1">
      <alignment horizontal="center" vertical="center"/>
    </xf>
    <xf numFmtId="4" fontId="143" fillId="0" borderId="0" xfId="0" applyNumberFormat="1" applyFont="1" applyFill="1" applyBorder="1" applyAlignment="1" applyProtection="1">
      <alignment horizontal="center" vertical="center"/>
    </xf>
    <xf numFmtId="0" fontId="148" fillId="0" borderId="0" xfId="0" applyFont="1" applyFill="1" applyBorder="1" applyAlignment="1" applyProtection="1">
      <alignment horizontal="center" vertical="center"/>
    </xf>
    <xf numFmtId="0" fontId="150" fillId="0" borderId="0" xfId="0" quotePrefix="1" applyFont="1" applyFill="1" applyBorder="1" applyAlignment="1" applyProtection="1">
      <alignment horizontal="center" vertical="center"/>
    </xf>
    <xf numFmtId="38" fontId="122" fillId="0" borderId="0" xfId="2" applyNumberFormat="1" applyFont="1" applyFill="1" applyBorder="1" applyAlignment="1" applyProtection="1">
      <alignment horizontal="center" vertical="center"/>
    </xf>
    <xf numFmtId="38" fontId="99" fillId="0" borderId="0" xfId="2" applyNumberFormat="1" applyFont="1" applyFill="1" applyBorder="1" applyAlignment="1" applyProtection="1">
      <alignment horizontal="right" vertical="center"/>
    </xf>
    <xf numFmtId="0" fontId="122" fillId="0" borderId="0" xfId="0" applyFont="1" applyFill="1" applyBorder="1" applyAlignment="1" applyProtection="1">
      <alignment horizontal="left" wrapText="1"/>
    </xf>
    <xf numFmtId="38" fontId="99" fillId="0" borderId="0" xfId="0" applyNumberFormat="1" applyFont="1" applyFill="1" applyBorder="1" applyAlignment="1" applyProtection="1">
      <alignment horizontal="right" vertical="center"/>
    </xf>
    <xf numFmtId="0" fontId="122" fillId="0" borderId="0" xfId="0" applyFont="1" applyFill="1" applyBorder="1" applyAlignment="1" applyProtection="1">
      <alignment horizontal="center" wrapText="1"/>
    </xf>
    <xf numFmtId="0" fontId="122" fillId="0" borderId="0" xfId="0" applyFont="1" applyFill="1" applyBorder="1" applyAlignment="1" applyProtection="1">
      <alignment horizontal="center" vertical="center" wrapText="1"/>
    </xf>
    <xf numFmtId="166" fontId="122" fillId="0" borderId="0" xfId="10" applyNumberFormat="1" applyFont="1" applyFill="1" applyBorder="1" applyAlignment="1" applyProtection="1">
      <alignment vertical="center"/>
    </xf>
    <xf numFmtId="166" fontId="122" fillId="0" borderId="0" xfId="10" applyNumberFormat="1" applyFont="1" applyFill="1" applyBorder="1" applyAlignment="1" applyProtection="1">
      <alignment horizontal="center" vertical="center"/>
    </xf>
    <xf numFmtId="37" fontId="122" fillId="0" borderId="0" xfId="0" applyNumberFormat="1" applyFont="1" applyFill="1" applyBorder="1" applyAlignment="1" applyProtection="1">
      <alignment horizontal="center" vertical="center"/>
    </xf>
    <xf numFmtId="0" fontId="109" fillId="0" borderId="0" xfId="0" applyFont="1" applyFill="1" applyBorder="1" applyAlignment="1" applyProtection="1">
      <alignment horizontal="center" vertical="center"/>
    </xf>
    <xf numFmtId="0" fontId="122" fillId="0" borderId="0" xfId="0" applyNumberFormat="1" applyFont="1" applyFill="1" applyBorder="1" applyAlignment="1" applyProtection="1">
      <alignment horizontal="center" vertical="center"/>
    </xf>
    <xf numFmtId="174" fontId="99" fillId="0" borderId="0" xfId="10" applyNumberFormat="1" applyFont="1" applyFill="1" applyBorder="1" applyAlignment="1" applyProtection="1">
      <alignment horizontal="right" vertical="center"/>
    </xf>
    <xf numFmtId="174" fontId="99" fillId="0" borderId="0" xfId="0" applyNumberFormat="1" applyFont="1" applyFill="1" applyBorder="1" applyAlignment="1" applyProtection="1">
      <alignment horizontal="right"/>
    </xf>
    <xf numFmtId="167" fontId="122" fillId="0" borderId="0" xfId="0" applyNumberFormat="1" applyFont="1" applyFill="1" applyBorder="1" applyAlignment="1" applyProtection="1">
      <alignment horizontal="left" vertical="center"/>
    </xf>
    <xf numFmtId="167" fontId="122" fillId="0" borderId="0" xfId="0" applyNumberFormat="1" applyFont="1" applyFill="1" applyBorder="1" applyAlignment="1" applyProtection="1">
      <alignment horizontal="center" vertical="center"/>
    </xf>
    <xf numFmtId="0" fontId="122" fillId="0" borderId="0" xfId="0" applyNumberFormat="1" applyFont="1" applyFill="1" applyBorder="1" applyAlignment="1" applyProtection="1">
      <alignment horizontal="left" vertical="center"/>
    </xf>
    <xf numFmtId="0" fontId="122" fillId="0" borderId="0" xfId="0" applyFont="1" applyFill="1" applyBorder="1" applyAlignment="1" applyProtection="1">
      <alignment horizontal="left" vertical="center" wrapText="1"/>
    </xf>
    <xf numFmtId="0" fontId="122" fillId="0" borderId="0" xfId="0" applyFont="1" applyFill="1" applyBorder="1" applyAlignment="1" applyProtection="1">
      <alignment horizontal="center" vertical="top" wrapText="1"/>
    </xf>
    <xf numFmtId="0" fontId="99" fillId="0" borderId="0" xfId="0" applyFont="1" applyFill="1" applyBorder="1" applyAlignment="1" applyProtection="1">
      <alignment horizontal="left" vertical="top" wrapText="1"/>
    </xf>
    <xf numFmtId="0" fontId="99" fillId="0" borderId="0" xfId="0" applyFont="1" applyFill="1" applyBorder="1" applyAlignment="1" applyProtection="1">
      <alignment horizontal="center" vertical="top" wrapText="1"/>
    </xf>
    <xf numFmtId="0" fontId="122" fillId="0" borderId="0" xfId="0" applyFont="1" applyFill="1" applyBorder="1" applyAlignment="1" applyProtection="1">
      <alignment vertical="top"/>
    </xf>
    <xf numFmtId="174" fontId="122" fillId="0" borderId="0" xfId="10" applyNumberFormat="1" applyFont="1" applyFill="1" applyBorder="1" applyAlignment="1" applyProtection="1">
      <alignment horizontal="right" vertical="center"/>
    </xf>
    <xf numFmtId="174" fontId="122" fillId="0" borderId="0" xfId="0" applyNumberFormat="1" applyFont="1" applyFill="1" applyBorder="1" applyAlignment="1" applyProtection="1">
      <alignment horizontal="right"/>
    </xf>
    <xf numFmtId="169" fontId="122" fillId="0" borderId="0" xfId="0" applyNumberFormat="1" applyFont="1" applyFill="1" applyBorder="1" applyAlignment="1" applyProtection="1">
      <alignment horizontal="center" vertical="center"/>
    </xf>
    <xf numFmtId="0" fontId="122" fillId="0" borderId="0" xfId="0" applyFont="1" applyFill="1" applyBorder="1" applyAlignment="1" applyProtection="1">
      <alignment horizontal="center"/>
    </xf>
    <xf numFmtId="175" fontId="122" fillId="0" borderId="0" xfId="0" applyNumberFormat="1" applyFont="1" applyFill="1" applyBorder="1" applyAlignment="1" applyProtection="1">
      <alignment horizontal="left" vertical="center"/>
    </xf>
    <xf numFmtId="0" fontId="143" fillId="0" borderId="0" xfId="0" applyFont="1" applyFill="1" applyBorder="1" applyAlignment="1" applyProtection="1">
      <alignment horizontal="center"/>
    </xf>
    <xf numFmtId="8" fontId="122" fillId="0" borderId="0" xfId="0" applyNumberFormat="1" applyFont="1" applyFill="1" applyBorder="1" applyAlignment="1" applyProtection="1">
      <alignment horizontal="center" vertical="center"/>
    </xf>
    <xf numFmtId="0" fontId="99" fillId="0" borderId="0" xfId="0" applyFont="1" applyFill="1" applyBorder="1" applyAlignment="1" applyProtection="1">
      <alignment horizontal="left"/>
    </xf>
    <xf numFmtId="0" fontId="122" fillId="0" borderId="0" xfId="0" applyFont="1" applyFill="1" applyBorder="1" applyAlignment="1" applyProtection="1">
      <alignment horizontal="left"/>
    </xf>
    <xf numFmtId="0" fontId="143" fillId="0" borderId="0" xfId="0" applyFont="1" applyFill="1" applyBorder="1" applyAlignment="1" applyProtection="1">
      <alignment horizontal="left" vertical="center"/>
    </xf>
    <xf numFmtId="0" fontId="99" fillId="0" borderId="0" xfId="0" applyFont="1" applyFill="1" applyBorder="1" applyAlignment="1" applyProtection="1">
      <alignment horizontal="left" wrapText="1"/>
    </xf>
    <xf numFmtId="0" fontId="122" fillId="0" borderId="0" xfId="0" applyFont="1" applyFill="1" applyBorder="1" applyAlignment="1" applyProtection="1">
      <alignment wrapText="1"/>
    </xf>
    <xf numFmtId="38" fontId="122" fillId="0" borderId="0" xfId="0" applyNumberFormat="1" applyFont="1" applyFill="1" applyBorder="1" applyAlignment="1" applyProtection="1">
      <alignment horizontal="left" vertical="center"/>
    </xf>
    <xf numFmtId="1" fontId="122" fillId="0" borderId="0" xfId="1" applyNumberFormat="1" applyFont="1" applyFill="1" applyBorder="1" applyAlignment="1" applyProtection="1">
      <alignment horizontal="center" vertical="center"/>
    </xf>
    <xf numFmtId="0" fontId="137" fillId="0" borderId="0" xfId="6" applyFont="1" applyFill="1" applyBorder="1" applyAlignment="1" applyProtection="1">
      <alignment horizontal="left" vertical="center"/>
    </xf>
    <xf numFmtId="0" fontId="145" fillId="0" borderId="0" xfId="6" applyFont="1" applyFill="1" applyBorder="1" applyAlignment="1" applyProtection="1">
      <alignment horizontal="left" vertical="center"/>
    </xf>
    <xf numFmtId="178" fontId="122" fillId="0" borderId="0" xfId="0" applyNumberFormat="1" applyFont="1" applyFill="1" applyBorder="1" applyAlignment="1" applyProtection="1">
      <alignment horizontal="left" vertical="center"/>
    </xf>
    <xf numFmtId="0" fontId="122" fillId="0" borderId="0" xfId="0" applyFont="1" applyFill="1" applyBorder="1" applyAlignment="1" applyProtection="1">
      <alignment horizontal="justify" vertical="top" wrapText="1"/>
    </xf>
    <xf numFmtId="42" fontId="122" fillId="0" borderId="0" xfId="2" applyNumberFormat="1" applyFont="1" applyFill="1" applyBorder="1" applyAlignment="1" applyProtection="1">
      <alignment horizontal="center" vertical="center"/>
    </xf>
    <xf numFmtId="42" fontId="106" fillId="0" borderId="0" xfId="2" applyNumberFormat="1" applyFont="1" applyFill="1" applyBorder="1" applyAlignment="1" applyProtection="1">
      <alignment horizontal="center" vertical="center"/>
    </xf>
    <xf numFmtId="3" fontId="122" fillId="0" borderId="0" xfId="0" applyNumberFormat="1" applyFont="1" applyFill="1" applyBorder="1" applyAlignment="1" applyProtection="1">
      <alignment horizontal="left" vertical="center"/>
    </xf>
    <xf numFmtId="0" fontId="109" fillId="0" borderId="0" xfId="0" applyFont="1" applyFill="1" applyBorder="1" applyAlignment="1" applyProtection="1">
      <alignment horizontal="left" vertical="top" wrapText="1"/>
    </xf>
    <xf numFmtId="0" fontId="119" fillId="0" borderId="0" xfId="0" applyFont="1" applyFill="1" applyBorder="1" applyAlignment="1" applyProtection="1">
      <alignment horizontal="center" wrapText="1"/>
    </xf>
    <xf numFmtId="0" fontId="96" fillId="0" borderId="0" xfId="0" applyFont="1" applyFill="1" applyBorder="1" applyAlignment="1" applyProtection="1">
      <alignment horizontal="left" vertical="top" wrapText="1"/>
    </xf>
    <xf numFmtId="0" fontId="100" fillId="0" borderId="0" xfId="0" applyFont="1" applyFill="1" applyBorder="1" applyAlignment="1" applyProtection="1">
      <alignment horizontal="center" vertical="center"/>
    </xf>
    <xf numFmtId="49" fontId="107" fillId="0" borderId="0" xfId="0" applyNumberFormat="1" applyFont="1" applyFill="1" applyBorder="1" applyAlignment="1" applyProtection="1">
      <alignment horizontal="left"/>
    </xf>
    <xf numFmtId="176" fontId="143" fillId="0" borderId="0" xfId="0" applyNumberFormat="1" applyFont="1" applyFill="1" applyBorder="1" applyAlignment="1" applyProtection="1">
      <alignment horizontal="left" vertical="center"/>
    </xf>
    <xf numFmtId="0" fontId="109" fillId="0" borderId="0" xfId="0" applyFont="1" applyFill="1" applyBorder="1" applyAlignment="1" applyProtection="1">
      <alignment horizontal="left"/>
    </xf>
    <xf numFmtId="0" fontId="163" fillId="0" borderId="0" xfId="0" applyFont="1" applyFill="1" applyBorder="1" applyAlignment="1" applyProtection="1">
      <alignment horizontal="center"/>
    </xf>
    <xf numFmtId="3" fontId="107" fillId="0" borderId="0" xfId="0" applyNumberFormat="1" applyFont="1" applyFill="1" applyBorder="1" applyAlignment="1" applyProtection="1">
      <alignment horizontal="center" vertical="center"/>
    </xf>
    <xf numFmtId="174" fontId="107" fillId="0" borderId="0" xfId="0" applyNumberFormat="1" applyFont="1" applyFill="1" applyBorder="1" applyAlignment="1" applyProtection="1">
      <alignment horizontal="center" vertical="center"/>
    </xf>
    <xf numFmtId="3" fontId="107" fillId="0" borderId="0" xfId="0" applyNumberFormat="1" applyFont="1" applyFill="1" applyBorder="1" applyAlignment="1" applyProtection="1">
      <alignment horizontal="left" vertical="center" wrapText="1"/>
    </xf>
    <xf numFmtId="0" fontId="106" fillId="0" borderId="0" xfId="0" applyFont="1" applyFill="1" applyBorder="1" applyAlignment="1" applyProtection="1">
      <alignment vertical="top"/>
    </xf>
    <xf numFmtId="0" fontId="107" fillId="0" borderId="0" xfId="0" applyFont="1" applyFill="1" applyBorder="1" applyAlignment="1" applyProtection="1">
      <alignment vertical="center" wrapText="1"/>
    </xf>
    <xf numFmtId="0" fontId="106" fillId="0" borderId="0" xfId="0" applyFont="1" applyFill="1" applyBorder="1" applyAlignment="1" applyProtection="1">
      <alignment vertical="center" wrapText="1"/>
    </xf>
    <xf numFmtId="0" fontId="107" fillId="0" borderId="0" xfId="0" applyFont="1" applyFill="1" applyBorder="1" applyAlignment="1" applyProtection="1">
      <alignment horizontal="left" vertical="top"/>
    </xf>
    <xf numFmtId="38" fontId="169" fillId="0" borderId="0" xfId="0" applyNumberFormat="1" applyFont="1" applyFill="1" applyBorder="1" applyAlignment="1" applyProtection="1">
      <alignment horizontal="center"/>
    </xf>
    <xf numFmtId="0" fontId="107" fillId="0" borderId="0" xfId="0" applyFont="1" applyFill="1" applyBorder="1" applyAlignment="1" applyProtection="1">
      <alignment horizontal="justify" wrapText="1"/>
    </xf>
    <xf numFmtId="0" fontId="95" fillId="0" borderId="0" xfId="0" applyFont="1" applyFill="1" applyBorder="1" applyAlignment="1" applyProtection="1">
      <alignment horizontal="center" vertical="top"/>
    </xf>
    <xf numFmtId="0" fontId="96" fillId="0" borderId="0" xfId="0" applyFont="1" applyFill="1" applyBorder="1" applyAlignment="1" applyProtection="1">
      <alignment horizontal="center"/>
    </xf>
    <xf numFmtId="0" fontId="107" fillId="0" borderId="0" xfId="0" applyFont="1" applyFill="1" applyBorder="1" applyAlignment="1" applyProtection="1">
      <alignment horizontal="left" wrapText="1"/>
    </xf>
    <xf numFmtId="0" fontId="121" fillId="0" borderId="0" xfId="0" applyFont="1" applyFill="1" applyBorder="1" applyAlignment="1" applyProtection="1">
      <alignment horizontal="center" vertical="top" wrapText="1"/>
    </xf>
    <xf numFmtId="0" fontId="107" fillId="0" borderId="0" xfId="0" applyFont="1" applyFill="1" applyBorder="1" applyAlignment="1" applyProtection="1">
      <alignment horizontal="center" vertical="top" wrapText="1"/>
    </xf>
    <xf numFmtId="0" fontId="121" fillId="0" borderId="0" xfId="0" applyFont="1" applyFill="1" applyBorder="1" applyAlignment="1" applyProtection="1">
      <alignment horizontal="center" vertical="center" wrapText="1"/>
    </xf>
    <xf numFmtId="0" fontId="107" fillId="0" borderId="0" xfId="0" applyFont="1" applyFill="1" applyBorder="1" applyAlignment="1" applyProtection="1">
      <alignment horizontal="center" vertical="center" wrapText="1"/>
    </xf>
    <xf numFmtId="3" fontId="107" fillId="0" borderId="0" xfId="0" applyNumberFormat="1" applyFont="1" applyFill="1" applyBorder="1" applyAlignment="1" applyProtection="1">
      <alignment horizontal="center" vertical="center" wrapText="1"/>
    </xf>
  </cellXfs>
  <cellStyles count="14">
    <cellStyle name="Comma" xfId="1" builtinId="3"/>
    <cellStyle name="Currency" xfId="2" builtinId="4"/>
    <cellStyle name="Grey" xfId="3"/>
    <cellStyle name="Header1" xfId="4"/>
    <cellStyle name="Header2" xfId="5"/>
    <cellStyle name="Hyperlink" xfId="6" builtinId="8"/>
    <cellStyle name="Input [yellow]" xfId="7"/>
    <cellStyle name="Normal" xfId="0" builtinId="0"/>
    <cellStyle name="Normal - Style1" xfId="8"/>
    <cellStyle name="Normal 2" xfId="12"/>
    <cellStyle name="Normal 3" xfId="13"/>
    <cellStyle name="Normal_'96-'97 Rent Tables" xfId="9"/>
    <cellStyle name="Percent" xfId="10" builtinId="5"/>
    <cellStyle name="Percent [2]" xfId="11"/>
  </cellStyles>
  <dxfs count="23">
    <dxf>
      <fill>
        <patternFill>
          <bgColor indexed="45"/>
        </patternFill>
      </fill>
      <border>
        <left style="thin">
          <color indexed="64"/>
        </left>
        <right style="thin">
          <color indexed="64"/>
        </right>
        <top style="thin">
          <color indexed="64"/>
        </top>
        <bottom style="thin">
          <color indexed="64"/>
        </bottom>
      </border>
    </dxf>
    <dxf>
      <font>
        <color rgb="FFFF0000"/>
      </font>
      <fill>
        <patternFill>
          <bgColor rgb="FFFFFF00"/>
        </patternFill>
      </fill>
    </dxf>
    <dxf>
      <font>
        <b/>
        <i val="0"/>
        <color rgb="FFFF0000"/>
      </font>
      <fill>
        <patternFill>
          <bgColor rgb="FFFFFF00"/>
        </patternFill>
      </fill>
    </dxf>
    <dxf>
      <fill>
        <patternFill>
          <bgColor indexed="45"/>
        </patternFill>
      </fill>
      <border>
        <left style="thin">
          <color indexed="64"/>
        </left>
        <right style="thin">
          <color indexed="64"/>
        </right>
        <top style="thin">
          <color indexed="64"/>
        </top>
        <bottom style="thin">
          <color indexed="64"/>
        </bottom>
      </border>
    </dxf>
    <dxf>
      <font>
        <b/>
        <i val="0"/>
      </font>
      <fill>
        <patternFill>
          <bgColor rgb="FFFFC7CE"/>
        </patternFill>
      </fill>
    </dxf>
    <dxf>
      <fill>
        <patternFill>
          <bgColor indexed="43"/>
        </patternFill>
      </fill>
      <border>
        <left style="thin">
          <color indexed="64"/>
        </left>
        <right style="thin">
          <color indexed="64"/>
        </right>
        <top style="thin">
          <color indexed="64"/>
        </top>
        <bottom style="thin">
          <color indexed="64"/>
        </bottom>
      </border>
    </dxf>
    <dxf>
      <font>
        <b/>
        <i val="0"/>
        <condense val="0"/>
        <extend val="0"/>
        <color auto="1"/>
      </font>
      <fill>
        <patternFill>
          <bgColor indexed="43"/>
        </patternFill>
      </fill>
      <border>
        <left style="thin">
          <color indexed="64"/>
        </left>
        <right style="thin">
          <color indexed="64"/>
        </right>
        <top style="thin">
          <color indexed="64"/>
        </top>
        <bottom style="thin">
          <color indexed="64"/>
        </bottom>
      </border>
    </dxf>
    <dxf>
      <font>
        <b/>
        <i val="0"/>
        <condense val="0"/>
        <extend val="0"/>
        <color indexed="10"/>
      </font>
      <fill>
        <patternFill>
          <bgColor indexed="13"/>
        </patternFill>
      </fill>
      <border>
        <left style="thin">
          <color indexed="64"/>
        </left>
        <right style="thin">
          <color indexed="64"/>
        </right>
        <top style="thin">
          <color indexed="64"/>
        </top>
        <bottom style="thin">
          <color indexed="64"/>
        </bottom>
      </border>
    </dxf>
    <dxf>
      <font>
        <b/>
        <i val="0"/>
        <condense val="0"/>
        <extend val="0"/>
        <color indexed="10"/>
      </font>
    </dxf>
    <dxf>
      <font>
        <b/>
        <i val="0"/>
        <color rgb="FFFF0000"/>
      </font>
      <fill>
        <patternFill>
          <bgColor rgb="FFFFFF00"/>
        </patternFill>
      </fill>
    </dxf>
    <dxf>
      <font>
        <color rgb="FFFF0000"/>
      </font>
      <fill>
        <patternFill>
          <bgColor rgb="FFFFFF00"/>
        </patternFill>
      </fill>
    </dxf>
    <dxf>
      <font>
        <b/>
        <i val="0"/>
        <color rgb="FFFF0000"/>
      </font>
      <fill>
        <patternFill>
          <bgColor rgb="FFFFFF00"/>
        </patternFill>
      </fill>
    </dxf>
    <dxf>
      <fill>
        <patternFill>
          <bgColor indexed="45"/>
        </patternFill>
      </fill>
      <border>
        <left style="thin">
          <color indexed="64"/>
        </left>
        <right style="thin">
          <color indexed="64"/>
        </right>
        <top style="thin">
          <color indexed="64"/>
        </top>
        <bottom style="thin">
          <color indexed="64"/>
        </bottom>
      </border>
    </dxf>
    <dxf>
      <font>
        <b/>
        <i val="0"/>
      </font>
      <fill>
        <patternFill>
          <bgColor rgb="FFFFC7CE"/>
        </patternFill>
      </fill>
    </dxf>
    <dxf>
      <fill>
        <patternFill>
          <bgColor indexed="43"/>
        </patternFill>
      </fill>
      <border>
        <left style="thin">
          <color indexed="64"/>
        </left>
        <right style="thin">
          <color indexed="64"/>
        </right>
        <top style="thin">
          <color indexed="64"/>
        </top>
        <bottom style="thin">
          <color indexed="64"/>
        </bottom>
      </border>
    </dxf>
    <dxf>
      <font>
        <b/>
        <i val="0"/>
        <condense val="0"/>
        <extend val="0"/>
        <color auto="1"/>
      </font>
      <fill>
        <patternFill>
          <bgColor indexed="43"/>
        </patternFill>
      </fill>
      <border>
        <left style="thin">
          <color indexed="64"/>
        </left>
        <right style="thin">
          <color indexed="64"/>
        </right>
        <top style="thin">
          <color indexed="64"/>
        </top>
        <bottom style="thin">
          <color indexed="64"/>
        </bottom>
      </border>
    </dxf>
    <dxf>
      <font>
        <color rgb="FFC00000"/>
      </font>
      <fill>
        <patternFill>
          <bgColor rgb="FFFD938B"/>
        </patternFill>
      </fill>
    </dxf>
    <dxf>
      <font>
        <condense val="0"/>
        <extend val="0"/>
        <color rgb="FF9C0006"/>
      </font>
      <fill>
        <patternFill>
          <bgColor rgb="FFFFC7CE"/>
        </patternFill>
      </fill>
    </dxf>
    <dxf>
      <font>
        <condense val="0"/>
        <extend val="0"/>
        <color rgb="FF9C0006"/>
      </font>
      <fill>
        <patternFill>
          <bgColor rgb="FFFFC7CE"/>
        </patternFill>
      </fill>
    </dxf>
    <dxf>
      <fill>
        <patternFill>
          <bgColor indexed="45"/>
        </patternFill>
      </fill>
    </dxf>
    <dxf>
      <font>
        <b/>
        <i val="0"/>
        <condense val="0"/>
        <extend val="0"/>
        <color indexed="10"/>
      </font>
      <fill>
        <patternFill>
          <bgColor indexed="13"/>
        </patternFill>
      </fill>
      <border>
        <left style="thin">
          <color indexed="64"/>
        </left>
        <right style="thin">
          <color indexed="64"/>
        </right>
        <top style="thin">
          <color indexed="64"/>
        </top>
        <bottom style="thin">
          <color indexed="64"/>
        </bottom>
      </border>
    </dxf>
    <dxf>
      <fill>
        <patternFill>
          <bgColor indexed="45"/>
        </patternFill>
      </fill>
    </dxf>
    <dxf>
      <font>
        <b/>
        <i val="0"/>
        <condense val="0"/>
        <extend val="0"/>
        <color indexed="10"/>
      </font>
    </dxf>
  </dxfs>
  <tableStyles count="0" defaultTableStyle="TableStyleMedium9" defaultPivotStyle="PivotStyleLight16"/>
  <colors>
    <mruColors>
      <color rgb="FFFFFFCC"/>
      <color rgb="FFFFFF99"/>
      <color rgb="FFFFCCFF"/>
      <color rgb="FFFD938B"/>
      <color rgb="FFCCFFFF"/>
      <color rgb="FFCCFFCC"/>
      <color rgb="FF0066FF"/>
      <color rgb="FFCCFF99"/>
      <color rgb="FFFB5B5B"/>
      <color rgb="FFCAB2D8"/>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externalLink" Target="externalLinks/externalLink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ustomXml" Target="../customXml/item3.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ustomXml" Target="../customXml/item2.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ustomXml" Target="../customXml/item1.xml"/></Relationships>
</file>

<file path=xl/drawings/_rels/vmlDrawing1.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10.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2.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3.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4.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5.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6.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7.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8.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9.vml.rels><?xml version="1.0" encoding="UTF-8" standalone="yes"?>
<Relationships xmlns="http://schemas.openxmlformats.org/package/2006/relationships"><Relationship Id="rId1" Type="http://schemas.openxmlformats.org/officeDocument/2006/relationships/image" Target="../media/image1.jpeg"/></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Users/stephen.barrett/AppData/Roaming/Microsoft/Excel/Documents%20and%20Settings/nathanm/Local%20Settings/Temporary%20Internet%20Files/OLK8/My%20Documents/Focus%20Group/Summit%20Ridge%20(8-30-02).xls"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TOC"/>
      <sheetName val="SYND"/>
      <sheetName val="GEN"/>
      <sheetName val="RENT"/>
      <sheetName val="CASH"/>
      <sheetName val="LOSS"/>
      <sheetName val="BENEFITS"/>
      <sheetName val="SALES1"/>
      <sheetName val="SALES2"/>
      <sheetName val="SALES3"/>
      <sheetName val="SOURCE"/>
      <sheetName val="FLOW"/>
      <sheetName val="TAXCREDIT"/>
      <sheetName val="Funded Expenses"/>
      <sheetName val="CPI"/>
      <sheetName val="AMORT"/>
      <sheetName val="AMORT2"/>
      <sheetName val="DDF"/>
      <sheetName val="RESERVES"/>
      <sheetName val="DEPREC"/>
      <sheetName val="QIRR"/>
      <sheetName val="704B"/>
      <sheetName val="ASSETS"/>
      <sheetName val="DEDUCT"/>
      <sheetName val="MINGAIN"/>
      <sheetName val="MINGAIN2"/>
      <sheetName val="REALLOC"/>
      <sheetName val="dep %"/>
    </sheetNames>
    <sheetDataSet>
      <sheetData sheetId="0"/>
      <sheetData sheetId="1">
        <row r="4">
          <cell r="J4" t="str">
            <v>State Investor</v>
          </cell>
          <cell r="K4" t="str">
            <v>G.P. Contribution</v>
          </cell>
        </row>
        <row r="5">
          <cell r="J5">
            <v>501550</v>
          </cell>
          <cell r="K5">
            <v>0</v>
          </cell>
        </row>
        <row r="6">
          <cell r="J6">
            <v>0</v>
          </cell>
          <cell r="K6">
            <v>0</v>
          </cell>
        </row>
        <row r="7">
          <cell r="J7">
            <v>0</v>
          </cell>
        </row>
        <row r="8">
          <cell r="J8">
            <v>451395</v>
          </cell>
        </row>
        <row r="9">
          <cell r="J9">
            <v>50155</v>
          </cell>
        </row>
        <row r="11">
          <cell r="J11">
            <v>501550</v>
          </cell>
          <cell r="K11">
            <v>0</v>
          </cell>
        </row>
        <row r="12">
          <cell r="M12">
            <v>0</v>
          </cell>
        </row>
        <row r="13">
          <cell r="J13">
            <v>0.25</v>
          </cell>
        </row>
      </sheetData>
      <sheetData sheetId="2">
        <row r="3">
          <cell r="J3">
            <v>5485833</v>
          </cell>
        </row>
        <row r="4">
          <cell r="J4">
            <v>6.5000000000000002E-2</v>
          </cell>
        </row>
        <row r="5">
          <cell r="J5">
            <v>360</v>
          </cell>
        </row>
        <row r="6">
          <cell r="J6">
            <v>360</v>
          </cell>
        </row>
        <row r="8">
          <cell r="J8">
            <v>2003</v>
          </cell>
        </row>
        <row r="9">
          <cell r="J9">
            <v>11</v>
          </cell>
        </row>
        <row r="10">
          <cell r="J10">
            <v>1</v>
          </cell>
        </row>
        <row r="13">
          <cell r="J13">
            <v>0</v>
          </cell>
        </row>
        <row r="14">
          <cell r="J14">
            <v>7.0000000000000007E-2</v>
          </cell>
        </row>
        <row r="16">
          <cell r="J16">
            <v>60</v>
          </cell>
        </row>
        <row r="17">
          <cell r="J17">
            <v>60</v>
          </cell>
        </row>
        <row r="19">
          <cell r="J19">
            <v>2003</v>
          </cell>
        </row>
        <row r="21">
          <cell r="J21">
            <v>5</v>
          </cell>
        </row>
        <row r="22">
          <cell r="J22">
            <v>1</v>
          </cell>
        </row>
        <row r="24">
          <cell r="J24">
            <v>0</v>
          </cell>
        </row>
        <row r="25">
          <cell r="J25">
            <v>0.05</v>
          </cell>
        </row>
        <row r="26">
          <cell r="J26">
            <v>118</v>
          </cell>
        </row>
        <row r="27">
          <cell r="J27">
            <v>118</v>
          </cell>
        </row>
        <row r="29">
          <cell r="J29">
            <v>2002</v>
          </cell>
        </row>
        <row r="30">
          <cell r="J30">
            <v>9</v>
          </cell>
        </row>
        <row r="31">
          <cell r="J31">
            <v>1</v>
          </cell>
        </row>
        <row r="33">
          <cell r="J33">
            <v>3139.4375653333418</v>
          </cell>
        </row>
        <row r="35">
          <cell r="J35">
            <v>452482.58931107167</v>
          </cell>
        </row>
      </sheetData>
      <sheetData sheetId="3" refreshError="1"/>
      <sheetData sheetId="4"/>
      <sheetData sheetId="5"/>
      <sheetData sheetId="6"/>
      <sheetData sheetId="7"/>
      <sheetData sheetId="8"/>
      <sheetData sheetId="9"/>
      <sheetData sheetId="10"/>
      <sheetData sheetId="11"/>
      <sheetData sheetId="12"/>
      <sheetData sheetId="13" refreshError="1"/>
      <sheetData sheetId="14" refreshError="1"/>
      <sheetData sheetId="15"/>
      <sheetData sheetId="16" refreshError="1"/>
      <sheetData sheetId="17" refreshError="1"/>
      <sheetData sheetId="18" refreshError="1"/>
      <sheetData sheetId="19"/>
      <sheetData sheetId="20" refreshError="1"/>
      <sheetData sheetId="21" refreshError="1"/>
      <sheetData sheetId="22" refreshError="1"/>
      <sheetData sheetId="23" refreshError="1"/>
      <sheetData sheetId="24" refreshError="1"/>
      <sheetData sheetId="25" refreshError="1"/>
      <sheetData sheetId="26" refreshError="1"/>
      <sheetData sheetId="27"/>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vmlDrawing" Target="../drawings/vmlDrawing7.v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vmlDrawing" Target="../drawings/vmlDrawing8.v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vmlDrawing" Target="../drawings/vmlDrawing9.v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vmlDrawing" Target="../drawings/vmlDrawing10.v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3" Type="http://schemas.openxmlformats.org/officeDocument/2006/relationships/hyperlink" Target="http://zip4.usps.com/zip4/welcome.jsp" TargetMode="External"/><Relationship Id="rId2" Type="http://schemas.openxmlformats.org/officeDocument/2006/relationships/hyperlink" Target="http://votesmart.org/" TargetMode="External"/><Relationship Id="rId1" Type="http://schemas.openxmlformats.org/officeDocument/2006/relationships/hyperlink" Target="http://zip4.usps.com/zip4/welcome.jsp" TargetMode="External"/><Relationship Id="rId4"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2.bin"/><Relationship Id="rId2" Type="http://schemas.openxmlformats.org/officeDocument/2006/relationships/hyperlink" Target="http://votesmart.org/" TargetMode="External"/><Relationship Id="rId1" Type="http://schemas.openxmlformats.org/officeDocument/2006/relationships/hyperlink" Target="http://zip4.usps.com/zip4/welcome.jsp" TargetMode="External"/><Relationship Id="rId4" Type="http://schemas.openxmlformats.org/officeDocument/2006/relationships/vmlDrawing" Target="../drawings/vmlDrawing1.v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printerSettings" Target="../printerSettings/printerSettings3.bin"/><Relationship Id="rId1" Type="http://schemas.openxmlformats.org/officeDocument/2006/relationships/hyperlink" Target="http://zip4.usps.com/zip4/welcome.jsp" TargetMode="External"/></Relationships>
</file>

<file path=xl/worksheets/_rels/sheet4.xml.rels><?xml version="1.0" encoding="UTF-8" standalone="yes"?>
<Relationships xmlns="http://schemas.openxmlformats.org/package/2006/relationships"><Relationship Id="rId2" Type="http://schemas.openxmlformats.org/officeDocument/2006/relationships/vmlDrawing" Target="../drawings/vmlDrawing3.v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vmlDrawing" Target="../drawings/vmlDrawing4.v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vmlDrawing" Target="../drawings/vmlDrawing5.v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vmlDrawing" Target="../drawings/vmlDrawing6.v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sheetPr codeName="Sheet15">
    <pageSetUpPr fitToPage="1"/>
  </sheetPr>
  <dimension ref="A1:F23"/>
  <sheetViews>
    <sheetView showGridLines="0" zoomScale="75" zoomScaleNormal="75" workbookViewId="0">
      <selection sqref="A1:XFD1048576"/>
    </sheetView>
  </sheetViews>
  <sheetFormatPr defaultRowHeight="12.75"/>
  <cols>
    <col min="1" max="1" width="144.85546875" style="31" customWidth="1"/>
    <col min="2" max="16384" width="9.140625" style="31"/>
  </cols>
  <sheetData>
    <row r="1" spans="1:6" ht="15.75">
      <c r="A1" s="1222" t="s">
        <v>1033</v>
      </c>
    </row>
    <row r="2" spans="1:6" ht="16.5">
      <c r="A2" s="1223" t="str">
        <f>'Part I-Project Information'!F23</f>
        <v>Highland Estates</v>
      </c>
    </row>
    <row r="3" spans="1:6" ht="16.5">
      <c r="A3" s="1223" t="str">
        <f>CONCATENATE('Part I-Project Information'!F27,", ", 'Part I-Project Information'!J28," County")</f>
        <v>Rome, Floyd County</v>
      </c>
    </row>
    <row r="4" spans="1:6" ht="12" customHeight="1"/>
    <row r="5" spans="1:6" ht="111" customHeight="1">
      <c r="A5" s="1353" t="s">
        <v>3510</v>
      </c>
      <c r="B5" s="1352" t="s">
        <v>2914</v>
      </c>
      <c r="C5" s="1352"/>
      <c r="D5" s="1352"/>
      <c r="E5" s="1352"/>
      <c r="F5" s="1352"/>
    </row>
    <row r="6" spans="1:6" ht="6.6" customHeight="1">
      <c r="A6" s="1353"/>
      <c r="B6" s="1352"/>
      <c r="C6" s="1352"/>
      <c r="D6" s="1352"/>
      <c r="E6" s="1352"/>
      <c r="F6" s="1352"/>
    </row>
    <row r="7" spans="1:6" ht="93" customHeight="1">
      <c r="A7" s="1353"/>
    </row>
    <row r="8" spans="1:6" ht="6.6" customHeight="1">
      <c r="A8" s="1353"/>
    </row>
    <row r="9" spans="1:6" ht="93" customHeight="1">
      <c r="A9" s="1353"/>
    </row>
    <row r="10" spans="1:6" ht="6.6" customHeight="1">
      <c r="A10" s="1353"/>
    </row>
    <row r="11" spans="1:6" ht="93" customHeight="1">
      <c r="A11" s="1353"/>
    </row>
    <row r="12" spans="1:6" ht="6.6" customHeight="1">
      <c r="A12" s="1353"/>
    </row>
    <row r="13" spans="1:6" ht="93" customHeight="1">
      <c r="A13" s="1353"/>
    </row>
    <row r="14" spans="1:6" ht="6.6" customHeight="1">
      <c r="A14" s="1353"/>
    </row>
    <row r="15" spans="1:6" ht="93" customHeight="1">
      <c r="A15" s="1353"/>
    </row>
    <row r="16" spans="1:6" ht="6.6" customHeight="1">
      <c r="A16" s="1353"/>
    </row>
    <row r="17" spans="1:1" ht="93" customHeight="1">
      <c r="A17" s="1353"/>
    </row>
    <row r="18" spans="1:1" ht="6.6" customHeight="1">
      <c r="A18" s="1353"/>
    </row>
    <row r="19" spans="1:1" ht="93" customHeight="1">
      <c r="A19" s="1353"/>
    </row>
    <row r="20" spans="1:1" ht="6.6" customHeight="1">
      <c r="A20" s="1353"/>
    </row>
    <row r="21" spans="1:1" ht="93" customHeight="1">
      <c r="A21" s="1353"/>
    </row>
    <row r="22" spans="1:1" ht="6.6" customHeight="1">
      <c r="A22" s="1353"/>
    </row>
    <row r="23" spans="1:1" ht="93" customHeight="1">
      <c r="A23" s="1353"/>
    </row>
  </sheetData>
  <sheetProtection password="ACD2" sheet="1" objects="1" scenarios="1" formatColumns="0" formatRows="0"/>
  <mergeCells count="2">
    <mergeCell ref="B5:F6"/>
    <mergeCell ref="A5:A23"/>
  </mergeCells>
  <phoneticPr fontId="6" type="noConversion"/>
  <printOptions horizontalCentered="1"/>
  <pageMargins left="0.5" right="0.5" top="0.5" bottom="0.5" header="0.5" footer="0.25"/>
  <pageSetup scale="67" fitToHeight="0" orientation="portrait" r:id="rId1"/>
  <headerFooter alignWithMargins="0">
    <oddFooter>&amp;L2013 Project Narrative&amp;C&amp;F&amp;R&amp;9&amp;P of &amp;N</oddFooter>
  </headerFooter>
</worksheet>
</file>

<file path=xl/worksheets/sheet10.xml><?xml version="1.0" encoding="utf-8"?>
<worksheet xmlns="http://schemas.openxmlformats.org/spreadsheetml/2006/main" xmlns:r="http://schemas.openxmlformats.org/officeDocument/2006/relationships">
  <sheetPr codeName="Sheet11">
    <pageSetUpPr fitToPage="1"/>
  </sheetPr>
  <dimension ref="A1:O138"/>
  <sheetViews>
    <sheetView showGridLines="0" showZeros="0" topLeftCell="A16" zoomScale="90" zoomScaleNormal="90" workbookViewId="0">
      <selection activeCell="A16" sqref="A1:XFD1048576"/>
    </sheetView>
  </sheetViews>
  <sheetFormatPr defaultColWidth="8.85546875" defaultRowHeight="12.75"/>
  <cols>
    <col min="1" max="1" width="22.28515625" style="9" customWidth="1"/>
    <col min="2" max="11" width="12" style="9" customWidth="1"/>
    <col min="12" max="12" width="7.140625" style="9" customWidth="1"/>
    <col min="13" max="13" width="19.140625" style="9" customWidth="1"/>
    <col min="14" max="14" width="83" style="9" customWidth="1"/>
    <col min="15" max="16384" width="8.85546875" style="9"/>
  </cols>
  <sheetData>
    <row r="1" spans="1:15" s="19" customFormat="1" ht="13.9" customHeight="1">
      <c r="A1" s="1817" t="str">
        <f>CONCATENATE("PART SEVEN - OPERATING PRO FORMA","  -  ",'Part I-Project Information'!$O$4," ",'Part I-Project Information'!$F$23,", ",'Part I-Project Information'!F27,", ",'Part I-Project Information'!J28," County")</f>
        <v>PART SEVEN - OPERATING PRO FORMA  -  2014-028 Highland Estates, Rome, Floyd County</v>
      </c>
      <c r="B1" s="1818"/>
      <c r="C1" s="1818"/>
      <c r="D1" s="1818"/>
      <c r="E1" s="1818"/>
      <c r="F1" s="1818"/>
      <c r="G1" s="1818"/>
      <c r="H1" s="1818"/>
      <c r="I1" s="1818"/>
      <c r="J1" s="1818"/>
      <c r="K1" s="1562"/>
      <c r="L1" s="11"/>
      <c r="M1" s="1815" t="str">
        <f>A1</f>
        <v>PART SEVEN - OPERATING PRO FORMA  -  2014-028 Highland Estates, Rome, Floyd County</v>
      </c>
      <c r="N1" s="1815"/>
      <c r="O1" s="11"/>
    </row>
    <row r="2" spans="1:15" ht="13.5" customHeight="1">
      <c r="A2" s="646"/>
      <c r="B2" s="646"/>
      <c r="C2" s="646"/>
      <c r="D2" s="646"/>
      <c r="E2" s="646"/>
      <c r="F2" s="646"/>
      <c r="G2" s="646"/>
      <c r="H2" s="646"/>
      <c r="I2" s="646"/>
      <c r="J2" s="646"/>
      <c r="K2" s="646"/>
      <c r="M2" s="1816" t="s">
        <v>1966</v>
      </c>
      <c r="N2" s="1816"/>
    </row>
    <row r="3" spans="1:15" ht="13.5">
      <c r="A3" s="16" t="s">
        <v>93</v>
      </c>
      <c r="D3" s="16" t="s">
        <v>83</v>
      </c>
      <c r="E3" s="264"/>
      <c r="F3" s="331" t="s">
        <v>1103</v>
      </c>
      <c r="M3" s="16" t="str">
        <f>A3</f>
        <v>I.  OPERATING ASSUMPTIONS</v>
      </c>
      <c r="N3" s="35"/>
    </row>
    <row r="4" spans="1:15" ht="2.4500000000000002" customHeight="1">
      <c r="A4" s="19"/>
      <c r="B4" s="19"/>
      <c r="C4" s="19"/>
      <c r="H4" s="19"/>
      <c r="I4" s="19"/>
    </row>
    <row r="5" spans="1:15" ht="13.5" customHeight="1">
      <c r="A5" s="19" t="s">
        <v>2321</v>
      </c>
      <c r="B5" s="91">
        <v>0.02</v>
      </c>
      <c r="C5" s="19"/>
      <c r="D5" s="19" t="s">
        <v>832</v>
      </c>
      <c r="F5" s="19"/>
      <c r="G5" s="1277">
        <v>5000</v>
      </c>
      <c r="H5" s="113" t="s">
        <v>2033</v>
      </c>
      <c r="K5" s="118">
        <f>IF(($B$14+$B$15+$B$16+$B$17)=0,"",B28/($B$14+$B$15+$B$16+$B$17))</f>
        <v>-1.0412815538903681E-2</v>
      </c>
      <c r="M5" s="1641"/>
      <c r="N5" s="1642"/>
    </row>
    <row r="6" spans="1:15">
      <c r="A6" s="19" t="s">
        <v>2322</v>
      </c>
      <c r="B6" s="91">
        <v>0.03</v>
      </c>
      <c r="C6" s="19"/>
      <c r="D6" s="19"/>
      <c r="E6" s="19"/>
      <c r="F6" s="19"/>
      <c r="G6" s="19"/>
      <c r="H6" s="19"/>
      <c r="I6" s="19"/>
      <c r="J6" s="19"/>
      <c r="K6" s="19"/>
      <c r="M6" s="1643"/>
      <c r="N6" s="1644"/>
    </row>
    <row r="7" spans="1:15">
      <c r="A7" s="19" t="s">
        <v>2324</v>
      </c>
      <c r="B7" s="91">
        <v>0.03</v>
      </c>
      <c r="C7" s="19"/>
      <c r="D7" s="93" t="s">
        <v>284</v>
      </c>
      <c r="G7" s="95"/>
      <c r="H7" s="113" t="s">
        <v>2522</v>
      </c>
      <c r="K7" s="118">
        <f>IF(($B$14+$B$15+$B$16+$B$17)=0,"",-B20/($B$14+$B$15+$B$16+$B$17))</f>
        <v>8.396894450571929E-2</v>
      </c>
      <c r="M7" s="1643"/>
      <c r="N7" s="1644"/>
    </row>
    <row r="8" spans="1:15" ht="13.15" customHeight="1">
      <c r="A8" s="19" t="s">
        <v>2323</v>
      </c>
      <c r="B8" s="1278">
        <v>7.0000000000000007E-2</v>
      </c>
      <c r="C8" s="19"/>
      <c r="D8" s="92" t="s">
        <v>2668</v>
      </c>
      <c r="G8" s="1279" t="s">
        <v>3452</v>
      </c>
      <c r="H8" s="202" t="s">
        <v>1533</v>
      </c>
      <c r="K8" s="1280">
        <v>40320</v>
      </c>
      <c r="M8" s="1643"/>
      <c r="N8" s="1644"/>
    </row>
    <row r="9" spans="1:15">
      <c r="A9" s="19" t="s">
        <v>1504</v>
      </c>
      <c r="B9" s="91">
        <v>0.02</v>
      </c>
      <c r="D9" s="92" t="s">
        <v>1830</v>
      </c>
      <c r="G9" s="1279"/>
      <c r="H9" s="202" t="s">
        <v>2502</v>
      </c>
      <c r="K9" s="1281"/>
      <c r="M9" s="1645"/>
      <c r="N9" s="1646"/>
    </row>
    <row r="10" spans="1:15" ht="13.5" customHeight="1"/>
    <row r="11" spans="1:15">
      <c r="A11" s="16" t="s">
        <v>94</v>
      </c>
      <c r="M11" s="16" t="str">
        <f>A11</f>
        <v>II.  OPERATING PRO FORMA</v>
      </c>
    </row>
    <row r="12" spans="1:15" ht="2.4500000000000002" customHeight="1"/>
    <row r="13" spans="1:15" ht="14.45" customHeight="1">
      <c r="A13" s="16" t="s">
        <v>2639</v>
      </c>
      <c r="B13" s="16">
        <v>1</v>
      </c>
      <c r="C13" s="16">
        <f t="shared" ref="C13:K13" si="0">B13+1</f>
        <v>2</v>
      </c>
      <c r="D13" s="16">
        <f t="shared" si="0"/>
        <v>3</v>
      </c>
      <c r="E13" s="16">
        <f t="shared" si="0"/>
        <v>4</v>
      </c>
      <c r="F13" s="16">
        <f t="shared" si="0"/>
        <v>5</v>
      </c>
      <c r="G13" s="16">
        <f t="shared" si="0"/>
        <v>6</v>
      </c>
      <c r="H13" s="16">
        <f t="shared" si="0"/>
        <v>7</v>
      </c>
      <c r="I13" s="16">
        <f t="shared" si="0"/>
        <v>8</v>
      </c>
      <c r="J13" s="16">
        <f t="shared" si="0"/>
        <v>9</v>
      </c>
      <c r="K13" s="16">
        <f t="shared" si="0"/>
        <v>10</v>
      </c>
      <c r="M13" s="1546" t="s">
        <v>2798</v>
      </c>
      <c r="N13" s="1546"/>
    </row>
    <row r="14" spans="1:15" ht="13.15" customHeight="1">
      <c r="A14" s="21" t="s">
        <v>2557</v>
      </c>
      <c r="B14" s="22">
        <f>'Part VI-Revenues &amp; Expenses'!L49</f>
        <v>506196</v>
      </c>
      <c r="C14" s="22">
        <f t="shared" ref="C14:K14" si="1">$B$14*(1+$B$5)^(C13-1)</f>
        <v>516319.92</v>
      </c>
      <c r="D14" s="22">
        <f t="shared" si="1"/>
        <v>526646.31839999999</v>
      </c>
      <c r="E14" s="22">
        <f t="shared" si="1"/>
        <v>537179.24476799998</v>
      </c>
      <c r="F14" s="22">
        <f t="shared" si="1"/>
        <v>547922.82966336003</v>
      </c>
      <c r="G14" s="22">
        <f t="shared" si="1"/>
        <v>558881.28625662718</v>
      </c>
      <c r="H14" s="22">
        <f t="shared" si="1"/>
        <v>570058.91198175983</v>
      </c>
      <c r="I14" s="22">
        <f t="shared" si="1"/>
        <v>581460.0902213949</v>
      </c>
      <c r="J14" s="22">
        <f t="shared" si="1"/>
        <v>593089.2920258228</v>
      </c>
      <c r="K14" s="23">
        <f t="shared" si="1"/>
        <v>604951.07786633924</v>
      </c>
      <c r="M14" s="1641"/>
      <c r="N14" s="1642"/>
    </row>
    <row r="15" spans="1:15" ht="13.15" customHeight="1">
      <c r="A15" s="24" t="s">
        <v>1072</v>
      </c>
      <c r="B15" s="25">
        <f>MIN(B14*B9,'Part VI-Revenues &amp; Expenses'!H104)</f>
        <v>10123.92</v>
      </c>
      <c r="C15" s="25">
        <f t="shared" ref="C15:K15" si="2">$B$15*(1+$B$5)^(C13-1)</f>
        <v>10326.3984</v>
      </c>
      <c r="D15" s="25">
        <f t="shared" si="2"/>
        <v>10532.926368</v>
      </c>
      <c r="E15" s="25">
        <f t="shared" si="2"/>
        <v>10743.58489536</v>
      </c>
      <c r="F15" s="25">
        <f t="shared" si="2"/>
        <v>10958.456593267199</v>
      </c>
      <c r="G15" s="25">
        <f t="shared" si="2"/>
        <v>11177.625725132544</v>
      </c>
      <c r="H15" s="25">
        <f t="shared" si="2"/>
        <v>11401.178239635195</v>
      </c>
      <c r="I15" s="25">
        <f t="shared" si="2"/>
        <v>11629.201804427898</v>
      </c>
      <c r="J15" s="25">
        <f t="shared" si="2"/>
        <v>11861.785840516455</v>
      </c>
      <c r="K15" s="26">
        <f t="shared" si="2"/>
        <v>12099.021557326785</v>
      </c>
      <c r="M15" s="1643"/>
      <c r="N15" s="1644"/>
    </row>
    <row r="16" spans="1:15" ht="13.15" customHeight="1">
      <c r="A16" s="24" t="s">
        <v>2558</v>
      </c>
      <c r="B16" s="25">
        <f t="shared" ref="B16:K16" si="3">-(B14+B15)*$B$8</f>
        <v>-36142.394400000005</v>
      </c>
      <c r="C16" s="25">
        <f t="shared" si="3"/>
        <v>-36865.242288000001</v>
      </c>
      <c r="D16" s="25">
        <f t="shared" si="3"/>
        <v>-37602.547133760003</v>
      </c>
      <c r="E16" s="25">
        <f t="shared" si="3"/>
        <v>-38354.598076435206</v>
      </c>
      <c r="F16" s="25">
        <f t="shared" si="3"/>
        <v>-39121.690037963905</v>
      </c>
      <c r="G16" s="25">
        <f t="shared" si="3"/>
        <v>-39904.123838723186</v>
      </c>
      <c r="H16" s="25">
        <f t="shared" si="3"/>
        <v>-40702.206315497657</v>
      </c>
      <c r="I16" s="25">
        <f t="shared" si="3"/>
        <v>-41516.250441807599</v>
      </c>
      <c r="J16" s="25">
        <f t="shared" si="3"/>
        <v>-42346.575450643752</v>
      </c>
      <c r="K16" s="26">
        <f t="shared" si="3"/>
        <v>-43193.506959656625</v>
      </c>
      <c r="M16" s="1643"/>
      <c r="N16" s="1644"/>
    </row>
    <row r="17" spans="1:14" ht="13.15" customHeight="1">
      <c r="A17" s="24" t="s">
        <v>55</v>
      </c>
      <c r="B17" s="25">
        <f>+'Part VI-Revenues &amp; Expenses'!G111</f>
        <v>0</v>
      </c>
      <c r="C17" s="25">
        <f>+'Part VI-Revenues &amp; Expenses'!H111</f>
        <v>0</v>
      </c>
      <c r="D17" s="25">
        <f>+'Part VI-Revenues &amp; Expenses'!I111</f>
        <v>0</v>
      </c>
      <c r="E17" s="25">
        <f>+'Part VI-Revenues &amp; Expenses'!J111</f>
        <v>0</v>
      </c>
      <c r="F17" s="25">
        <f>+'Part VI-Revenues &amp; Expenses'!K111</f>
        <v>0</v>
      </c>
      <c r="G17" s="25">
        <f>+'Part VI-Revenues &amp; Expenses'!L111</f>
        <v>0</v>
      </c>
      <c r="H17" s="25">
        <f>+'Part VI-Revenues &amp; Expenses'!M111</f>
        <v>0</v>
      </c>
      <c r="I17" s="25">
        <f>+'Part VI-Revenues &amp; Expenses'!N111</f>
        <v>0</v>
      </c>
      <c r="J17" s="25">
        <f>+'Part VI-Revenues &amp; Expenses'!O111</f>
        <v>0</v>
      </c>
      <c r="K17" s="26">
        <f>+'Part VI-Revenues &amp; Expenses'!P111</f>
        <v>0</v>
      </c>
      <c r="M17" s="1643"/>
      <c r="N17" s="1644"/>
    </row>
    <row r="18" spans="1:14" ht="13.15" customHeight="1">
      <c r="A18" s="24" t="s">
        <v>56</v>
      </c>
      <c r="B18" s="25">
        <f>'Part VI-Revenues &amp; Expenses'!G116</f>
        <v>0</v>
      </c>
      <c r="C18" s="25">
        <f>'Part VI-Revenues &amp; Expenses'!H116</f>
        <v>0</v>
      </c>
      <c r="D18" s="25">
        <f>'Part VI-Revenues &amp; Expenses'!I116</f>
        <v>0</v>
      </c>
      <c r="E18" s="25">
        <f>'Part VI-Revenues &amp; Expenses'!J116</f>
        <v>0</v>
      </c>
      <c r="F18" s="25">
        <f>'Part VI-Revenues &amp; Expenses'!K116</f>
        <v>0</v>
      </c>
      <c r="G18" s="25">
        <f>'Part VI-Revenues &amp; Expenses'!L116</f>
        <v>0</v>
      </c>
      <c r="H18" s="25">
        <f>'Part VI-Revenues &amp; Expenses'!M116</f>
        <v>0</v>
      </c>
      <c r="I18" s="25">
        <f>'Part VI-Revenues &amp; Expenses'!N116</f>
        <v>0</v>
      </c>
      <c r="J18" s="25">
        <f>'Part VI-Revenues &amp; Expenses'!O116</f>
        <v>0</v>
      </c>
      <c r="K18" s="26">
        <f>'Part VI-Revenues &amp; Expenses'!P116</f>
        <v>0</v>
      </c>
      <c r="M18" s="1643"/>
      <c r="N18" s="1644"/>
    </row>
    <row r="19" spans="1:14" ht="13.15" customHeight="1">
      <c r="A19" s="24" t="s">
        <v>650</v>
      </c>
      <c r="B19" s="25">
        <f>-('Part VI-Revenues &amp; Expenses'!P157-'Part VI-Revenues &amp; Expenses'!P147)</f>
        <v>-295680</v>
      </c>
      <c r="C19" s="25">
        <f t="shared" ref="C19:K19" si="4">$B$19*(1+$B$6)^(C13-1)</f>
        <v>-304550.40000000002</v>
      </c>
      <c r="D19" s="25">
        <f t="shared" si="4"/>
        <v>-313686.91200000001</v>
      </c>
      <c r="E19" s="25">
        <f t="shared" si="4"/>
        <v>-323097.51935999998</v>
      </c>
      <c r="F19" s="25">
        <f t="shared" si="4"/>
        <v>-332790.44494079996</v>
      </c>
      <c r="G19" s="25">
        <f t="shared" si="4"/>
        <v>-342774.15828902397</v>
      </c>
      <c r="H19" s="25">
        <f t="shared" si="4"/>
        <v>-353057.38303769467</v>
      </c>
      <c r="I19" s="25">
        <f t="shared" si="4"/>
        <v>-363649.10452882556</v>
      </c>
      <c r="J19" s="25">
        <f t="shared" si="4"/>
        <v>-374558.57766469027</v>
      </c>
      <c r="K19" s="26">
        <f t="shared" si="4"/>
        <v>-385795.334994631</v>
      </c>
      <c r="M19" s="1643"/>
      <c r="N19" s="1644"/>
    </row>
    <row r="20" spans="1:14" ht="13.15" customHeight="1">
      <c r="A20" s="24" t="s">
        <v>1174</v>
      </c>
      <c r="B20" s="25">
        <f>IF(AND('Part VII-Pro Forma'!$G$8="Yes",'Part VII-Pro Forma'!$G$9="Yes"),"Choose One!",IF('Part VII-Pro Forma'!$G$8="Yes",ROUND((-$K$8*(1+'Part VII-Pro Forma'!$B$6)^('Part VII-Pro Forma'!B13-1)),),IF('Part VII-Pro Forma'!$G$9="Yes",ROUND((-(SUM(B14:B17)*'Part VII-Pro Forma'!$K$9)),),"Choose mgt fee")))</f>
        <v>-40320</v>
      </c>
      <c r="C20" s="25">
        <f>IF(AND('Part VII-Pro Forma'!$G$8="Yes",'Part VII-Pro Forma'!$G$9="Yes"),"Choose One!",IF('Part VII-Pro Forma'!$G$8="Yes",ROUND((-$K$8*(1+'Part VII-Pro Forma'!$B$6)^('Part VII-Pro Forma'!C13-1)),),IF('Part VII-Pro Forma'!$G$9="Yes",ROUND((-(SUM(C14:C17)*'Part VII-Pro Forma'!$K$9)),),"Choose mgt fee")))</f>
        <v>-41530</v>
      </c>
      <c r="D20" s="25">
        <f>IF(AND('Part VII-Pro Forma'!$G$8="Yes",'Part VII-Pro Forma'!$G$9="Yes"),"Choose One!",IF('Part VII-Pro Forma'!$G$8="Yes",ROUND((-$K$8*(1+'Part VII-Pro Forma'!$B$6)^('Part VII-Pro Forma'!D13-1)),),IF('Part VII-Pro Forma'!$G$9="Yes",ROUND((-(SUM(D14:D17)*'Part VII-Pro Forma'!$K$9)),),"Choose mgt fee")))</f>
        <v>-42775</v>
      </c>
      <c r="E20" s="25">
        <f>IF(AND('Part VII-Pro Forma'!$G$8="Yes",'Part VII-Pro Forma'!$G$9="Yes"),"Choose One!",IF('Part VII-Pro Forma'!$G$8="Yes",ROUND((-$K$8*(1+'Part VII-Pro Forma'!$B$6)^('Part VII-Pro Forma'!E13-1)),),IF('Part VII-Pro Forma'!$G$9="Yes",ROUND((-(SUM(E14:E17)*'Part VII-Pro Forma'!$K$9)),),"Choose mgt fee")))</f>
        <v>-44059</v>
      </c>
      <c r="F20" s="25">
        <f>IF(AND('Part VII-Pro Forma'!$G$8="Yes",'Part VII-Pro Forma'!$G$9="Yes"),"Choose One!",IF('Part VII-Pro Forma'!$G$8="Yes",ROUND((-$K$8*(1+'Part VII-Pro Forma'!$B$6)^('Part VII-Pro Forma'!F13-1)),),IF('Part VII-Pro Forma'!$G$9="Yes",ROUND((-(SUM(F14:F17)*'Part VII-Pro Forma'!$K$9)),),"Choose mgt fee")))</f>
        <v>-45381</v>
      </c>
      <c r="G20" s="25">
        <f>IF(AND('Part VII-Pro Forma'!$G$8="Yes",'Part VII-Pro Forma'!$G$9="Yes"),"Choose One!",IF('Part VII-Pro Forma'!$G$8="Yes",ROUND((-$K$8*(1+'Part VII-Pro Forma'!$B$6)^('Part VII-Pro Forma'!G13-1)),),IF('Part VII-Pro Forma'!$G$9="Yes",ROUND((-(SUM(G14:G17)*'Part VII-Pro Forma'!$K$9)),),"Choose mgt fee")))</f>
        <v>-46742</v>
      </c>
      <c r="H20" s="25">
        <f>IF(AND('Part VII-Pro Forma'!$G$8="Yes",'Part VII-Pro Forma'!$G$9="Yes"),"Choose One!",IF('Part VII-Pro Forma'!$G$8="Yes",ROUND((-$K$8*(1+'Part VII-Pro Forma'!$B$6)^('Part VII-Pro Forma'!H13-1)),),IF('Part VII-Pro Forma'!$G$9="Yes",ROUND((-(SUM(H14:H17)*'Part VII-Pro Forma'!$K$9)),),"Choose mgt fee")))</f>
        <v>-48144</v>
      </c>
      <c r="I20" s="25">
        <f>IF(AND('Part VII-Pro Forma'!$G$8="Yes",'Part VII-Pro Forma'!$G$9="Yes"),"Choose One!",IF('Part VII-Pro Forma'!$G$8="Yes",ROUND((-$K$8*(1+'Part VII-Pro Forma'!$B$6)^('Part VII-Pro Forma'!I13-1)),),IF('Part VII-Pro Forma'!$G$9="Yes",ROUND((-(SUM(I14:I17)*'Part VII-Pro Forma'!$K$9)),),"Choose mgt fee")))</f>
        <v>-49589</v>
      </c>
      <c r="J20" s="25">
        <f>IF(AND('Part VII-Pro Forma'!$G$8="Yes",'Part VII-Pro Forma'!$G$9="Yes"),"Choose One!",IF('Part VII-Pro Forma'!$G$8="Yes",ROUND((-$K$8*(1+'Part VII-Pro Forma'!$B$6)^('Part VII-Pro Forma'!J13-1)),),IF('Part VII-Pro Forma'!$G$9="Yes",ROUND((-(SUM(J14:J17)*'Part VII-Pro Forma'!$K$9)),),"Choose mgt fee")))</f>
        <v>-51076</v>
      </c>
      <c r="K20" s="25">
        <f>IF(AND('Part VII-Pro Forma'!$G$8="Yes",'Part VII-Pro Forma'!$G$9="Yes"),"Choose One!",IF('Part VII-Pro Forma'!$G$8="Yes",ROUND((-$K$8*(1+'Part VII-Pro Forma'!$B$6)^('Part VII-Pro Forma'!K13-1)),),IF('Part VII-Pro Forma'!$G$9="Yes",ROUND((-(SUM(K14:K17)*'Part VII-Pro Forma'!$K$9)),),"Choose mgt fee")))</f>
        <v>-52608</v>
      </c>
      <c r="M20" s="1643"/>
      <c r="N20" s="1644"/>
    </row>
    <row r="21" spans="1:14" ht="13.15" customHeight="1">
      <c r="A21" s="24" t="s">
        <v>1272</v>
      </c>
      <c r="B21" s="25">
        <f>-('Part VI-Revenues &amp; Expenses'!P160)</f>
        <v>-21000</v>
      </c>
      <c r="C21" s="25">
        <f t="shared" ref="C21:K21" si="5">$B$21*(1+$B$7)^(C13-1)</f>
        <v>-21630</v>
      </c>
      <c r="D21" s="25">
        <f t="shared" si="5"/>
        <v>-22278.899999999998</v>
      </c>
      <c r="E21" s="25">
        <f t="shared" si="5"/>
        <v>-22947.267</v>
      </c>
      <c r="F21" s="25">
        <f t="shared" si="5"/>
        <v>-23635.685009999997</v>
      </c>
      <c r="G21" s="25">
        <f t="shared" si="5"/>
        <v>-24344.755560299996</v>
      </c>
      <c r="H21" s="25">
        <f t="shared" si="5"/>
        <v>-25075.098227109</v>
      </c>
      <c r="I21" s="25">
        <f t="shared" si="5"/>
        <v>-25827.35117392227</v>
      </c>
      <c r="J21" s="25">
        <f t="shared" si="5"/>
        <v>-26602.171709139933</v>
      </c>
      <c r="K21" s="26">
        <f t="shared" si="5"/>
        <v>-27400.236860414134</v>
      </c>
      <c r="M21" s="1643"/>
      <c r="N21" s="1644"/>
    </row>
    <row r="22" spans="1:14" ht="13.15" customHeight="1">
      <c r="A22" s="24" t="s">
        <v>1273</v>
      </c>
      <c r="B22" s="25">
        <f t="shared" ref="B22:K22" si="6">SUM(B14:B21)</f>
        <v>123177.52559999999</v>
      </c>
      <c r="C22" s="25">
        <f t="shared" si="6"/>
        <v>122070.67611199996</v>
      </c>
      <c r="D22" s="25">
        <f t="shared" si="6"/>
        <v>120835.88563423997</v>
      </c>
      <c r="E22" s="25">
        <f t="shared" si="6"/>
        <v>119464.44522692484</v>
      </c>
      <c r="F22" s="25">
        <f t="shared" si="6"/>
        <v>117952.4662678633</v>
      </c>
      <c r="G22" s="25">
        <f t="shared" si="6"/>
        <v>116293.87429371258</v>
      </c>
      <c r="H22" s="25">
        <f t="shared" si="6"/>
        <v>114481.40264109371</v>
      </c>
      <c r="I22" s="25">
        <f t="shared" si="6"/>
        <v>112507.58588126741</v>
      </c>
      <c r="J22" s="25">
        <f t="shared" si="6"/>
        <v>110367.75304186526</v>
      </c>
      <c r="K22" s="26">
        <f t="shared" si="6"/>
        <v>108053.02060896427</v>
      </c>
      <c r="M22" s="1643"/>
      <c r="N22" s="1644"/>
    </row>
    <row r="23" spans="1:14" ht="13.15" customHeight="1">
      <c r="A23" s="523" t="s">
        <v>1690</v>
      </c>
      <c r="B23" s="1282">
        <f>IF('Part III-Sources of Funds'!$M$32="", 0,-'Part III-Sources of Funds'!$M$32)</f>
        <v>-71530.568392451387</v>
      </c>
      <c r="C23" s="1282">
        <f>IF('Part III-Sources of Funds'!$M$32="", 0,-'Part III-Sources of Funds'!$M$32)</f>
        <v>-71530.568392451387</v>
      </c>
      <c r="D23" s="1282">
        <f>IF('Part III-Sources of Funds'!$M$32="", 0,-'Part III-Sources of Funds'!$M$32)</f>
        <v>-71530.568392451387</v>
      </c>
      <c r="E23" s="1282">
        <f>IF('Part III-Sources of Funds'!$M$32="", 0,-'Part III-Sources of Funds'!$M$32)</f>
        <v>-71530.568392451387</v>
      </c>
      <c r="F23" s="1282">
        <f>IF('Part III-Sources of Funds'!$M$32="", 0,-'Part III-Sources of Funds'!$M$32)</f>
        <v>-71530.568392451387</v>
      </c>
      <c r="G23" s="1282">
        <f>IF('Part III-Sources of Funds'!$M$32="", 0,-'Part III-Sources of Funds'!$M$32)</f>
        <v>-71530.568392451387</v>
      </c>
      <c r="H23" s="1282">
        <f>IF('Part III-Sources of Funds'!$M$32="", 0,-'Part III-Sources of Funds'!$M$32)</f>
        <v>-71530.568392451387</v>
      </c>
      <c r="I23" s="1282">
        <f>IF('Part III-Sources of Funds'!$M$32="", 0,-'Part III-Sources of Funds'!$M$32)</f>
        <v>-71530.568392451387</v>
      </c>
      <c r="J23" s="1282">
        <f>IF('Part III-Sources of Funds'!$M$32="", 0,-'Part III-Sources of Funds'!$M$32)</f>
        <v>-71530.568392451387</v>
      </c>
      <c r="K23" s="1282">
        <f>IF('Part III-Sources of Funds'!$M$32="", 0,-'Part III-Sources of Funds'!$M$32)</f>
        <v>-71530.568392451387</v>
      </c>
      <c r="M23" s="1643"/>
      <c r="N23" s="1644"/>
    </row>
    <row r="24" spans="1:14" ht="13.15" customHeight="1">
      <c r="A24" s="523" t="s">
        <v>1691</v>
      </c>
      <c r="B24" s="1283">
        <f>IF('Part III-Sources of Funds'!$M$33="", 0,-'Part III-Sources of Funds'!$M$33)</f>
        <v>0</v>
      </c>
      <c r="C24" s="1283">
        <f>IF('Part III-Sources of Funds'!$M$33="", 0,-'Part III-Sources of Funds'!$M$33)</f>
        <v>0</v>
      </c>
      <c r="D24" s="1283">
        <f>IF('Part III-Sources of Funds'!$M$33="", 0,-'Part III-Sources of Funds'!$M$33)</f>
        <v>0</v>
      </c>
      <c r="E24" s="1283">
        <f>IF('Part III-Sources of Funds'!$M$33="", 0,-'Part III-Sources of Funds'!$M$33)</f>
        <v>0</v>
      </c>
      <c r="F24" s="1283">
        <f>IF('Part III-Sources of Funds'!$M$33="", 0,-'Part III-Sources of Funds'!$M$33)</f>
        <v>0</v>
      </c>
      <c r="G24" s="1283">
        <f>IF('Part III-Sources of Funds'!$M$33="", 0,-'Part III-Sources of Funds'!$M$33)</f>
        <v>0</v>
      </c>
      <c r="H24" s="1283">
        <f>IF('Part III-Sources of Funds'!$M$33="", 0,-'Part III-Sources of Funds'!$M$33)</f>
        <v>0</v>
      </c>
      <c r="I24" s="1283">
        <f>IF('Part III-Sources of Funds'!$M$33="", 0,-'Part III-Sources of Funds'!$M$33)</f>
        <v>0</v>
      </c>
      <c r="J24" s="1283">
        <f>IF('Part III-Sources of Funds'!$M$33="", 0,-'Part III-Sources of Funds'!$M$33)</f>
        <v>0</v>
      </c>
      <c r="K24" s="1283">
        <f>IF('Part III-Sources of Funds'!$M$33="", 0,-'Part III-Sources of Funds'!$M$33)</f>
        <v>0</v>
      </c>
      <c r="M24" s="1643"/>
      <c r="N24" s="1644"/>
    </row>
    <row r="25" spans="1:14" ht="13.15" customHeight="1">
      <c r="A25" s="523" t="s">
        <v>1692</v>
      </c>
      <c r="B25" s="1283">
        <f>IF('Part III-Sources of Funds'!$M$34="", 0,-'Part III-Sources of Funds'!$M$34)</f>
        <v>0</v>
      </c>
      <c r="C25" s="1283">
        <f>IF('Part III-Sources of Funds'!$M$34="", 0,-'Part III-Sources of Funds'!$M$34)</f>
        <v>0</v>
      </c>
      <c r="D25" s="1283">
        <f>IF('Part III-Sources of Funds'!$M$34="", 0,-'Part III-Sources of Funds'!$M$34)</f>
        <v>0</v>
      </c>
      <c r="E25" s="1283">
        <f>IF('Part III-Sources of Funds'!$M$34="", 0,-'Part III-Sources of Funds'!$M$34)</f>
        <v>0</v>
      </c>
      <c r="F25" s="1283">
        <f>IF('Part III-Sources of Funds'!$M$34="", 0,-'Part III-Sources of Funds'!$M$34)</f>
        <v>0</v>
      </c>
      <c r="G25" s="1283">
        <f>IF('Part III-Sources of Funds'!$M$34="", 0,-'Part III-Sources of Funds'!$M$34)</f>
        <v>0</v>
      </c>
      <c r="H25" s="1283">
        <f>IF('Part III-Sources of Funds'!$M$34="", 0,-'Part III-Sources of Funds'!$M$34)</f>
        <v>0</v>
      </c>
      <c r="I25" s="1283">
        <f>IF('Part III-Sources of Funds'!$M$34="", 0,-'Part III-Sources of Funds'!$M$34)</f>
        <v>0</v>
      </c>
      <c r="J25" s="1283">
        <f>IF('Part III-Sources of Funds'!$M$34="", 0,-'Part III-Sources of Funds'!$M$34)</f>
        <v>0</v>
      </c>
      <c r="K25" s="1283">
        <f>IF('Part III-Sources of Funds'!$M$34="", 0,-'Part III-Sources of Funds'!$M$34)</f>
        <v>0</v>
      </c>
      <c r="M25" s="1643"/>
      <c r="N25" s="1644"/>
    </row>
    <row r="26" spans="1:14" ht="13.15" customHeight="1">
      <c r="A26" s="24" t="s">
        <v>829</v>
      </c>
      <c r="B26" s="1283">
        <f>IF('Part III-Sources of Funds'!$M$35="", 0,-'Part III-Sources of Funds'!$M$35)</f>
        <v>0</v>
      </c>
      <c r="C26" s="1283">
        <f>IF('Part III-Sources of Funds'!$M$35="", 0,-'Part III-Sources of Funds'!$M$35)</f>
        <v>0</v>
      </c>
      <c r="D26" s="1283">
        <f>IF('Part III-Sources of Funds'!$M$35="", 0,-'Part III-Sources of Funds'!$M$35)</f>
        <v>0</v>
      </c>
      <c r="E26" s="1283">
        <f>IF('Part III-Sources of Funds'!$M$35="", 0,-'Part III-Sources of Funds'!$M$35)</f>
        <v>0</v>
      </c>
      <c r="F26" s="1283">
        <f>IF('Part III-Sources of Funds'!$M$35="", 0,-'Part III-Sources of Funds'!$M$35)</f>
        <v>0</v>
      </c>
      <c r="G26" s="1283">
        <f>IF('Part III-Sources of Funds'!$M$35="", 0,-'Part III-Sources of Funds'!$M$35)</f>
        <v>0</v>
      </c>
      <c r="H26" s="1283">
        <f>IF('Part III-Sources of Funds'!$M$35="", 0,-'Part III-Sources of Funds'!$M$35)</f>
        <v>0</v>
      </c>
      <c r="I26" s="1283">
        <f>IF('Part III-Sources of Funds'!$M$35="", 0,-'Part III-Sources of Funds'!$M$35)</f>
        <v>0</v>
      </c>
      <c r="J26" s="1283">
        <f>IF('Part III-Sources of Funds'!$M$35="", 0,-'Part III-Sources of Funds'!$M$35)</f>
        <v>0</v>
      </c>
      <c r="K26" s="1283">
        <f>IF('Part III-Sources of Funds'!$M$35="", 0,-'Part III-Sources of Funds'!$M$35)</f>
        <v>0</v>
      </c>
      <c r="M26" s="1643"/>
      <c r="N26" s="1644"/>
    </row>
    <row r="27" spans="1:14" ht="13.15" customHeight="1">
      <c r="A27" s="24" t="s">
        <v>808</v>
      </c>
      <c r="B27" s="1284"/>
      <c r="C27" s="1284"/>
      <c r="D27" s="1284"/>
      <c r="E27" s="1284"/>
      <c r="F27" s="1284"/>
      <c r="G27" s="1284"/>
      <c r="H27" s="1284"/>
      <c r="I27" s="1284"/>
      <c r="J27" s="1284"/>
      <c r="K27" s="1284"/>
      <c r="M27" s="1643"/>
      <c r="N27" s="1644"/>
    </row>
    <row r="28" spans="1:14" ht="13.15" customHeight="1">
      <c r="A28" s="24" t="s">
        <v>1228</v>
      </c>
      <c r="B28" s="1283">
        <f>-$G$5</f>
        <v>-5000</v>
      </c>
      <c r="C28" s="1283">
        <f t="shared" ref="C28:K28" si="7">+B28</f>
        <v>-5000</v>
      </c>
      <c r="D28" s="1283">
        <f t="shared" si="7"/>
        <v>-5000</v>
      </c>
      <c r="E28" s="1283">
        <f t="shared" si="7"/>
        <v>-5000</v>
      </c>
      <c r="F28" s="1283">
        <f t="shared" si="7"/>
        <v>-5000</v>
      </c>
      <c r="G28" s="1283">
        <f t="shared" si="7"/>
        <v>-5000</v>
      </c>
      <c r="H28" s="1283">
        <f t="shared" si="7"/>
        <v>-5000</v>
      </c>
      <c r="I28" s="1283">
        <f t="shared" si="7"/>
        <v>-5000</v>
      </c>
      <c r="J28" s="1283">
        <f t="shared" si="7"/>
        <v>-5000</v>
      </c>
      <c r="K28" s="1283">
        <f t="shared" si="7"/>
        <v>-5000</v>
      </c>
      <c r="M28" s="1643"/>
      <c r="N28" s="1644"/>
    </row>
    <row r="29" spans="1:14" ht="13.15" customHeight="1">
      <c r="A29" s="24" t="s">
        <v>1274</v>
      </c>
      <c r="B29" s="1285">
        <v>-46147</v>
      </c>
      <c r="C29" s="1285">
        <v>-45040</v>
      </c>
      <c r="D29" s="1285">
        <v>-32600</v>
      </c>
      <c r="E29" s="1285">
        <f>IF('Part III-Sources of Funds'!$M$37="", 0,-'Part III-Sources of Funds'!$M$37)</f>
        <v>0</v>
      </c>
      <c r="F29" s="1285">
        <f>IF('Part III-Sources of Funds'!$M$37="", 0,-'Part III-Sources of Funds'!$M$37)</f>
        <v>0</v>
      </c>
      <c r="G29" s="1285">
        <f>IF('Part III-Sources of Funds'!$M$37="", 0,-'Part III-Sources of Funds'!$M$37)</f>
        <v>0</v>
      </c>
      <c r="H29" s="1285">
        <f>IF('Part III-Sources of Funds'!$M$37="", 0,-'Part III-Sources of Funds'!$M$37)</f>
        <v>0</v>
      </c>
      <c r="I29" s="1285">
        <f>IF('Part III-Sources of Funds'!$M$37="", 0,-'Part III-Sources of Funds'!$M$37)</f>
        <v>0</v>
      </c>
      <c r="J29" s="1285">
        <f>IF('Part III-Sources of Funds'!$M$37="", 0,-'Part III-Sources of Funds'!$M$37)</f>
        <v>0</v>
      </c>
      <c r="K29" s="1285">
        <f>IF('Part III-Sources of Funds'!$M$37="", 0,-'Part III-Sources of Funds'!$M$37)</f>
        <v>0</v>
      </c>
      <c r="M29" s="1643"/>
      <c r="N29" s="1644"/>
    </row>
    <row r="30" spans="1:14" ht="13.15" customHeight="1">
      <c r="A30" s="24" t="s">
        <v>1229</v>
      </c>
      <c r="B30" s="25">
        <f t="shared" ref="B30:K30" si="8">SUM(B22:B29)</f>
        <v>499.95720754860668</v>
      </c>
      <c r="C30" s="25">
        <f t="shared" si="8"/>
        <v>500.10771954857046</v>
      </c>
      <c r="D30" s="25">
        <f t="shared" si="8"/>
        <v>11705.31724178858</v>
      </c>
      <c r="E30" s="25">
        <f t="shared" si="8"/>
        <v>42933.876834473456</v>
      </c>
      <c r="F30" s="25">
        <f t="shared" si="8"/>
        <v>41421.897875411916</v>
      </c>
      <c r="G30" s="25">
        <f t="shared" si="8"/>
        <v>39763.305901261192</v>
      </c>
      <c r="H30" s="25">
        <f t="shared" si="8"/>
        <v>37950.834248642321</v>
      </c>
      <c r="I30" s="25">
        <f t="shared" si="8"/>
        <v>35977.017488816025</v>
      </c>
      <c r="J30" s="25">
        <f t="shared" si="8"/>
        <v>33837.184649413874</v>
      </c>
      <c r="K30" s="26">
        <f t="shared" si="8"/>
        <v>31522.452216512887</v>
      </c>
      <c r="M30" s="1643"/>
      <c r="N30" s="1644"/>
    </row>
    <row r="31" spans="1:14" ht="13.15" customHeight="1">
      <c r="A31" s="24" t="str">
        <f>IF('Part III-Sources of Funds'!$E$32 = "Neither", "", "DCR Mortgage A")</f>
        <v>DCR Mortgage A</v>
      </c>
      <c r="B31" s="27">
        <f>IF(B23=0,"",-B22/B23)</f>
        <v>1.7220263779282217</v>
      </c>
      <c r="C31" s="27">
        <f t="shared" ref="C31:K31" si="9">IF(C23=0,"",-C22/C23)</f>
        <v>1.7065525810204811</v>
      </c>
      <c r="D31" s="27">
        <f t="shared" si="9"/>
        <v>1.6892901643291256</v>
      </c>
      <c r="E31" s="27">
        <f t="shared" si="9"/>
        <v>1.6701173765527062</v>
      </c>
      <c r="F31" s="27">
        <f t="shared" si="9"/>
        <v>1.648979854608716</v>
      </c>
      <c r="G31" s="27">
        <f t="shared" si="9"/>
        <v>1.6257926772742528</v>
      </c>
      <c r="H31" s="27">
        <f t="shared" si="9"/>
        <v>1.6004542563256763</v>
      </c>
      <c r="I31" s="27">
        <f t="shared" si="9"/>
        <v>1.5728602247922348</v>
      </c>
      <c r="J31" s="27">
        <f t="shared" si="9"/>
        <v>1.5429452823069187</v>
      </c>
      <c r="K31" s="28">
        <f t="shared" si="9"/>
        <v>1.5105852370154953</v>
      </c>
      <c r="M31" s="1643"/>
      <c r="N31" s="1644"/>
    </row>
    <row r="32" spans="1:14" ht="13.15" customHeight="1">
      <c r="A32" s="24" t="str">
        <f>IF('Part III-Sources of Funds'!$E$32 = "Neither", "", "DCR Mortgage B")</f>
        <v>DCR Mortgage B</v>
      </c>
      <c r="B32" s="27" t="str">
        <f t="shared" ref="B32:K32" si="10">IF(OR(B24=0,AND(B24=0,B23=0)),"",-B22/(B23+B24))</f>
        <v/>
      </c>
      <c r="C32" s="27" t="str">
        <f t="shared" si="10"/>
        <v/>
      </c>
      <c r="D32" s="27" t="str">
        <f t="shared" si="10"/>
        <v/>
      </c>
      <c r="E32" s="27" t="str">
        <f t="shared" si="10"/>
        <v/>
      </c>
      <c r="F32" s="27" t="str">
        <f t="shared" si="10"/>
        <v/>
      </c>
      <c r="G32" s="27" t="str">
        <f t="shared" si="10"/>
        <v/>
      </c>
      <c r="H32" s="27" t="str">
        <f t="shared" si="10"/>
        <v/>
      </c>
      <c r="I32" s="27" t="str">
        <f t="shared" si="10"/>
        <v/>
      </c>
      <c r="J32" s="27" t="str">
        <f t="shared" si="10"/>
        <v/>
      </c>
      <c r="K32" s="28" t="str">
        <f t="shared" si="10"/>
        <v/>
      </c>
      <c r="M32" s="1643"/>
      <c r="N32" s="1644"/>
    </row>
    <row r="33" spans="1:14" ht="13.15" customHeight="1">
      <c r="A33" s="24" t="str">
        <f>IF('Part III-Sources of Funds'!$E$32 = "Neither", "DCR First Mortgage", "DCR Mortgage C")</f>
        <v>DCR Mortgage C</v>
      </c>
      <c r="B33" s="27" t="str">
        <f t="shared" ref="B33:K33" si="11">IF(OR(B25=0,AND(B25=0,B24=0,B23=0)),"",-B22/(B23+B24+B25))</f>
        <v/>
      </c>
      <c r="C33" s="27" t="str">
        <f t="shared" si="11"/>
        <v/>
      </c>
      <c r="D33" s="27" t="str">
        <f t="shared" si="11"/>
        <v/>
      </c>
      <c r="E33" s="27" t="str">
        <f t="shared" si="11"/>
        <v/>
      </c>
      <c r="F33" s="27" t="str">
        <f t="shared" si="11"/>
        <v/>
      </c>
      <c r="G33" s="27" t="str">
        <f t="shared" si="11"/>
        <v/>
      </c>
      <c r="H33" s="27" t="str">
        <f t="shared" si="11"/>
        <v/>
      </c>
      <c r="I33" s="27" t="str">
        <f t="shared" si="11"/>
        <v/>
      </c>
      <c r="J33" s="27" t="str">
        <f t="shared" si="11"/>
        <v/>
      </c>
      <c r="K33" s="28" t="str">
        <f t="shared" si="11"/>
        <v/>
      </c>
      <c r="M33" s="1643"/>
      <c r="N33" s="1644"/>
    </row>
    <row r="34" spans="1:14" ht="13.15" customHeight="1">
      <c r="A34" s="24" t="s">
        <v>830</v>
      </c>
      <c r="B34" s="27" t="str">
        <f t="shared" ref="B34:K34" si="12">IF(OR(B26=0,AND(B23=0,B24=0,B25=0,B26=0)),"",-B22/(B23+B24+B25+B26))</f>
        <v/>
      </c>
      <c r="C34" s="27" t="str">
        <f t="shared" si="12"/>
        <v/>
      </c>
      <c r="D34" s="27" t="str">
        <f t="shared" si="12"/>
        <v/>
      </c>
      <c r="E34" s="27" t="str">
        <f t="shared" si="12"/>
        <v/>
      </c>
      <c r="F34" s="27" t="str">
        <f t="shared" si="12"/>
        <v/>
      </c>
      <c r="G34" s="27" t="str">
        <f t="shared" si="12"/>
        <v/>
      </c>
      <c r="H34" s="27" t="str">
        <f t="shared" si="12"/>
        <v/>
      </c>
      <c r="I34" s="27" t="str">
        <f t="shared" si="12"/>
        <v/>
      </c>
      <c r="J34" s="27" t="str">
        <f t="shared" si="12"/>
        <v/>
      </c>
      <c r="K34" s="28" t="str">
        <f t="shared" si="12"/>
        <v/>
      </c>
      <c r="M34" s="1643"/>
      <c r="N34" s="1644"/>
    </row>
    <row r="35" spans="1:14" ht="13.15" customHeight="1">
      <c r="A35" s="24" t="s">
        <v>815</v>
      </c>
      <c r="B35" s="320">
        <f>IF(OR(B20="Choose mgt fee",B20="Choose One!"),"",(B14+B15+B16+B17+B18) / -(B19+B20+B21))</f>
        <v>1.3450350857142856</v>
      </c>
      <c r="C35" s="320">
        <f t="shared" ref="C35:K35" si="13">IF(OR(C20="Choose mgt fee",C20="Choose One!"),"",(C14+C15+C16+C17+C18) / -(C19+C20+C21))</f>
        <v>1.3319750437083095</v>
      </c>
      <c r="D35" s="320">
        <f t="shared" si="13"/>
        <v>1.3190463816036808</v>
      </c>
      <c r="E35" s="320">
        <f t="shared" si="13"/>
        <v>1.3062375947222398</v>
      </c>
      <c r="F35" s="320">
        <f t="shared" si="13"/>
        <v>1.2935549358775844</v>
      </c>
      <c r="G35" s="320">
        <f t="shared" si="13"/>
        <v>1.2809974810427547</v>
      </c>
      <c r="H35" s="320">
        <f t="shared" si="13"/>
        <v>1.2685613860314702</v>
      </c>
      <c r="I35" s="320">
        <f t="shared" si="13"/>
        <v>1.2562433104676682</v>
      </c>
      <c r="J35" s="320">
        <f t="shared" si="13"/>
        <v>1.2440486165590945</v>
      </c>
      <c r="K35" s="321">
        <f t="shared" si="13"/>
        <v>1.2319712152026812</v>
      </c>
      <c r="M35" s="1643"/>
      <c r="N35" s="1644"/>
    </row>
    <row r="36" spans="1:14" ht="13.15" customHeight="1">
      <c r="A36" s="523" t="s">
        <v>2791</v>
      </c>
      <c r="B36" s="1286">
        <f>IF('Part III-Sources of Funds'!$H$32="","",-FV('Part III-Sources of Funds'!$J$32/12,12,B23/12,'Part III-Sources of Funds'!$H$32))</f>
        <v>1099251.1556610463</v>
      </c>
      <c r="C36" s="1286">
        <f>IF('Part III-Sources of Funds'!$H$32="","",-FV('Part III-Sources of Funds'!$J$32/12,12,C23/12,B36))</f>
        <v>1087895.992011315</v>
      </c>
      <c r="D36" s="1286">
        <f>IF('Part III-Sources of Funds'!$H$32="","",-FV('Part III-Sources of Funds'!$J$32/12,12,D23/12,C36))</f>
        <v>1075900.3078757748</v>
      </c>
      <c r="E36" s="1286">
        <f>IF('Part III-Sources of Funds'!$H$32="","",-FV('Part III-Sources of Funds'!$J$32/12,12,E23/12,D36))</f>
        <v>1063227.9728642881</v>
      </c>
      <c r="F36" s="1286">
        <f>IF('Part III-Sources of Funds'!$H$32="","",-FV('Part III-Sources of Funds'!$J$32/12,12,F23/12,E36))</f>
        <v>1049840.8185487147</v>
      </c>
      <c r="G36" s="1286">
        <f>IF('Part III-Sources of Funds'!$H$32="","",-FV('Part III-Sources of Funds'!$J$32/12,12,G23/12,F36))</f>
        <v>1035698.5235015489</v>
      </c>
      <c r="H36" s="1286">
        <f>IF('Part III-Sources of Funds'!$H$32="","",-FV('Part III-Sources of Funds'!$J$32/12,12,H23/12,G36))</f>
        <v>1020758.4918498315</v>
      </c>
      <c r="I36" s="1286">
        <f>IF('Part III-Sources of Funds'!$H$32="","",-FV('Part III-Sources of Funds'!$J$32/12,12,I23/12,H36))</f>
        <v>1004975.7249785485</v>
      </c>
      <c r="J36" s="1286">
        <f>IF('Part III-Sources of Funds'!$H$32="","",-FV('Part III-Sources of Funds'!$J$32/12,12,J23/12,I36))</f>
        <v>988302.68599709263</v>
      </c>
      <c r="K36" s="1286">
        <f>IF('Part III-Sources of Funds'!$H$32="","",-FV('Part III-Sources of Funds'!$J$32/12,12,K23/12,J36))</f>
        <v>970689.15656056826</v>
      </c>
      <c r="M36" s="1643"/>
      <c r="N36" s="1644"/>
    </row>
    <row r="37" spans="1:14" ht="13.15" customHeight="1">
      <c r="A37" s="523" t="s">
        <v>2792</v>
      </c>
      <c r="B37" s="1283" t="str">
        <f>IF('Part III-Sources of Funds'!$H$33="","",-FV('Part III-Sources of Funds'!$J$33/12,12,B24/12,'Part III-Sources of Funds'!$H$33))</f>
        <v/>
      </c>
      <c r="C37" s="1283" t="str">
        <f>IF('Part III-Sources of Funds'!$H$33="","",-FV('Part III-Sources of Funds'!$J$33/12,12,C24/12,B37))</f>
        <v/>
      </c>
      <c r="D37" s="1283" t="str">
        <f>IF('Part III-Sources of Funds'!$H$33="","",-FV('Part III-Sources of Funds'!$J$33/12,12,D24/12,C37))</f>
        <v/>
      </c>
      <c r="E37" s="1283" t="str">
        <f>IF('Part III-Sources of Funds'!$H$33="","",-FV('Part III-Sources of Funds'!$J$33/12,12,E24/12,D37))</f>
        <v/>
      </c>
      <c r="F37" s="1283" t="str">
        <f>IF('Part III-Sources of Funds'!$H$33="","",-FV('Part III-Sources of Funds'!$J$33/12,12,F24/12,E37))</f>
        <v/>
      </c>
      <c r="G37" s="1283" t="str">
        <f>IF('Part III-Sources of Funds'!$H$33="","",-FV('Part III-Sources of Funds'!$J$33/12,12,G24/12,F37))</f>
        <v/>
      </c>
      <c r="H37" s="1283" t="str">
        <f>IF('Part III-Sources of Funds'!$H$33="","",-FV('Part III-Sources of Funds'!$J$33/12,12,H24/12,G37))</f>
        <v/>
      </c>
      <c r="I37" s="1283" t="str">
        <f>IF('Part III-Sources of Funds'!$H$33="","",-FV('Part III-Sources of Funds'!$J$33/12,12,I24/12,H37))</f>
        <v/>
      </c>
      <c r="J37" s="1283" t="str">
        <f>IF('Part III-Sources of Funds'!$H$33="","",-FV('Part III-Sources of Funds'!$J$33/12,12,J24/12,I37))</f>
        <v/>
      </c>
      <c r="K37" s="1283" t="str">
        <f>IF('Part III-Sources of Funds'!$H$33="","",-FV('Part III-Sources of Funds'!$J$33/12,12,K24/12,J37))</f>
        <v/>
      </c>
      <c r="M37" s="1643"/>
      <c r="N37" s="1644"/>
    </row>
    <row r="38" spans="1:14" ht="13.15" customHeight="1">
      <c r="A38" s="523" t="s">
        <v>2793</v>
      </c>
      <c r="B38" s="1283" t="str">
        <f>IF('Part III-Sources of Funds'!$H$34="","",-FV('Part III-Sources of Funds'!$J$34/12,12,B25/12,'Part III-Sources of Funds'!$H$34))</f>
        <v/>
      </c>
      <c r="C38" s="1283" t="str">
        <f>IF('Part III-Sources of Funds'!$H$34="","",-FV('Part III-Sources of Funds'!$J$34/12,12,C25/12,B38))</f>
        <v/>
      </c>
      <c r="D38" s="1283" t="str">
        <f>IF('Part III-Sources of Funds'!$H$34="","",-FV('Part III-Sources of Funds'!$J$34/12,12,D25/12,C38))</f>
        <v/>
      </c>
      <c r="E38" s="1283" t="str">
        <f>IF('Part III-Sources of Funds'!$H$34="","",-FV('Part III-Sources of Funds'!$J$34/12,12,E25/12,D38))</f>
        <v/>
      </c>
      <c r="F38" s="1283" t="str">
        <f>IF('Part III-Sources of Funds'!$H$34="","",-FV('Part III-Sources of Funds'!$J$34/12,12,F25/12,E38))</f>
        <v/>
      </c>
      <c r="G38" s="1283" t="str">
        <f>IF('Part III-Sources of Funds'!$H$34="","",-FV('Part III-Sources of Funds'!$J$34/12,12,G25/12,F38))</f>
        <v/>
      </c>
      <c r="H38" s="1283" t="str">
        <f>IF('Part III-Sources of Funds'!$H$34="","",-FV('Part III-Sources of Funds'!$J$34/12,12,H25/12,G38))</f>
        <v/>
      </c>
      <c r="I38" s="1283" t="str">
        <f>IF('Part III-Sources of Funds'!$H$34="","",-FV('Part III-Sources of Funds'!$J$34/12,12,I25/12,H38))</f>
        <v/>
      </c>
      <c r="J38" s="1283" t="str">
        <f>IF('Part III-Sources of Funds'!$H$34="","",-FV('Part III-Sources of Funds'!$J$34/12,12,J25/12,I38))</f>
        <v/>
      </c>
      <c r="K38" s="1283" t="str">
        <f>IF('Part III-Sources of Funds'!$H$34="","",-FV('Part III-Sources of Funds'!$J$34/12,12,K25/12,J38))</f>
        <v/>
      </c>
      <c r="M38" s="1643"/>
      <c r="N38" s="1644"/>
    </row>
    <row r="39" spans="1:14" ht="13.15" customHeight="1">
      <c r="A39" s="24" t="s">
        <v>831</v>
      </c>
      <c r="B39" s="1283" t="str">
        <f>IF('Part III-Sources of Funds'!$H$35="","",-FV('Part III-Sources of Funds'!$J$35/12,12,B24/12,'Part III-Sources of Funds'!$H$35))</f>
        <v/>
      </c>
      <c r="C39" s="1283" t="str">
        <f>IF('Part III-Sources of Funds'!$H$35="","",-FV('Part III-Sources of Funds'!$J$35/12,12,C26/12,B39))</f>
        <v/>
      </c>
      <c r="D39" s="1283" t="str">
        <f>IF('Part III-Sources of Funds'!$H$35="","",-FV('Part III-Sources of Funds'!$J$35/12,12,D26/12,C39))</f>
        <v/>
      </c>
      <c r="E39" s="1283" t="str">
        <f>IF('Part III-Sources of Funds'!$H$35="","",-FV('Part III-Sources of Funds'!$J$35/12,12,E26/12,D39))</f>
        <v/>
      </c>
      <c r="F39" s="1283" t="str">
        <f>IF('Part III-Sources of Funds'!$H$35="","",-FV('Part III-Sources of Funds'!$J$35/12,12,F26/12,E39))</f>
        <v/>
      </c>
      <c r="G39" s="1283" t="str">
        <f>IF('Part III-Sources of Funds'!$H$35="","",-FV('Part III-Sources of Funds'!$J$35/12,12,G26/12,F39))</f>
        <v/>
      </c>
      <c r="H39" s="1283" t="str">
        <f>IF('Part III-Sources of Funds'!$H$35="","",-FV('Part III-Sources of Funds'!$J$35/12,12,H26/12,G39))</f>
        <v/>
      </c>
      <c r="I39" s="1283" t="str">
        <f>IF('Part III-Sources of Funds'!$H$35="","",-FV('Part III-Sources of Funds'!$J$35/12,12,I26/12,H39))</f>
        <v/>
      </c>
      <c r="J39" s="1283" t="str">
        <f>IF('Part III-Sources of Funds'!$H$35="","",-FV('Part III-Sources of Funds'!$J$35/12,12,J26/12,I39))</f>
        <v/>
      </c>
      <c r="K39" s="1283" t="str">
        <f>IF('Part III-Sources of Funds'!$H$35="","",-FV('Part III-Sources of Funds'!$J$35/12,12,K26/12,J39))</f>
        <v/>
      </c>
      <c r="M39" s="1643"/>
      <c r="N39" s="1644"/>
    </row>
    <row r="40" spans="1:14" ht="13.15" customHeight="1">
      <c r="A40" s="29" t="s">
        <v>1309</v>
      </c>
      <c r="B40" s="1285">
        <f>IF('Part III-Sources of Funds'!$H$37="","",-FV('Part III-Sources of Funds'!$J$37/12,12,B29/12,'Part III-Sources of Funds'!$H$37))</f>
        <v>77640</v>
      </c>
      <c r="C40" s="1285">
        <f>IF('Part III-Sources of Funds'!$H$37="","",-FV('Part III-Sources of Funds'!$J$37/12,12,C29/12,B40))</f>
        <v>32600</v>
      </c>
      <c r="D40" s="1285">
        <f>IF('Part III-Sources of Funds'!$H$37="","",-FV('Part III-Sources of Funds'!$J$37/12,12,D29/12,C40))</f>
        <v>0</v>
      </c>
      <c r="E40" s="1285">
        <f>IF('Part III-Sources of Funds'!$H$37="","",-FV('Part III-Sources of Funds'!$J$37/12,12,E29/12,D40))</f>
        <v>0</v>
      </c>
      <c r="F40" s="1285">
        <f>IF('Part III-Sources of Funds'!$H$37="","",-FV('Part III-Sources of Funds'!$J$37/12,12,F29/12,E40))</f>
        <v>0</v>
      </c>
      <c r="G40" s="1285">
        <f>IF('Part III-Sources of Funds'!$H$37="","",-FV('Part III-Sources of Funds'!$J$37/12,12,G29/12,F40))</f>
        <v>0</v>
      </c>
      <c r="H40" s="1285">
        <f>IF('Part III-Sources of Funds'!$H$37="","",-FV('Part III-Sources of Funds'!$J$37/12,12,H29/12,G40))</f>
        <v>0</v>
      </c>
      <c r="I40" s="1285">
        <f>IF('Part III-Sources of Funds'!$H$37="","",-FV('Part III-Sources of Funds'!$J$37/12,12,I29/12,H40))</f>
        <v>0</v>
      </c>
      <c r="J40" s="1285">
        <f>IF('Part III-Sources of Funds'!$H$37="","",-FV('Part III-Sources of Funds'!$J$37/12,12,J29/12,I40))</f>
        <v>0</v>
      </c>
      <c r="K40" s="1285">
        <f>IF('Part III-Sources of Funds'!$H$37="","",-FV('Part III-Sources of Funds'!$J$37/12,12,K29/12,J40))</f>
        <v>0</v>
      </c>
      <c r="M40" s="1645"/>
      <c r="N40" s="1646"/>
    </row>
    <row r="41" spans="1:14" ht="4.1500000000000004" customHeight="1">
      <c r="B41" s="20"/>
      <c r="C41" s="20"/>
      <c r="D41" s="20"/>
      <c r="E41" s="20"/>
      <c r="F41" s="20"/>
      <c r="G41" s="20"/>
      <c r="H41" s="20"/>
      <c r="I41" s="20"/>
      <c r="J41" s="20"/>
      <c r="K41" s="20"/>
    </row>
    <row r="42" spans="1:14" ht="14.45" customHeight="1">
      <c r="A42" s="16" t="s">
        <v>2639</v>
      </c>
      <c r="B42" s="18">
        <f>K13+1</f>
        <v>11</v>
      </c>
      <c r="C42" s="18">
        <f t="shared" ref="C42:K42" si="14">B42+1</f>
        <v>12</v>
      </c>
      <c r="D42" s="18">
        <f t="shared" si="14"/>
        <v>13</v>
      </c>
      <c r="E42" s="18">
        <f t="shared" si="14"/>
        <v>14</v>
      </c>
      <c r="F42" s="18">
        <f t="shared" si="14"/>
        <v>15</v>
      </c>
      <c r="G42" s="18">
        <f t="shared" si="14"/>
        <v>16</v>
      </c>
      <c r="H42" s="18">
        <f t="shared" si="14"/>
        <v>17</v>
      </c>
      <c r="I42" s="18">
        <f t="shared" si="14"/>
        <v>18</v>
      </c>
      <c r="J42" s="18">
        <f t="shared" si="14"/>
        <v>19</v>
      </c>
      <c r="K42" s="18">
        <f t="shared" si="14"/>
        <v>20</v>
      </c>
      <c r="M42" s="1546" t="s">
        <v>2796</v>
      </c>
      <c r="N42" s="1546"/>
    </row>
    <row r="43" spans="1:14" ht="13.15" customHeight="1">
      <c r="A43" s="21" t="s">
        <v>2557</v>
      </c>
      <c r="B43" s="22">
        <f t="shared" ref="B43:K43" si="15">$B$14*(1+$B$5)^(B42-1)</f>
        <v>617050.09942366602</v>
      </c>
      <c r="C43" s="22">
        <f t="shared" si="15"/>
        <v>629391.10141213925</v>
      </c>
      <c r="D43" s="22">
        <f t="shared" si="15"/>
        <v>641978.92344038212</v>
      </c>
      <c r="E43" s="22">
        <f t="shared" si="15"/>
        <v>654818.50190918974</v>
      </c>
      <c r="F43" s="22">
        <f t="shared" si="15"/>
        <v>667914.87194737361</v>
      </c>
      <c r="G43" s="22">
        <f t="shared" si="15"/>
        <v>681273.16938632086</v>
      </c>
      <c r="H43" s="22">
        <f t="shared" si="15"/>
        <v>694898.63277404744</v>
      </c>
      <c r="I43" s="22">
        <f t="shared" si="15"/>
        <v>708796.60542952851</v>
      </c>
      <c r="J43" s="22">
        <f t="shared" si="15"/>
        <v>722972.53753811889</v>
      </c>
      <c r="K43" s="23">
        <f t="shared" si="15"/>
        <v>737431.98828888126</v>
      </c>
      <c r="M43" s="1641"/>
      <c r="N43" s="1642"/>
    </row>
    <row r="44" spans="1:14" ht="13.15" customHeight="1">
      <c r="A44" s="24" t="s">
        <v>1072</v>
      </c>
      <c r="B44" s="25">
        <f t="shared" ref="B44:K44" si="16">$B$15*(1+$B$5)^(B42-1)</f>
        <v>12341.001988473321</v>
      </c>
      <c r="C44" s="25">
        <f t="shared" si="16"/>
        <v>12587.822028242785</v>
      </c>
      <c r="D44" s="25">
        <f t="shared" si="16"/>
        <v>12839.578468807644</v>
      </c>
      <c r="E44" s="25">
        <f t="shared" si="16"/>
        <v>13096.370038183795</v>
      </c>
      <c r="F44" s="25">
        <f t="shared" si="16"/>
        <v>13358.297438947473</v>
      </c>
      <c r="G44" s="25">
        <f t="shared" si="16"/>
        <v>13625.463387726419</v>
      </c>
      <c r="H44" s="25">
        <f t="shared" si="16"/>
        <v>13897.972655480949</v>
      </c>
      <c r="I44" s="25">
        <f t="shared" si="16"/>
        <v>14175.932108590569</v>
      </c>
      <c r="J44" s="25">
        <f t="shared" si="16"/>
        <v>14459.450750762378</v>
      </c>
      <c r="K44" s="26">
        <f t="shared" si="16"/>
        <v>14748.639765777627</v>
      </c>
      <c r="M44" s="1643"/>
      <c r="N44" s="1644"/>
    </row>
    <row r="45" spans="1:14" ht="13.15" customHeight="1">
      <c r="A45" s="24" t="s">
        <v>2558</v>
      </c>
      <c r="B45" s="25">
        <f t="shared" ref="B45:K45" si="17">-(B43+B44)*$B$8</f>
        <v>-44057.377098849756</v>
      </c>
      <c r="C45" s="25">
        <f t="shared" si="17"/>
        <v>-44938.524640826741</v>
      </c>
      <c r="D45" s="25">
        <f t="shared" si="17"/>
        <v>-45837.295133643289</v>
      </c>
      <c r="E45" s="25">
        <f t="shared" si="17"/>
        <v>-46754.04103631615</v>
      </c>
      <c r="F45" s="25">
        <f t="shared" si="17"/>
        <v>-47689.121857042483</v>
      </c>
      <c r="G45" s="25">
        <f t="shared" si="17"/>
        <v>-48642.904294183318</v>
      </c>
      <c r="H45" s="25">
        <f t="shared" si="17"/>
        <v>-49615.76238006699</v>
      </c>
      <c r="I45" s="25">
        <f t="shared" si="17"/>
        <v>-50608.077627668346</v>
      </c>
      <c r="J45" s="25">
        <f t="shared" si="17"/>
        <v>-51620.239180221695</v>
      </c>
      <c r="K45" s="26">
        <f t="shared" si="17"/>
        <v>-52652.643963826129</v>
      </c>
      <c r="M45" s="1643"/>
      <c r="N45" s="1644"/>
    </row>
    <row r="46" spans="1:14" ht="13.15" customHeight="1">
      <c r="A46" s="24" t="s">
        <v>55</v>
      </c>
      <c r="B46" s="25">
        <f>+'Part VI-Revenues &amp; Expenses'!G121</f>
        <v>0</v>
      </c>
      <c r="C46" s="25">
        <f>+'Part VI-Revenues &amp; Expenses'!H121</f>
        <v>0</v>
      </c>
      <c r="D46" s="25">
        <f>+'Part VI-Revenues &amp; Expenses'!I121</f>
        <v>0</v>
      </c>
      <c r="E46" s="25">
        <f>+'Part VI-Revenues &amp; Expenses'!J121</f>
        <v>0</v>
      </c>
      <c r="F46" s="25">
        <f>+'Part VI-Revenues &amp; Expenses'!K121</f>
        <v>0</v>
      </c>
      <c r="G46" s="25">
        <f>+'Part VI-Revenues &amp; Expenses'!L121</f>
        <v>0</v>
      </c>
      <c r="H46" s="25">
        <f>+'Part VI-Revenues &amp; Expenses'!M121</f>
        <v>0</v>
      </c>
      <c r="I46" s="25">
        <f>+'Part VI-Revenues &amp; Expenses'!N121</f>
        <v>0</v>
      </c>
      <c r="J46" s="25">
        <f>+'Part VI-Revenues &amp; Expenses'!O121</f>
        <v>0</v>
      </c>
      <c r="K46" s="26">
        <f>+'Part VI-Revenues &amp; Expenses'!P121</f>
        <v>0</v>
      </c>
      <c r="M46" s="1643"/>
      <c r="N46" s="1644"/>
    </row>
    <row r="47" spans="1:14" ht="13.15" customHeight="1">
      <c r="A47" s="24" t="s">
        <v>56</v>
      </c>
      <c r="B47" s="25">
        <f>'Part VI-Revenues &amp; Expenses'!G126</f>
        <v>0</v>
      </c>
      <c r="C47" s="25">
        <f>'Part VI-Revenues &amp; Expenses'!H126</f>
        <v>0</v>
      </c>
      <c r="D47" s="25">
        <f>'Part VI-Revenues &amp; Expenses'!I126</f>
        <v>0</v>
      </c>
      <c r="E47" s="25">
        <f>'Part VI-Revenues &amp; Expenses'!J126</f>
        <v>0</v>
      </c>
      <c r="F47" s="25">
        <f>'Part VI-Revenues &amp; Expenses'!K126</f>
        <v>0</v>
      </c>
      <c r="G47" s="25">
        <f>'Part VI-Revenues &amp; Expenses'!L126</f>
        <v>0</v>
      </c>
      <c r="H47" s="25">
        <f>'Part VI-Revenues &amp; Expenses'!M126</f>
        <v>0</v>
      </c>
      <c r="I47" s="25">
        <f>'Part VI-Revenues &amp; Expenses'!N126</f>
        <v>0</v>
      </c>
      <c r="J47" s="25">
        <f>'Part VI-Revenues &amp; Expenses'!O126</f>
        <v>0</v>
      </c>
      <c r="K47" s="26">
        <f>'Part VI-Revenues &amp; Expenses'!P126</f>
        <v>0</v>
      </c>
      <c r="M47" s="1643"/>
      <c r="N47" s="1644"/>
    </row>
    <row r="48" spans="1:14" ht="13.15" customHeight="1">
      <c r="A48" s="24" t="s">
        <v>650</v>
      </c>
      <c r="B48" s="25">
        <f t="shared" ref="B48:K48" si="18">$B$19*(1+$B$6)^(B42-1)</f>
        <v>-397369.1950444699</v>
      </c>
      <c r="C48" s="25">
        <f t="shared" si="18"/>
        <v>-409290.27089580405</v>
      </c>
      <c r="D48" s="25">
        <f t="shared" si="18"/>
        <v>-421568.9790226781</v>
      </c>
      <c r="E48" s="25">
        <f t="shared" si="18"/>
        <v>-434216.04839335842</v>
      </c>
      <c r="F48" s="25">
        <f t="shared" si="18"/>
        <v>-447242.52984515921</v>
      </c>
      <c r="G48" s="25">
        <f t="shared" si="18"/>
        <v>-460659.80574051401</v>
      </c>
      <c r="H48" s="25">
        <f t="shared" si="18"/>
        <v>-474479.59991272935</v>
      </c>
      <c r="I48" s="25">
        <f t="shared" si="18"/>
        <v>-488713.98791011126</v>
      </c>
      <c r="J48" s="25">
        <f t="shared" si="18"/>
        <v>-503375.40754741459</v>
      </c>
      <c r="K48" s="26">
        <f t="shared" si="18"/>
        <v>-518476.66977383703</v>
      </c>
      <c r="M48" s="1643"/>
      <c r="N48" s="1644"/>
    </row>
    <row r="49" spans="1:14" ht="13.15" customHeight="1">
      <c r="A49" s="24" t="s">
        <v>1174</v>
      </c>
      <c r="B49" s="25">
        <f>IF(AND('Part VII-Pro Forma'!$G$8="Yes",'Part VII-Pro Forma'!$G$9="Yes"),"Choose One!",IF('Part VII-Pro Forma'!$G$8="Yes",ROUND((-$K$8*(1+'Part VII-Pro Forma'!$B$6)^('Part VII-Pro Forma'!B42-1)),),IF('Part VII-Pro Forma'!$G$9="Yes",ROUND((-(SUM(B43:B46)*'Part VII-Pro Forma'!$K$9)),),"Choose mgt fee")))</f>
        <v>-54187</v>
      </c>
      <c r="C49" s="25">
        <f>IF(AND('Part VII-Pro Forma'!$G$8="Yes",'Part VII-Pro Forma'!$G$9="Yes"),"Choose One!",IF('Part VII-Pro Forma'!$G$8="Yes",ROUND((-$K$8*(1+'Part VII-Pro Forma'!$B$6)^('Part VII-Pro Forma'!C42-1)),),IF('Part VII-Pro Forma'!$G$9="Yes",ROUND((-(SUM(C43:C46)*'Part VII-Pro Forma'!$K$9)),),"Choose mgt fee")))</f>
        <v>-55812</v>
      </c>
      <c r="D49" s="25">
        <f>IF(AND('Part VII-Pro Forma'!$G$8="Yes",'Part VII-Pro Forma'!$G$9="Yes"),"Choose One!",IF('Part VII-Pro Forma'!$G$8="Yes",ROUND((-$K$8*(1+'Part VII-Pro Forma'!$B$6)^('Part VII-Pro Forma'!D42-1)),),IF('Part VII-Pro Forma'!$G$9="Yes",ROUND((-(SUM(D43:D46)*'Part VII-Pro Forma'!$K$9)),),"Choose mgt fee")))</f>
        <v>-57487</v>
      </c>
      <c r="E49" s="25">
        <f>IF(AND('Part VII-Pro Forma'!$G$8="Yes",'Part VII-Pro Forma'!$G$9="Yes"),"Choose One!",IF('Part VII-Pro Forma'!$G$8="Yes",ROUND((-$K$8*(1+'Part VII-Pro Forma'!$B$6)^('Part VII-Pro Forma'!E42-1)),),IF('Part VII-Pro Forma'!$G$9="Yes",ROUND((-(SUM(E43:E46)*'Part VII-Pro Forma'!$K$9)),),"Choose mgt fee")))</f>
        <v>-59211</v>
      </c>
      <c r="F49" s="25">
        <f>IF(AND('Part VII-Pro Forma'!$G$8="Yes",'Part VII-Pro Forma'!$G$9="Yes"),"Choose One!",IF('Part VII-Pro Forma'!$G$8="Yes",ROUND((-$K$8*(1+'Part VII-Pro Forma'!$B$6)^('Part VII-Pro Forma'!F42-1)),),IF('Part VII-Pro Forma'!$G$9="Yes",ROUND((-(SUM(F43:F46)*'Part VII-Pro Forma'!$K$9)),),"Choose mgt fee")))</f>
        <v>-60988</v>
      </c>
      <c r="G49" s="25">
        <f>IF(AND('Part VII-Pro Forma'!$G$8="Yes",'Part VII-Pro Forma'!$G$9="Yes"),"Choose One!",IF('Part VII-Pro Forma'!$G$8="Yes",ROUND((-$K$8*(1+'Part VII-Pro Forma'!$B$6)^('Part VII-Pro Forma'!G42-1)),),IF('Part VII-Pro Forma'!$G$9="Yes",ROUND((-(SUM(G43:G46)*'Part VII-Pro Forma'!$K$9)),),"Choose mgt fee")))</f>
        <v>-62817</v>
      </c>
      <c r="H49" s="25">
        <f>IF(AND('Part VII-Pro Forma'!$G$8="Yes",'Part VII-Pro Forma'!$G$9="Yes"),"Choose One!",IF('Part VII-Pro Forma'!$G$8="Yes",ROUND((-$K$8*(1+'Part VII-Pro Forma'!$B$6)^('Part VII-Pro Forma'!H42-1)),),IF('Part VII-Pro Forma'!$G$9="Yes",ROUND((-(SUM(H43:H46)*'Part VII-Pro Forma'!$K$9)),),"Choose mgt fee")))</f>
        <v>-64702</v>
      </c>
      <c r="I49" s="25">
        <f>IF(AND('Part VII-Pro Forma'!$G$8="Yes",'Part VII-Pro Forma'!$G$9="Yes"),"Choose One!",IF('Part VII-Pro Forma'!$G$8="Yes",ROUND((-$K$8*(1+'Part VII-Pro Forma'!$B$6)^('Part VII-Pro Forma'!I42-1)),),IF('Part VII-Pro Forma'!$G$9="Yes",ROUND((-(SUM(I43:I46)*'Part VII-Pro Forma'!$K$9)),),"Choose mgt fee")))</f>
        <v>-66643</v>
      </c>
      <c r="J49" s="25">
        <f>IF(AND('Part VII-Pro Forma'!$G$8="Yes",'Part VII-Pro Forma'!$G$9="Yes"),"Choose One!",IF('Part VII-Pro Forma'!$G$8="Yes",ROUND((-$K$8*(1+'Part VII-Pro Forma'!$B$6)^('Part VII-Pro Forma'!J42-1)),),IF('Part VII-Pro Forma'!$G$9="Yes",ROUND((-(SUM(J43:J46)*'Part VII-Pro Forma'!$K$9)),),"Choose mgt fee")))</f>
        <v>-68642</v>
      </c>
      <c r="K49" s="25">
        <f>IF(AND('Part VII-Pro Forma'!$G$8="Yes",'Part VII-Pro Forma'!$G$9="Yes"),"Choose One!",IF('Part VII-Pro Forma'!$G$8="Yes",ROUND((-$K$8*(1+'Part VII-Pro Forma'!$B$6)^('Part VII-Pro Forma'!K42-1)),),IF('Part VII-Pro Forma'!$G$9="Yes",ROUND((-(SUM(K43:K46)*'Part VII-Pro Forma'!$K$9)),),"Choose mgt fee")))</f>
        <v>-70701</v>
      </c>
      <c r="M49" s="1643"/>
      <c r="N49" s="1644"/>
    </row>
    <row r="50" spans="1:14" ht="13.15" customHeight="1">
      <c r="A50" s="24" t="s">
        <v>1272</v>
      </c>
      <c r="B50" s="25">
        <f t="shared" ref="B50:K50" si="19">$B$21*(1+$B$7)^(B42-1)</f>
        <v>-28222.243966226557</v>
      </c>
      <c r="C50" s="25">
        <f t="shared" si="19"/>
        <v>-29068.911285213355</v>
      </c>
      <c r="D50" s="25">
        <f t="shared" si="19"/>
        <v>-29940.978623769752</v>
      </c>
      <c r="E50" s="25">
        <f t="shared" si="19"/>
        <v>-30839.207982482843</v>
      </c>
      <c r="F50" s="25">
        <f t="shared" si="19"/>
        <v>-31764.384221957331</v>
      </c>
      <c r="G50" s="25">
        <f t="shared" si="19"/>
        <v>-32717.315748616053</v>
      </c>
      <c r="H50" s="25">
        <f t="shared" si="19"/>
        <v>-33698.835221074529</v>
      </c>
      <c r="I50" s="25">
        <f t="shared" si="19"/>
        <v>-34709.800277706767</v>
      </c>
      <c r="J50" s="25">
        <f t="shared" si="19"/>
        <v>-35751.094286037966</v>
      </c>
      <c r="K50" s="26">
        <f t="shared" si="19"/>
        <v>-36823.627114619107</v>
      </c>
      <c r="M50" s="1643"/>
      <c r="N50" s="1644"/>
    </row>
    <row r="51" spans="1:14" ht="13.15" customHeight="1">
      <c r="A51" s="24" t="s">
        <v>1273</v>
      </c>
      <c r="B51" s="25">
        <f t="shared" ref="B51:K51" si="20">SUM(B43:B50)</f>
        <v>105555.28530259317</v>
      </c>
      <c r="C51" s="25">
        <f t="shared" si="20"/>
        <v>102869.21661853786</v>
      </c>
      <c r="D51" s="25">
        <f t="shared" si="20"/>
        <v>99984.249129098564</v>
      </c>
      <c r="E51" s="25">
        <f t="shared" si="20"/>
        <v>96894.574535216045</v>
      </c>
      <c r="F51" s="25">
        <f t="shared" si="20"/>
        <v>93589.133462162019</v>
      </c>
      <c r="G51" s="25">
        <f t="shared" si="20"/>
        <v>90061.606990733897</v>
      </c>
      <c r="H51" s="25">
        <f t="shared" si="20"/>
        <v>86300.407915657503</v>
      </c>
      <c r="I51" s="25">
        <f t="shared" si="20"/>
        <v>82297.671722632716</v>
      </c>
      <c r="J51" s="25">
        <f t="shared" si="20"/>
        <v>78043.247275207017</v>
      </c>
      <c r="K51" s="26">
        <f t="shared" si="20"/>
        <v>73526.687202376634</v>
      </c>
      <c r="M51" s="1643"/>
      <c r="N51" s="1644"/>
    </row>
    <row r="52" spans="1:14" ht="13.15" customHeight="1">
      <c r="A52" s="24" t="str">
        <f>$A23</f>
        <v>Mortgage A</v>
      </c>
      <c r="B52" s="1282">
        <f>IF('Part III-Sources of Funds'!$M$32="", 0,-'Part III-Sources of Funds'!$M$32)</f>
        <v>-71530.568392451387</v>
      </c>
      <c r="C52" s="1282">
        <f>IF('Part III-Sources of Funds'!$M$32="", 0,-'Part III-Sources of Funds'!$M$32)</f>
        <v>-71530.568392451387</v>
      </c>
      <c r="D52" s="1282">
        <f>IF('Part III-Sources of Funds'!$M$32="", 0,-'Part III-Sources of Funds'!$M$32)</f>
        <v>-71530.568392451387</v>
      </c>
      <c r="E52" s="1282">
        <f>IF('Part III-Sources of Funds'!$M$32="", 0,-'Part III-Sources of Funds'!$M$32)</f>
        <v>-71530.568392451387</v>
      </c>
      <c r="F52" s="1282">
        <f>IF('Part III-Sources of Funds'!$M$32="", 0,-'Part III-Sources of Funds'!$M$32)</f>
        <v>-71530.568392451387</v>
      </c>
      <c r="G52" s="1282">
        <f>IF('Part III-Sources of Funds'!$M$32="", 0,-'Part III-Sources of Funds'!$M$32)</f>
        <v>-71530.568392451387</v>
      </c>
      <c r="H52" s="1282">
        <f>IF('Part III-Sources of Funds'!$M$32="", 0,-'Part III-Sources of Funds'!$M$32)</f>
        <v>-71530.568392451387</v>
      </c>
      <c r="I52" s="1282">
        <f>IF('Part III-Sources of Funds'!$M$32="", 0,-'Part III-Sources of Funds'!$M$32)</f>
        <v>-71530.568392451387</v>
      </c>
      <c r="J52" s="1282">
        <f>IF('Part III-Sources of Funds'!$M$32="", 0,-'Part III-Sources of Funds'!$M$32)</f>
        <v>-71530.568392451387</v>
      </c>
      <c r="K52" s="1282">
        <f>IF('Part III-Sources of Funds'!$M$32="", 0,-'Part III-Sources of Funds'!$M$32)</f>
        <v>-71530.568392451387</v>
      </c>
      <c r="M52" s="1643"/>
      <c r="N52" s="1644"/>
    </row>
    <row r="53" spans="1:14" ht="13.15" customHeight="1">
      <c r="A53" s="24" t="str">
        <f>$A24</f>
        <v>Mortgage B</v>
      </c>
      <c r="B53" s="1283">
        <f>IF('Part III-Sources of Funds'!$M$33="", 0,-'Part III-Sources of Funds'!$M$33)</f>
        <v>0</v>
      </c>
      <c r="C53" s="1283">
        <f>IF('Part III-Sources of Funds'!$M$33="", 0,-'Part III-Sources of Funds'!$M$33)</f>
        <v>0</v>
      </c>
      <c r="D53" s="1283">
        <f>IF('Part III-Sources of Funds'!$M$33="", 0,-'Part III-Sources of Funds'!$M$33)</f>
        <v>0</v>
      </c>
      <c r="E53" s="1283">
        <f>IF('Part III-Sources of Funds'!$M$33="", 0,-'Part III-Sources of Funds'!$M$33)</f>
        <v>0</v>
      </c>
      <c r="F53" s="1283">
        <f>IF('Part III-Sources of Funds'!$M$33="", 0,-'Part III-Sources of Funds'!$M$33)</f>
        <v>0</v>
      </c>
      <c r="G53" s="1283">
        <f>IF('Part III-Sources of Funds'!$M$33="", 0,-'Part III-Sources of Funds'!$M$33)</f>
        <v>0</v>
      </c>
      <c r="H53" s="1283">
        <f>IF('Part III-Sources of Funds'!$M$33="", 0,-'Part III-Sources of Funds'!$M$33)</f>
        <v>0</v>
      </c>
      <c r="I53" s="1283">
        <f>IF('Part III-Sources of Funds'!$M$33="", 0,-'Part III-Sources of Funds'!$M$33)</f>
        <v>0</v>
      </c>
      <c r="J53" s="1283">
        <f>IF('Part III-Sources of Funds'!$M$33="", 0,-'Part III-Sources of Funds'!$M$33)</f>
        <v>0</v>
      </c>
      <c r="K53" s="1283">
        <f>IF('Part III-Sources of Funds'!$M$33="", 0,-'Part III-Sources of Funds'!$M$33)</f>
        <v>0</v>
      </c>
      <c r="M53" s="1643"/>
      <c r="N53" s="1644"/>
    </row>
    <row r="54" spans="1:14" ht="13.15" customHeight="1">
      <c r="A54" s="24" t="str">
        <f>$A25</f>
        <v>Mortgage C</v>
      </c>
      <c r="B54" s="1283">
        <f>IF('Part III-Sources of Funds'!$M$34="", 0,-'Part III-Sources of Funds'!$M$34)</f>
        <v>0</v>
      </c>
      <c r="C54" s="1283">
        <f>IF('Part III-Sources of Funds'!$M$34="", 0,-'Part III-Sources of Funds'!$M$34)</f>
        <v>0</v>
      </c>
      <c r="D54" s="1283">
        <f>IF('Part III-Sources of Funds'!$M$34="", 0,-'Part III-Sources of Funds'!$M$34)</f>
        <v>0</v>
      </c>
      <c r="E54" s="1283">
        <f>IF('Part III-Sources of Funds'!$M$34="", 0,-'Part III-Sources of Funds'!$M$34)</f>
        <v>0</v>
      </c>
      <c r="F54" s="1283">
        <f>IF('Part III-Sources of Funds'!$M$34="", 0,-'Part III-Sources of Funds'!$M$34)</f>
        <v>0</v>
      </c>
      <c r="G54" s="1283">
        <f>IF('Part III-Sources of Funds'!$M$34="", 0,-'Part III-Sources of Funds'!$M$34)</f>
        <v>0</v>
      </c>
      <c r="H54" s="1283">
        <f>IF('Part III-Sources of Funds'!$M$34="", 0,-'Part III-Sources of Funds'!$M$34)</f>
        <v>0</v>
      </c>
      <c r="I54" s="1283">
        <f>IF('Part III-Sources of Funds'!$M$34="", 0,-'Part III-Sources of Funds'!$M$34)</f>
        <v>0</v>
      </c>
      <c r="J54" s="1283">
        <f>IF('Part III-Sources of Funds'!$M$34="", 0,-'Part III-Sources of Funds'!$M$34)</f>
        <v>0</v>
      </c>
      <c r="K54" s="1283">
        <f>IF('Part III-Sources of Funds'!$M$34="", 0,-'Part III-Sources of Funds'!$M$34)</f>
        <v>0</v>
      </c>
      <c r="M54" s="1643"/>
      <c r="N54" s="1644"/>
    </row>
    <row r="55" spans="1:14" ht="13.15" customHeight="1">
      <c r="A55" s="24" t="str">
        <f>$A26</f>
        <v>D/S Other Source</v>
      </c>
      <c r="B55" s="1283">
        <f>IF('Part III-Sources of Funds'!$M$35="", 0,-'Part III-Sources of Funds'!$M$35)</f>
        <v>0</v>
      </c>
      <c r="C55" s="1283">
        <f>IF('Part III-Sources of Funds'!$M$35="", 0,-'Part III-Sources of Funds'!$M$35)</f>
        <v>0</v>
      </c>
      <c r="D55" s="1283">
        <f>IF('Part III-Sources of Funds'!$M$35="", 0,-'Part III-Sources of Funds'!$M$35)</f>
        <v>0</v>
      </c>
      <c r="E55" s="1283">
        <f>IF('Part III-Sources of Funds'!$M$35="", 0,-'Part III-Sources of Funds'!$M$35)</f>
        <v>0</v>
      </c>
      <c r="F55" s="1283">
        <f>IF('Part III-Sources of Funds'!$M$35="", 0,-'Part III-Sources of Funds'!$M$35)</f>
        <v>0</v>
      </c>
      <c r="G55" s="1283">
        <f>IF('Part III-Sources of Funds'!$M$35="", 0,-'Part III-Sources of Funds'!$M$35)</f>
        <v>0</v>
      </c>
      <c r="H55" s="1283">
        <f>IF('Part III-Sources of Funds'!$M$35="", 0,-'Part III-Sources of Funds'!$M$35)</f>
        <v>0</v>
      </c>
      <c r="I55" s="1283">
        <f>IF('Part III-Sources of Funds'!$M$35="", 0,-'Part III-Sources of Funds'!$M$35)</f>
        <v>0</v>
      </c>
      <c r="J55" s="1283">
        <f>IF('Part III-Sources of Funds'!$M$35="", 0,-'Part III-Sources of Funds'!$M$35)</f>
        <v>0</v>
      </c>
      <c r="K55" s="1283">
        <f>IF('Part III-Sources of Funds'!$M$35="", 0,-'Part III-Sources of Funds'!$M$35)</f>
        <v>0</v>
      </c>
      <c r="M55" s="1643"/>
      <c r="N55" s="1644"/>
    </row>
    <row r="56" spans="1:14" ht="13.15" customHeight="1">
      <c r="A56" s="24" t="s">
        <v>808</v>
      </c>
      <c r="B56" s="1284"/>
      <c r="C56" s="1284"/>
      <c r="D56" s="1284"/>
      <c r="E56" s="1284"/>
      <c r="F56" s="1284"/>
      <c r="G56" s="1284"/>
      <c r="H56" s="1284"/>
      <c r="I56" s="1284"/>
      <c r="J56" s="1284"/>
      <c r="K56" s="1284"/>
      <c r="M56" s="1643"/>
      <c r="N56" s="1644"/>
    </row>
    <row r="57" spans="1:14" ht="13.15" customHeight="1">
      <c r="A57" s="24" t="s">
        <v>1228</v>
      </c>
      <c r="B57" s="1283">
        <f>+K28</f>
        <v>-5000</v>
      </c>
      <c r="C57" s="1283">
        <f t="shared" ref="C57:K57" si="21">+B57</f>
        <v>-5000</v>
      </c>
      <c r="D57" s="1283">
        <f t="shared" si="21"/>
        <v>-5000</v>
      </c>
      <c r="E57" s="1283">
        <f t="shared" si="21"/>
        <v>-5000</v>
      </c>
      <c r="F57" s="1283">
        <f t="shared" si="21"/>
        <v>-5000</v>
      </c>
      <c r="G57" s="1283">
        <v>0</v>
      </c>
      <c r="H57" s="1283">
        <v>0</v>
      </c>
      <c r="I57" s="1283">
        <f t="shared" si="21"/>
        <v>0</v>
      </c>
      <c r="J57" s="1283">
        <f t="shared" si="21"/>
        <v>0</v>
      </c>
      <c r="K57" s="1283">
        <f t="shared" si="21"/>
        <v>0</v>
      </c>
      <c r="M57" s="1643"/>
      <c r="N57" s="1644"/>
    </row>
    <row r="58" spans="1:14" ht="13.15" customHeight="1">
      <c r="A58" s="24" t="s">
        <v>1274</v>
      </c>
      <c r="B58" s="1285">
        <f>IF('Part III-Sources of Funds'!$M$37="", 0,-'Part III-Sources of Funds'!$M$37)</f>
        <v>0</v>
      </c>
      <c r="C58" s="1285">
        <f>IF('Part III-Sources of Funds'!$M$37="", 0,-'Part III-Sources of Funds'!$M$37)</f>
        <v>0</v>
      </c>
      <c r="D58" s="1285">
        <f>IF('Part III-Sources of Funds'!$M$37="", 0,-'Part III-Sources of Funds'!$M$37)</f>
        <v>0</v>
      </c>
      <c r="E58" s="1285">
        <f>IF('Part III-Sources of Funds'!$M$37="", 0,-'Part III-Sources of Funds'!$M$37)</f>
        <v>0</v>
      </c>
      <c r="F58" s="1285">
        <f>IF('Part III-Sources of Funds'!$M$37="", 0,-'Part III-Sources of Funds'!$M$37)</f>
        <v>0</v>
      </c>
      <c r="G58" s="1285">
        <f>IF('Part III-Sources of Funds'!$M$37="", 0,-'Part III-Sources of Funds'!$M$37)</f>
        <v>0</v>
      </c>
      <c r="H58" s="1285">
        <f>IF('Part III-Sources of Funds'!$M$37="", 0,-'Part III-Sources of Funds'!$M$37)</f>
        <v>0</v>
      </c>
      <c r="I58" s="1285">
        <f>IF('Part III-Sources of Funds'!$M$37="", 0,-'Part III-Sources of Funds'!$M$37)</f>
        <v>0</v>
      </c>
      <c r="J58" s="1285">
        <f>IF('Part III-Sources of Funds'!$M$37="", 0,-'Part III-Sources of Funds'!$M$37)</f>
        <v>0</v>
      </c>
      <c r="K58" s="1283">
        <f>IF('Part III-Sources of Funds'!$M$37="", 0,-'Part III-Sources of Funds'!$M$37)</f>
        <v>0</v>
      </c>
      <c r="M58" s="1643"/>
      <c r="N58" s="1644"/>
    </row>
    <row r="59" spans="1:14" ht="13.15" customHeight="1">
      <c r="A59" s="24" t="s">
        <v>1229</v>
      </c>
      <c r="B59" s="25">
        <f t="shared" ref="B59:K59" si="22">SUM(B51:B58)</f>
        <v>29024.716910141782</v>
      </c>
      <c r="C59" s="25">
        <f t="shared" si="22"/>
        <v>26338.648226086472</v>
      </c>
      <c r="D59" s="25">
        <f t="shared" si="22"/>
        <v>23453.680736647177</v>
      </c>
      <c r="E59" s="25">
        <f t="shared" si="22"/>
        <v>20364.006142764658</v>
      </c>
      <c r="F59" s="25">
        <f t="shared" si="22"/>
        <v>17058.565069710632</v>
      </c>
      <c r="G59" s="25">
        <f t="shared" si="22"/>
        <v>18531.03859828251</v>
      </c>
      <c r="H59" s="25">
        <f t="shared" si="22"/>
        <v>14769.839523206116</v>
      </c>
      <c r="I59" s="25">
        <f t="shared" si="22"/>
        <v>10767.10333018133</v>
      </c>
      <c r="J59" s="25">
        <f t="shared" si="22"/>
        <v>6512.6788827556302</v>
      </c>
      <c r="K59" s="23">
        <f t="shared" si="22"/>
        <v>1996.1188099252468</v>
      </c>
      <c r="M59" s="1643"/>
      <c r="N59" s="1644"/>
    </row>
    <row r="60" spans="1:14" ht="13.15" customHeight="1">
      <c r="A60" s="24" t="str">
        <f>$A31</f>
        <v>DCR Mortgage A</v>
      </c>
      <c r="B60" s="27">
        <f>IF(B52=0,"",-B51/B52)</f>
        <v>1.4756668047633241</v>
      </c>
      <c r="C60" s="27">
        <f t="shared" ref="C60:K60" si="23">IF(C52=0,"",-C51/C52)</f>
        <v>1.438115464903724</v>
      </c>
      <c r="D60" s="27">
        <f t="shared" si="23"/>
        <v>1.3977835123654616</v>
      </c>
      <c r="E60" s="27">
        <f t="shared" si="23"/>
        <v>1.354589746912193</v>
      </c>
      <c r="F60" s="27">
        <f t="shared" si="23"/>
        <v>1.3083795580749009</v>
      </c>
      <c r="G60" s="27">
        <f t="shared" si="23"/>
        <v>1.2590646071286928</v>
      </c>
      <c r="H60" s="27">
        <f t="shared" si="23"/>
        <v>1.206482904513936</v>
      </c>
      <c r="I60" s="27">
        <f t="shared" si="23"/>
        <v>1.1505245040289318</v>
      </c>
      <c r="J60" s="27">
        <f t="shared" si="23"/>
        <v>1.0910474924094538</v>
      </c>
      <c r="K60" s="28">
        <f t="shared" si="23"/>
        <v>1.0279058150212588</v>
      </c>
      <c r="M60" s="1643"/>
      <c r="N60" s="1644"/>
    </row>
    <row r="61" spans="1:14" ht="13.15" customHeight="1">
      <c r="A61" s="24" t="str">
        <f>$A32</f>
        <v>DCR Mortgage B</v>
      </c>
      <c r="B61" s="27" t="str">
        <f>IF(OR(B53=0,AND(B53=0,B52=0)),"",-B51/(B52+B53))</f>
        <v/>
      </c>
      <c r="C61" s="27" t="str">
        <f t="shared" ref="C61:K61" si="24">IF(OR(C53=0,AND(C53=0,C52=0)),"",-C51/(C52+C53))</f>
        <v/>
      </c>
      <c r="D61" s="27" t="str">
        <f t="shared" si="24"/>
        <v/>
      </c>
      <c r="E61" s="27" t="str">
        <f t="shared" si="24"/>
        <v/>
      </c>
      <c r="F61" s="27" t="str">
        <f t="shared" si="24"/>
        <v/>
      </c>
      <c r="G61" s="27" t="str">
        <f t="shared" si="24"/>
        <v/>
      </c>
      <c r="H61" s="27" t="str">
        <f t="shared" si="24"/>
        <v/>
      </c>
      <c r="I61" s="27" t="str">
        <f t="shared" si="24"/>
        <v/>
      </c>
      <c r="J61" s="27" t="str">
        <f t="shared" si="24"/>
        <v/>
      </c>
      <c r="K61" s="28" t="str">
        <f t="shared" si="24"/>
        <v/>
      </c>
      <c r="M61" s="1643"/>
      <c r="N61" s="1644"/>
    </row>
    <row r="62" spans="1:14" ht="13.15" customHeight="1">
      <c r="A62" s="24" t="str">
        <f>$A33</f>
        <v>DCR Mortgage C</v>
      </c>
      <c r="B62" s="27" t="str">
        <f>IF(OR(B54=0,AND(B54=0,B53=0,B52=0)),"",-B51/(B52+B53+B54))</f>
        <v/>
      </c>
      <c r="C62" s="27" t="str">
        <f t="shared" ref="C62:K62" si="25">IF(OR(C54=0,AND(C54=0,C53=0,C52=0)),"",-C51/(C52+C53+C54))</f>
        <v/>
      </c>
      <c r="D62" s="27" t="str">
        <f t="shared" si="25"/>
        <v/>
      </c>
      <c r="E62" s="27" t="str">
        <f t="shared" si="25"/>
        <v/>
      </c>
      <c r="F62" s="27" t="str">
        <f t="shared" si="25"/>
        <v/>
      </c>
      <c r="G62" s="27" t="str">
        <f t="shared" si="25"/>
        <v/>
      </c>
      <c r="H62" s="27" t="str">
        <f t="shared" si="25"/>
        <v/>
      </c>
      <c r="I62" s="27" t="str">
        <f t="shared" si="25"/>
        <v/>
      </c>
      <c r="J62" s="27" t="str">
        <f t="shared" si="25"/>
        <v/>
      </c>
      <c r="K62" s="28" t="str">
        <f t="shared" si="25"/>
        <v/>
      </c>
      <c r="M62" s="1643"/>
      <c r="N62" s="1644"/>
    </row>
    <row r="63" spans="1:14" ht="13.15" customHeight="1">
      <c r="A63" s="24" t="str">
        <f>$A34</f>
        <v>DCR Other Source</v>
      </c>
      <c r="B63" s="27" t="str">
        <f>IF(OR(B55=0,AND(B52=0,B53=0,B54=0,B55=0)),"",-B51/(B52+B53+B54+B55))</f>
        <v/>
      </c>
      <c r="C63" s="27" t="str">
        <f t="shared" ref="C63:K63" si="26">IF(OR(C55=0,AND(C52=0,C53=0,C54=0,C55=0)),"",-C51/(C52+C53+C54+C55))</f>
        <v/>
      </c>
      <c r="D63" s="27" t="str">
        <f t="shared" si="26"/>
        <v/>
      </c>
      <c r="E63" s="27" t="str">
        <f t="shared" si="26"/>
        <v/>
      </c>
      <c r="F63" s="27" t="str">
        <f t="shared" si="26"/>
        <v/>
      </c>
      <c r="G63" s="27" t="str">
        <f t="shared" si="26"/>
        <v/>
      </c>
      <c r="H63" s="27" t="str">
        <f t="shared" si="26"/>
        <v/>
      </c>
      <c r="I63" s="27" t="str">
        <f t="shared" si="26"/>
        <v/>
      </c>
      <c r="J63" s="27" t="str">
        <f t="shared" si="26"/>
        <v/>
      </c>
      <c r="K63" s="28" t="str">
        <f t="shared" si="26"/>
        <v/>
      </c>
      <c r="M63" s="1643"/>
      <c r="N63" s="1644"/>
    </row>
    <row r="64" spans="1:14" ht="13.15" customHeight="1">
      <c r="A64" s="24" t="s">
        <v>815</v>
      </c>
      <c r="B64" s="320">
        <f>IF(OR(B49="Choose mgt fee",B49="Choose One!"),"",(B43+B44+B45+B46+B47) / -(B48+B49+B50))</f>
        <v>1.220008397043119</v>
      </c>
      <c r="C64" s="320">
        <f t="shared" ref="C64:K64" si="27">IF(OR(C49="Choose mgt fee",C49="Choose One!"),"",(C43+C44+C45+C46+C47) / -(C48+C49+C50))</f>
        <v>1.2081651466694721</v>
      </c>
      <c r="D64" s="320">
        <f t="shared" si="27"/>
        <v>1.1964338835961141</v>
      </c>
      <c r="E64" s="320">
        <f t="shared" si="27"/>
        <v>1.1848193992209815</v>
      </c>
      <c r="F64" s="320">
        <f t="shared" si="27"/>
        <v>1.1733148424626267</v>
      </c>
      <c r="G64" s="320">
        <f t="shared" si="27"/>
        <v>1.161924773224152</v>
      </c>
      <c r="H64" s="320">
        <f t="shared" si="27"/>
        <v>1.1506429660065121</v>
      </c>
      <c r="I64" s="320">
        <f t="shared" si="27"/>
        <v>1.1394717909397696</v>
      </c>
      <c r="J64" s="320">
        <f t="shared" si="27"/>
        <v>1.12840949644441</v>
      </c>
      <c r="K64" s="321">
        <f t="shared" si="27"/>
        <v>1.1174545285574351</v>
      </c>
      <c r="M64" s="1643"/>
      <c r="N64" s="1644"/>
    </row>
    <row r="65" spans="1:14" ht="13.15" customHeight="1">
      <c r="A65" s="523" t="s">
        <v>2791</v>
      </c>
      <c r="B65" s="1286">
        <f>IF('Part III-Sources of Funds'!$H$32="","",-FV('Part III-Sources of Funds'!$J$32/12,12,B52/12,K36))</f>
        <v>952082.08561469195</v>
      </c>
      <c r="C65" s="1286">
        <f>IF('Part III-Sources of Funds'!$H$32="","",-FV('Part III-Sources of Funds'!$J$32/12,12,C52/12,B65))</f>
        <v>932425.42960871686</v>
      </c>
      <c r="D65" s="1286">
        <f>IF('Part III-Sources of Funds'!$H$32="","",-FV('Part III-Sources of Funds'!$J$32/12,12,D52/12,C65))</f>
        <v>911659.98369511031</v>
      </c>
      <c r="E65" s="1286">
        <f>IF('Part III-Sources of Funds'!$H$32="","",-FV('Part III-Sources of Funds'!$J$32/12,12,E52/12,D65))</f>
        <v>889723.2034075656</v>
      </c>
      <c r="F65" s="1286">
        <f>IF('Part III-Sources of Funds'!$H$32="","",-FV('Part III-Sources of Funds'!$J$32/12,12,F52/12,E65))</f>
        <v>866549.01628025295</v>
      </c>
      <c r="G65" s="1286">
        <f>IF('Part III-Sources of Funds'!$H$32="","",-FV('Part III-Sources of Funds'!$J$32/12,12,G52/12,F65))</f>
        <v>842067.62284091453</v>
      </c>
      <c r="H65" s="1286">
        <f>IF('Part III-Sources of Funds'!$H$32="","",-FV('Part III-Sources of Funds'!$J$32/12,12,H52/12,G65))</f>
        <v>816205.28637840657</v>
      </c>
      <c r="I65" s="1286">
        <f>IF('Part III-Sources of Funds'!$H$32="","",-FV('Part III-Sources of Funds'!$J$32/12,12,I52/12,H65))</f>
        <v>788884.11085147772</v>
      </c>
      <c r="J65" s="1286">
        <f>IF('Part III-Sources of Funds'!$H$32="","",-FV('Part III-Sources of Funds'!$J$32/12,12,J52/12,I65))</f>
        <v>760021.8062698571</v>
      </c>
      <c r="K65" s="1286">
        <f>IF('Part III-Sources of Funds'!$H$32="","",-FV('Part III-Sources of Funds'!$J$32/12,12,K52/12,J65))</f>
        <v>729531.44084099168</v>
      </c>
      <c r="M65" s="1643"/>
      <c r="N65" s="1644"/>
    </row>
    <row r="66" spans="1:14" ht="13.15" customHeight="1">
      <c r="A66" s="523" t="s">
        <v>2792</v>
      </c>
      <c r="B66" s="1283" t="str">
        <f>IF('Part III-Sources of Funds'!$H$33="","",-FV('Part III-Sources of Funds'!$J$33/12,12,B53/12,K37))</f>
        <v/>
      </c>
      <c r="C66" s="1283" t="str">
        <f>IF('Part III-Sources of Funds'!$H$33="","",-FV('Part III-Sources of Funds'!$J$33/12,12,C53/12,B66))</f>
        <v/>
      </c>
      <c r="D66" s="1283" t="str">
        <f>IF('Part III-Sources of Funds'!$H$33="","",-FV('Part III-Sources of Funds'!$J$33/12,12,D53/12,C66))</f>
        <v/>
      </c>
      <c r="E66" s="1283" t="str">
        <f>IF('Part III-Sources of Funds'!$H$33="","",-FV('Part III-Sources of Funds'!$J$33/12,12,E53/12,D66))</f>
        <v/>
      </c>
      <c r="F66" s="1283" t="str">
        <f>IF('Part III-Sources of Funds'!$H$33="","",-FV('Part III-Sources of Funds'!$J$33/12,12,F53/12,E66))</f>
        <v/>
      </c>
      <c r="G66" s="1283" t="str">
        <f>IF('Part III-Sources of Funds'!$H$33="","",-FV('Part III-Sources of Funds'!$J$33/12,12,G53/12,F66))</f>
        <v/>
      </c>
      <c r="H66" s="1283" t="str">
        <f>IF('Part III-Sources of Funds'!$H$33="","",-FV('Part III-Sources of Funds'!$J$33/12,12,H53/12,G66))</f>
        <v/>
      </c>
      <c r="I66" s="1283" t="str">
        <f>IF('Part III-Sources of Funds'!$H$33="","",-FV('Part III-Sources of Funds'!$J$33/12,12,I53/12,H66))</f>
        <v/>
      </c>
      <c r="J66" s="1283" t="str">
        <f>IF('Part III-Sources of Funds'!$H$33="","",-FV('Part III-Sources of Funds'!$J$33/12,12,J53/12,I66))</f>
        <v/>
      </c>
      <c r="K66" s="1283" t="str">
        <f>IF('Part III-Sources of Funds'!$H$33="","",-FV('Part III-Sources of Funds'!$J$33/12,12,K53/12,J66))</f>
        <v/>
      </c>
      <c r="M66" s="1643"/>
      <c r="N66" s="1644"/>
    </row>
    <row r="67" spans="1:14" ht="13.15" customHeight="1">
      <c r="A67" s="523" t="s">
        <v>2793</v>
      </c>
      <c r="B67" s="1283" t="str">
        <f>IF('Part III-Sources of Funds'!$H$34="","",-FV('Part III-Sources of Funds'!$J$34/12,12,B54/12,K38))</f>
        <v/>
      </c>
      <c r="C67" s="1283" t="str">
        <f>IF('Part III-Sources of Funds'!$H$34="","",-FV('Part III-Sources of Funds'!$J$34/12,12,C54/12,B67))</f>
        <v/>
      </c>
      <c r="D67" s="1283" t="str">
        <f>IF('Part III-Sources of Funds'!$H$34="","",-FV('Part III-Sources of Funds'!$J$34/12,12,D54/12,C67))</f>
        <v/>
      </c>
      <c r="E67" s="1283" t="str">
        <f>IF('Part III-Sources of Funds'!$H$34="","",-FV('Part III-Sources of Funds'!$J$34/12,12,E54/12,D67))</f>
        <v/>
      </c>
      <c r="F67" s="1283" t="str">
        <f>IF('Part III-Sources of Funds'!$H$34="","",-FV('Part III-Sources of Funds'!$J$34/12,12,F54/12,E67))</f>
        <v/>
      </c>
      <c r="G67" s="1283" t="str">
        <f>IF('Part III-Sources of Funds'!$H$34="","",-FV('Part III-Sources of Funds'!$J$34/12,12,G54/12,F67))</f>
        <v/>
      </c>
      <c r="H67" s="1283" t="str">
        <f>IF('Part III-Sources of Funds'!$H$34="","",-FV('Part III-Sources of Funds'!$J$34/12,12,H54/12,G67))</f>
        <v/>
      </c>
      <c r="I67" s="1283" t="str">
        <f>IF('Part III-Sources of Funds'!$H$34="","",-FV('Part III-Sources of Funds'!$J$34/12,12,I54/12,H67))</f>
        <v/>
      </c>
      <c r="J67" s="1283" t="str">
        <f>IF('Part III-Sources of Funds'!$H$34="","",-FV('Part III-Sources of Funds'!$J$34/12,12,J54/12,I67))</f>
        <v/>
      </c>
      <c r="K67" s="1283" t="str">
        <f>IF('Part III-Sources of Funds'!$H$34="","",-FV('Part III-Sources of Funds'!$J$34/12,12,K54/12,J67))</f>
        <v/>
      </c>
      <c r="M67" s="1643"/>
      <c r="N67" s="1644"/>
    </row>
    <row r="68" spans="1:14" ht="13.15" customHeight="1">
      <c r="A68" s="24" t="s">
        <v>831</v>
      </c>
      <c r="B68" s="1283" t="str">
        <f>IF('Part III-Sources of Funds'!$H$35="","",-FV('Part III-Sources of Funds'!$J$35/12,12,B55/12,K39))</f>
        <v/>
      </c>
      <c r="C68" s="1283" t="str">
        <f>IF('Part III-Sources of Funds'!$H$35="","",-FV('Part III-Sources of Funds'!$J$35/12,12,C55/12,B68))</f>
        <v/>
      </c>
      <c r="D68" s="1283" t="str">
        <f>IF('Part III-Sources of Funds'!$H$35="","",-FV('Part III-Sources of Funds'!$J$35/12,12,D55/12,C68))</f>
        <v/>
      </c>
      <c r="E68" s="1283" t="str">
        <f>IF('Part III-Sources of Funds'!$H$35="","",-FV('Part III-Sources of Funds'!$J$35/12,12,E55/12,D68))</f>
        <v/>
      </c>
      <c r="F68" s="1283" t="str">
        <f>IF('Part III-Sources of Funds'!$H$35="","",-FV('Part III-Sources of Funds'!$J$35/12,12,F55/12,E68))</f>
        <v/>
      </c>
      <c r="G68" s="1283" t="str">
        <f>IF('Part III-Sources of Funds'!$H$35="","",-FV('Part III-Sources of Funds'!$J$35/12,12,G55/12,F68))</f>
        <v/>
      </c>
      <c r="H68" s="1283" t="str">
        <f>IF('Part III-Sources of Funds'!$H$35="","",-FV('Part III-Sources of Funds'!$J$35/12,12,H55/12,G68))</f>
        <v/>
      </c>
      <c r="I68" s="1283" t="str">
        <f>IF('Part III-Sources of Funds'!$H$35="","",-FV('Part III-Sources of Funds'!$J$35/12,12,I55/12,H68))</f>
        <v/>
      </c>
      <c r="J68" s="1283" t="str">
        <f>IF('Part III-Sources of Funds'!$H$35="","",-FV('Part III-Sources of Funds'!$J$35/12,12,J55/12,I68))</f>
        <v/>
      </c>
      <c r="K68" s="1283" t="str">
        <f>IF('Part III-Sources of Funds'!$H$35="","",-FV('Part III-Sources of Funds'!$J$35/12,12,K55/12,J68))</f>
        <v/>
      </c>
      <c r="M68" s="1643"/>
      <c r="N68" s="1644"/>
    </row>
    <row r="69" spans="1:14" ht="13.15" customHeight="1">
      <c r="A69" s="29" t="s">
        <v>1309</v>
      </c>
      <c r="B69" s="1285">
        <f>IF('Part III-Sources of Funds'!$H$37="","",-FV('Part III-Sources of Funds'!$J$37/12,12,B58/12,K40))</f>
        <v>0</v>
      </c>
      <c r="C69" s="1285">
        <f>IF('Part III-Sources of Funds'!$H$37="","",-FV('Part III-Sources of Funds'!$J$37/12,12,C58/12,B69))</f>
        <v>0</v>
      </c>
      <c r="D69" s="1285">
        <f>IF('Part III-Sources of Funds'!$H$37="","",-FV('Part III-Sources of Funds'!$J$37/12,12,D58/12,C69))</f>
        <v>0</v>
      </c>
      <c r="E69" s="1285">
        <f>IF('Part III-Sources of Funds'!$H$37="","",-FV('Part III-Sources of Funds'!$J$37/12,12,E58/12,D69))</f>
        <v>0</v>
      </c>
      <c r="F69" s="1285">
        <f>IF('Part III-Sources of Funds'!$H$37="","",-FV('Part III-Sources of Funds'!$J$37/12,12,F58/12,E69))</f>
        <v>0</v>
      </c>
      <c r="G69" s="1285">
        <f>IF('Part III-Sources of Funds'!$H$37="","",-FV('Part III-Sources of Funds'!$J$37/12,12,G58/12,F69))</f>
        <v>0</v>
      </c>
      <c r="H69" s="1285">
        <f>IF('Part III-Sources of Funds'!$H$37="","",-FV('Part III-Sources of Funds'!$J$37/12,12,H58/12,G69))</f>
        <v>0</v>
      </c>
      <c r="I69" s="1285">
        <f>IF('Part III-Sources of Funds'!$H$37="","",-FV('Part III-Sources of Funds'!$J$37/12,12,I58/12,H69))</f>
        <v>0</v>
      </c>
      <c r="J69" s="1285">
        <f>IF('Part III-Sources of Funds'!$H$37="","",-FV('Part III-Sources of Funds'!$J$37/12,12,J58/12,I69))</f>
        <v>0</v>
      </c>
      <c r="K69" s="1285">
        <f>IF('Part III-Sources of Funds'!$H$37="","",-FV('Part III-Sources of Funds'!$J$37/12,12,K58/12,J69))</f>
        <v>0</v>
      </c>
      <c r="M69" s="1645"/>
      <c r="N69" s="1646"/>
    </row>
    <row r="70" spans="1:14" ht="4.1500000000000004" customHeight="1">
      <c r="B70" s="20"/>
      <c r="C70" s="20"/>
      <c r="D70" s="20"/>
      <c r="E70" s="20"/>
      <c r="F70" s="20"/>
      <c r="G70" s="20"/>
      <c r="H70" s="20"/>
      <c r="I70" s="20"/>
      <c r="J70" s="20"/>
      <c r="K70" s="20"/>
    </row>
    <row r="71" spans="1:14" ht="14.45" customHeight="1">
      <c r="A71" s="16" t="s">
        <v>2639</v>
      </c>
      <c r="B71" s="18">
        <f>K42+1</f>
        <v>21</v>
      </c>
      <c r="C71" s="18">
        <f t="shared" ref="C71:K71" si="28">B71+1</f>
        <v>22</v>
      </c>
      <c r="D71" s="18">
        <f t="shared" si="28"/>
        <v>23</v>
      </c>
      <c r="E71" s="18">
        <f t="shared" si="28"/>
        <v>24</v>
      </c>
      <c r="F71" s="18">
        <f t="shared" si="28"/>
        <v>25</v>
      </c>
      <c r="G71" s="18">
        <f t="shared" si="28"/>
        <v>26</v>
      </c>
      <c r="H71" s="18">
        <f t="shared" si="28"/>
        <v>27</v>
      </c>
      <c r="I71" s="18">
        <f t="shared" si="28"/>
        <v>28</v>
      </c>
      <c r="J71" s="18">
        <f t="shared" si="28"/>
        <v>29</v>
      </c>
      <c r="K71" s="18">
        <f t="shared" si="28"/>
        <v>30</v>
      </c>
      <c r="M71" s="1546" t="s">
        <v>2797</v>
      </c>
      <c r="N71" s="1546"/>
    </row>
    <row r="72" spans="1:14" ht="13.15" customHeight="1">
      <c r="A72" s="21" t="s">
        <v>2557</v>
      </c>
      <c r="B72" s="22">
        <f t="shared" ref="B72:K72" si="29">$B$14*(1+$B$5)^(B71-1)</f>
        <v>752180.628054659</v>
      </c>
      <c r="C72" s="22">
        <f t="shared" si="29"/>
        <v>767224.24061575218</v>
      </c>
      <c r="D72" s="22">
        <f t="shared" si="29"/>
        <v>782568.72542806726</v>
      </c>
      <c r="E72" s="22">
        <f t="shared" si="29"/>
        <v>798220.09993662836</v>
      </c>
      <c r="F72" s="22">
        <f t="shared" si="29"/>
        <v>814184.50193536107</v>
      </c>
      <c r="G72" s="22">
        <f t="shared" si="29"/>
        <v>830468.19197406829</v>
      </c>
      <c r="H72" s="22">
        <f t="shared" si="29"/>
        <v>847077.55581354967</v>
      </c>
      <c r="I72" s="22">
        <f t="shared" si="29"/>
        <v>864019.1069298205</v>
      </c>
      <c r="J72" s="22">
        <f t="shared" si="29"/>
        <v>881299.48906841711</v>
      </c>
      <c r="K72" s="23">
        <f t="shared" si="29"/>
        <v>898925.47884978529</v>
      </c>
      <c r="M72" s="1641"/>
      <c r="N72" s="1642"/>
    </row>
    <row r="73" spans="1:14" ht="13.15" customHeight="1">
      <c r="A73" s="24" t="s">
        <v>1072</v>
      </c>
      <c r="B73" s="25">
        <f t="shared" ref="B73:K73" si="30">$B$15*(1+$B$5)^(B71-1)</f>
        <v>15043.612561093179</v>
      </c>
      <c r="C73" s="25">
        <f t="shared" si="30"/>
        <v>15344.484812315042</v>
      </c>
      <c r="D73" s="25">
        <f t="shared" si="30"/>
        <v>15651.374508561345</v>
      </c>
      <c r="E73" s="25">
        <f t="shared" si="30"/>
        <v>15964.401998732568</v>
      </c>
      <c r="F73" s="25">
        <f t="shared" si="30"/>
        <v>16283.69003870722</v>
      </c>
      <c r="G73" s="25">
        <f t="shared" si="30"/>
        <v>16609.363839481364</v>
      </c>
      <c r="H73" s="25">
        <f t="shared" si="30"/>
        <v>16941.551116270995</v>
      </c>
      <c r="I73" s="25">
        <f t="shared" si="30"/>
        <v>17280.382138596411</v>
      </c>
      <c r="J73" s="25">
        <f t="shared" si="30"/>
        <v>17625.989781368342</v>
      </c>
      <c r="K73" s="26">
        <f t="shared" si="30"/>
        <v>17978.509576995708</v>
      </c>
      <c r="M73" s="1643"/>
      <c r="N73" s="1644"/>
    </row>
    <row r="74" spans="1:14" ht="13.15" customHeight="1">
      <c r="A74" s="24" t="s">
        <v>2558</v>
      </c>
      <c r="B74" s="25">
        <f t="shared" ref="B74:K74" si="31">-(B72+B73)*$B$8</f>
        <v>-53705.696843102654</v>
      </c>
      <c r="C74" s="25">
        <f t="shared" si="31"/>
        <v>-54779.810779964711</v>
      </c>
      <c r="D74" s="25">
        <f t="shared" si="31"/>
        <v>-55875.406995564008</v>
      </c>
      <c r="E74" s="25">
        <f t="shared" si="31"/>
        <v>-56992.915135475276</v>
      </c>
      <c r="F74" s="25">
        <f t="shared" si="31"/>
        <v>-58132.773438184784</v>
      </c>
      <c r="G74" s="25">
        <f t="shared" si="31"/>
        <v>-59295.42890694848</v>
      </c>
      <c r="H74" s="25">
        <f t="shared" si="31"/>
        <v>-60481.337485087446</v>
      </c>
      <c r="I74" s="25">
        <f t="shared" si="31"/>
        <v>-61690.964234789186</v>
      </c>
      <c r="J74" s="25">
        <f t="shared" si="31"/>
        <v>-62924.783519484983</v>
      </c>
      <c r="K74" s="26">
        <f t="shared" si="31"/>
        <v>-64183.27918987468</v>
      </c>
      <c r="M74" s="1643"/>
      <c r="N74" s="1644"/>
    </row>
    <row r="75" spans="1:14" ht="13.15" customHeight="1">
      <c r="A75" s="24" t="s">
        <v>55</v>
      </c>
      <c r="B75" s="25">
        <f>'Part VI-Revenues &amp; Expenses'!G131</f>
        <v>0</v>
      </c>
      <c r="C75" s="25">
        <f>'Part VI-Revenues &amp; Expenses'!H131</f>
        <v>0</v>
      </c>
      <c r="D75" s="25">
        <f>'Part VI-Revenues &amp; Expenses'!I131</f>
        <v>0</v>
      </c>
      <c r="E75" s="25">
        <f>'Part VI-Revenues &amp; Expenses'!J131</f>
        <v>0</v>
      </c>
      <c r="F75" s="25">
        <f>'Part VI-Revenues &amp; Expenses'!K131</f>
        <v>0</v>
      </c>
      <c r="G75" s="25">
        <f>'Part VI-Revenues &amp; Expenses'!L131</f>
        <v>0</v>
      </c>
      <c r="H75" s="25">
        <f>'Part VI-Revenues &amp; Expenses'!M131</f>
        <v>0</v>
      </c>
      <c r="I75" s="25">
        <f>'Part VI-Revenues &amp; Expenses'!N131</f>
        <v>0</v>
      </c>
      <c r="J75" s="25">
        <f>'Part VI-Revenues &amp; Expenses'!O131</f>
        <v>0</v>
      </c>
      <c r="K75" s="26">
        <f>'Part VI-Revenues &amp; Expenses'!P131</f>
        <v>0</v>
      </c>
      <c r="M75" s="1643"/>
      <c r="N75" s="1644"/>
    </row>
    <row r="76" spans="1:14" ht="13.15" customHeight="1">
      <c r="A76" s="24" t="s">
        <v>56</v>
      </c>
      <c r="B76" s="25">
        <f>'Part VI-Revenues &amp; Expenses'!G136</f>
        <v>0</v>
      </c>
      <c r="C76" s="25">
        <f>'Part VI-Revenues &amp; Expenses'!H136</f>
        <v>0</v>
      </c>
      <c r="D76" s="25">
        <f>'Part VI-Revenues &amp; Expenses'!I136</f>
        <v>0</v>
      </c>
      <c r="E76" s="25">
        <f>'Part VI-Revenues &amp; Expenses'!J136</f>
        <v>0</v>
      </c>
      <c r="F76" s="25">
        <f>'Part VI-Revenues &amp; Expenses'!K136</f>
        <v>0</v>
      </c>
      <c r="G76" s="25">
        <f>'Part VI-Revenues &amp; Expenses'!L136</f>
        <v>0</v>
      </c>
      <c r="H76" s="25">
        <f>'Part VI-Revenues &amp; Expenses'!M136</f>
        <v>0</v>
      </c>
      <c r="I76" s="25">
        <f>'Part VI-Revenues &amp; Expenses'!N136</f>
        <v>0</v>
      </c>
      <c r="J76" s="25">
        <f>'Part VI-Revenues &amp; Expenses'!O136</f>
        <v>0</v>
      </c>
      <c r="K76" s="26">
        <f>'Part VI-Revenues &amp; Expenses'!P136</f>
        <v>0</v>
      </c>
      <c r="M76" s="1643"/>
      <c r="N76" s="1644"/>
    </row>
    <row r="77" spans="1:14" ht="13.15" customHeight="1">
      <c r="A77" s="24" t="s">
        <v>650</v>
      </c>
      <c r="B77" s="25">
        <f t="shared" ref="B77:K77" si="32">$B$19*(1+$B$6)^(B71-1)</f>
        <v>-534030.96986705216</v>
      </c>
      <c r="C77" s="25">
        <f t="shared" si="32"/>
        <v>-550051.89896306361</v>
      </c>
      <c r="D77" s="25">
        <f t="shared" si="32"/>
        <v>-566553.4559319556</v>
      </c>
      <c r="E77" s="25">
        <f t="shared" si="32"/>
        <v>-583550.05960991431</v>
      </c>
      <c r="F77" s="25">
        <f t="shared" si="32"/>
        <v>-601056.56139821163</v>
      </c>
      <c r="G77" s="25">
        <f t="shared" si="32"/>
        <v>-619088.25824015797</v>
      </c>
      <c r="H77" s="25">
        <f t="shared" si="32"/>
        <v>-637660.90598736273</v>
      </c>
      <c r="I77" s="25">
        <f t="shared" si="32"/>
        <v>-656790.73316698358</v>
      </c>
      <c r="J77" s="25">
        <f t="shared" si="32"/>
        <v>-676494.45516199304</v>
      </c>
      <c r="K77" s="26">
        <f t="shared" si="32"/>
        <v>-696789.28881685284</v>
      </c>
      <c r="M77" s="1643"/>
      <c r="N77" s="1644"/>
    </row>
    <row r="78" spans="1:14" ht="13.15" customHeight="1">
      <c r="A78" s="24" t="s">
        <v>1174</v>
      </c>
      <c r="B78" s="25">
        <f>IF(AND('Part VII-Pro Forma'!$G$8="Yes",'Part VII-Pro Forma'!$G$9="Yes"),"Choose One!",IF('Part VII-Pro Forma'!$G$8="Yes",ROUND((-$K$8*(1+'Part VII-Pro Forma'!$B$6)^('Part VII-Pro Forma'!B71-1)),),IF('Part VII-Pro Forma'!$G$9="Yes",ROUND((-(SUM(B72:B75)*'Part VII-Pro Forma'!$K$9)),),"Choose mgt fee")))</f>
        <v>-72822</v>
      </c>
      <c r="C78" s="25">
        <f>IF(AND('Part VII-Pro Forma'!$G$8="Yes",'Part VII-Pro Forma'!$G$9="Yes"),"Choose One!",IF('Part VII-Pro Forma'!$G$8="Yes",ROUND((-$K$8*(1+'Part VII-Pro Forma'!$B$6)^('Part VII-Pro Forma'!C71-1)),),IF('Part VII-Pro Forma'!$G$9="Yes",ROUND((-(SUM(C72:C75)*'Part VII-Pro Forma'!$K$9)),),"Choose mgt fee")))</f>
        <v>-75007</v>
      </c>
      <c r="D78" s="25">
        <f>IF(AND('Part VII-Pro Forma'!$G$8="Yes",'Part VII-Pro Forma'!$G$9="Yes"),"Choose One!",IF('Part VII-Pro Forma'!$G$8="Yes",ROUND((-$K$8*(1+'Part VII-Pro Forma'!$B$6)^('Part VII-Pro Forma'!D71-1)),),IF('Part VII-Pro Forma'!$G$9="Yes",ROUND((-(SUM(D72:D75)*'Part VII-Pro Forma'!$K$9)),),"Choose mgt fee")))</f>
        <v>-77257</v>
      </c>
      <c r="E78" s="25">
        <f>IF(AND('Part VII-Pro Forma'!$G$8="Yes",'Part VII-Pro Forma'!$G$9="Yes"),"Choose One!",IF('Part VII-Pro Forma'!$G$8="Yes",ROUND((-$K$8*(1+'Part VII-Pro Forma'!$B$6)^('Part VII-Pro Forma'!E71-1)),),IF('Part VII-Pro Forma'!$G$9="Yes",ROUND((-(SUM(E72:E75)*'Part VII-Pro Forma'!$K$9)),),"Choose mgt fee")))</f>
        <v>-79575</v>
      </c>
      <c r="F78" s="25">
        <f>IF(AND('Part VII-Pro Forma'!$G$8="Yes",'Part VII-Pro Forma'!$G$9="Yes"),"Choose One!",IF('Part VII-Pro Forma'!$G$8="Yes",ROUND((-$K$8*(1+'Part VII-Pro Forma'!$B$6)^('Part VII-Pro Forma'!F71-1)),),IF('Part VII-Pro Forma'!$G$9="Yes",ROUND((-(SUM(F72:F75)*'Part VII-Pro Forma'!$K$9)),),"Choose mgt fee")))</f>
        <v>-81962</v>
      </c>
      <c r="G78" s="25">
        <f>IF(AND('Part VII-Pro Forma'!$G$8="Yes",'Part VII-Pro Forma'!$G$9="Yes"),"Choose One!",IF('Part VII-Pro Forma'!$G$8="Yes",ROUND((-$K$8*(1+'Part VII-Pro Forma'!$B$6)^('Part VII-Pro Forma'!G71-1)),),IF('Part VII-Pro Forma'!$G$9="Yes",ROUND((-(SUM(G72:G75)*'Part VII-Pro Forma'!$K$9)),),"Choose mgt fee")))</f>
        <v>-84421</v>
      </c>
      <c r="H78" s="25">
        <f>IF(AND('Part VII-Pro Forma'!$G$8="Yes",'Part VII-Pro Forma'!$G$9="Yes"),"Choose One!",IF('Part VII-Pro Forma'!$G$8="Yes",ROUND((-$K$8*(1+'Part VII-Pro Forma'!$B$6)^('Part VII-Pro Forma'!H71-1)),),IF('Part VII-Pro Forma'!$G$9="Yes",ROUND((-(SUM(H72:H75)*'Part VII-Pro Forma'!$K$9)),),"Choose mgt fee")))</f>
        <v>-86954</v>
      </c>
      <c r="I78" s="25">
        <f>IF(AND('Part VII-Pro Forma'!$G$8="Yes",'Part VII-Pro Forma'!$G$9="Yes"),"Choose One!",IF('Part VII-Pro Forma'!$G$8="Yes",ROUND((-$K$8*(1+'Part VII-Pro Forma'!$B$6)^('Part VII-Pro Forma'!I71-1)),),IF('Part VII-Pro Forma'!$G$9="Yes",ROUND((-(SUM(I72:I75)*'Part VII-Pro Forma'!$K$9)),),"Choose mgt fee")))</f>
        <v>-89562</v>
      </c>
      <c r="J78" s="25">
        <f>IF(AND('Part VII-Pro Forma'!$G$8="Yes",'Part VII-Pro Forma'!$G$9="Yes"),"Choose One!",IF('Part VII-Pro Forma'!$G$8="Yes",ROUND((-$K$8*(1+'Part VII-Pro Forma'!$B$6)^('Part VII-Pro Forma'!J71-1)),),IF('Part VII-Pro Forma'!$G$9="Yes",ROUND((-(SUM(J72:J75)*'Part VII-Pro Forma'!$K$9)),),"Choose mgt fee")))</f>
        <v>-92249</v>
      </c>
      <c r="K78" s="25">
        <f>IF(AND('Part VII-Pro Forma'!$G$8="Yes",'Part VII-Pro Forma'!$G$9="Yes"),"Choose One!",IF('Part VII-Pro Forma'!$G$8="Yes",ROUND((-$K$8*(1+'Part VII-Pro Forma'!$B$6)^('Part VII-Pro Forma'!K71-1)),),IF('Part VII-Pro Forma'!$G$9="Yes",ROUND((-(SUM(K72:K75)*'Part VII-Pro Forma'!$K$9)),),"Choose mgt fee")))</f>
        <v>-95017</v>
      </c>
      <c r="M78" s="1643"/>
      <c r="N78" s="1644"/>
    </row>
    <row r="79" spans="1:14" ht="13.15" customHeight="1">
      <c r="A79" s="24" t="s">
        <v>1272</v>
      </c>
      <c r="B79" s="25">
        <f t="shared" ref="B79:K79" si="33">$B$21*(1+$B$7)^(B71-1)</f>
        <v>-37928.335928057677</v>
      </c>
      <c r="C79" s="25">
        <f t="shared" si="33"/>
        <v>-39066.186005899406</v>
      </c>
      <c r="D79" s="25">
        <f t="shared" si="33"/>
        <v>-40238.171586076387</v>
      </c>
      <c r="E79" s="25">
        <f t="shared" si="33"/>
        <v>-41445.316733658685</v>
      </c>
      <c r="F79" s="25">
        <f t="shared" si="33"/>
        <v>-42688.676235668441</v>
      </c>
      <c r="G79" s="25">
        <f t="shared" si="33"/>
        <v>-43969.336522738493</v>
      </c>
      <c r="H79" s="25">
        <f t="shared" si="33"/>
        <v>-45288.416618420655</v>
      </c>
      <c r="I79" s="25">
        <f t="shared" si="33"/>
        <v>-46647.069116973267</v>
      </c>
      <c r="J79" s="25">
        <f t="shared" si="33"/>
        <v>-48046.481190482467</v>
      </c>
      <c r="K79" s="26">
        <f t="shared" si="33"/>
        <v>-49487.875626196932</v>
      </c>
      <c r="M79" s="1643"/>
      <c r="N79" s="1644"/>
    </row>
    <row r="80" spans="1:14" ht="13.15" customHeight="1">
      <c r="A80" s="24" t="s">
        <v>1273</v>
      </c>
      <c r="B80" s="25">
        <f t="shared" ref="B80:K80" si="34">SUM(B72:B79)</f>
        <v>68737.237977539655</v>
      </c>
      <c r="C80" s="25">
        <f t="shared" si="34"/>
        <v>63663.829679139584</v>
      </c>
      <c r="D80" s="25">
        <f t="shared" si="34"/>
        <v>58296.065423032611</v>
      </c>
      <c r="E80" s="25">
        <f t="shared" si="34"/>
        <v>52621.210456312729</v>
      </c>
      <c r="F80" s="25">
        <f t="shared" si="34"/>
        <v>46628.180902003463</v>
      </c>
      <c r="G80" s="25">
        <f t="shared" si="34"/>
        <v>40303.532143704782</v>
      </c>
      <c r="H80" s="25">
        <f t="shared" si="34"/>
        <v>33634.446838949778</v>
      </c>
      <c r="I80" s="25">
        <f t="shared" si="34"/>
        <v>26608.722549670892</v>
      </c>
      <c r="J80" s="25">
        <f t="shared" si="34"/>
        <v>19210.758977824858</v>
      </c>
      <c r="K80" s="26">
        <f t="shared" si="34"/>
        <v>11426.544793856599</v>
      </c>
      <c r="M80" s="1643"/>
      <c r="N80" s="1644"/>
    </row>
    <row r="81" spans="1:14" ht="13.15" customHeight="1">
      <c r="A81" s="24" t="str">
        <f>$A52</f>
        <v>Mortgage A</v>
      </c>
      <c r="B81" s="1282">
        <f>IF('Part III-Sources of Funds'!$M$32="", 0,-'Part III-Sources of Funds'!$M$32)</f>
        <v>-71530.568392451387</v>
      </c>
      <c r="C81" s="1282">
        <f>IF('Part III-Sources of Funds'!$M$32="", 0,-'Part III-Sources of Funds'!$M$32)</f>
        <v>-71530.568392451387</v>
      </c>
      <c r="D81" s="1282">
        <f>IF('Part III-Sources of Funds'!$M$32="", 0,-'Part III-Sources of Funds'!$M$32)</f>
        <v>-71530.568392451387</v>
      </c>
      <c r="E81" s="1282">
        <f>IF('Part III-Sources of Funds'!$M$32="", 0,-'Part III-Sources of Funds'!$M$32)</f>
        <v>-71530.568392451387</v>
      </c>
      <c r="F81" s="1282">
        <f>IF('Part III-Sources of Funds'!$M$32="", 0,-'Part III-Sources of Funds'!$M$32)</f>
        <v>-71530.568392451387</v>
      </c>
      <c r="G81" s="1282">
        <f>IF('Part III-Sources of Funds'!$M$32="", 0,-'Part III-Sources of Funds'!$M$32)</f>
        <v>-71530.568392451387</v>
      </c>
      <c r="H81" s="1282">
        <f>IF('Part III-Sources of Funds'!$M$32="", 0,-'Part III-Sources of Funds'!$M$32)</f>
        <v>-71530.568392451387</v>
      </c>
      <c r="I81" s="1282">
        <f>IF('Part III-Sources of Funds'!$M$32="", 0,-'Part III-Sources of Funds'!$M$32)</f>
        <v>-71530.568392451387</v>
      </c>
      <c r="J81" s="1282">
        <f>IF('Part III-Sources of Funds'!$M$32="", 0,-'Part III-Sources of Funds'!$M$32)</f>
        <v>-71530.568392451387</v>
      </c>
      <c r="K81" s="1282">
        <f>IF('Part III-Sources of Funds'!$M$32="", 0,-'Part III-Sources of Funds'!$M$32)</f>
        <v>-71530.568392451387</v>
      </c>
      <c r="M81" s="1643"/>
      <c r="N81" s="1644"/>
    </row>
    <row r="82" spans="1:14" ht="13.15" customHeight="1">
      <c r="A82" s="24" t="str">
        <f>$A53</f>
        <v>Mortgage B</v>
      </c>
      <c r="B82" s="1283">
        <f>IF('Part III-Sources of Funds'!$M$33="", 0,-'Part III-Sources of Funds'!$M$33)</f>
        <v>0</v>
      </c>
      <c r="C82" s="1283">
        <f>IF('Part III-Sources of Funds'!$M$33="", 0,-'Part III-Sources of Funds'!$M$33)</f>
        <v>0</v>
      </c>
      <c r="D82" s="1283">
        <f>IF('Part III-Sources of Funds'!$M$33="", 0,-'Part III-Sources of Funds'!$M$33)</f>
        <v>0</v>
      </c>
      <c r="E82" s="1283">
        <f>IF('Part III-Sources of Funds'!$M$33="", 0,-'Part III-Sources of Funds'!$M$33)</f>
        <v>0</v>
      </c>
      <c r="F82" s="1283">
        <f>IF('Part III-Sources of Funds'!$M$33="", 0,-'Part III-Sources of Funds'!$M$33)</f>
        <v>0</v>
      </c>
      <c r="G82" s="1283">
        <f>IF('Part III-Sources of Funds'!$M$33="", 0,-'Part III-Sources of Funds'!$M$33)</f>
        <v>0</v>
      </c>
      <c r="H82" s="1283">
        <f>IF('Part III-Sources of Funds'!$M$33="", 0,-'Part III-Sources of Funds'!$M$33)</f>
        <v>0</v>
      </c>
      <c r="I82" s="1283">
        <f>IF('Part III-Sources of Funds'!$M$33="", 0,-'Part III-Sources of Funds'!$M$33)</f>
        <v>0</v>
      </c>
      <c r="J82" s="1283">
        <f>IF('Part III-Sources of Funds'!$M$33="", 0,-'Part III-Sources of Funds'!$M$33)</f>
        <v>0</v>
      </c>
      <c r="K82" s="1283">
        <f>IF('Part III-Sources of Funds'!$M$33="", 0,-'Part III-Sources of Funds'!$M$33)</f>
        <v>0</v>
      </c>
      <c r="M82" s="1643"/>
      <c r="N82" s="1644"/>
    </row>
    <row r="83" spans="1:14" ht="13.15" customHeight="1">
      <c r="A83" s="24" t="str">
        <f>$A54</f>
        <v>Mortgage C</v>
      </c>
      <c r="B83" s="1283">
        <f>IF('Part III-Sources of Funds'!$M$34="", 0,-'Part III-Sources of Funds'!$M$34)</f>
        <v>0</v>
      </c>
      <c r="C83" s="1283">
        <f>IF('Part III-Sources of Funds'!$M$34="", 0,-'Part III-Sources of Funds'!$M$34)</f>
        <v>0</v>
      </c>
      <c r="D83" s="1283">
        <f>IF('Part III-Sources of Funds'!$M$34="", 0,-'Part III-Sources of Funds'!$M$34)</f>
        <v>0</v>
      </c>
      <c r="E83" s="1283">
        <f>IF('Part III-Sources of Funds'!$M$34="", 0,-'Part III-Sources of Funds'!$M$34)</f>
        <v>0</v>
      </c>
      <c r="F83" s="1283">
        <f>IF('Part III-Sources of Funds'!$M$34="", 0,-'Part III-Sources of Funds'!$M$34)</f>
        <v>0</v>
      </c>
      <c r="G83" s="1283">
        <f>IF('Part III-Sources of Funds'!$M$34="", 0,-'Part III-Sources of Funds'!$M$34)</f>
        <v>0</v>
      </c>
      <c r="H83" s="1283">
        <f>IF('Part III-Sources of Funds'!$M$34="", 0,-'Part III-Sources of Funds'!$M$34)</f>
        <v>0</v>
      </c>
      <c r="I83" s="1283">
        <f>IF('Part III-Sources of Funds'!$M$34="", 0,-'Part III-Sources of Funds'!$M$34)</f>
        <v>0</v>
      </c>
      <c r="J83" s="1283">
        <f>IF('Part III-Sources of Funds'!$M$34="", 0,-'Part III-Sources of Funds'!$M$34)</f>
        <v>0</v>
      </c>
      <c r="K83" s="1283">
        <f>IF('Part III-Sources of Funds'!$M$34="", 0,-'Part III-Sources of Funds'!$M$34)</f>
        <v>0</v>
      </c>
      <c r="M83" s="1643"/>
      <c r="N83" s="1644"/>
    </row>
    <row r="84" spans="1:14" ht="13.15" customHeight="1">
      <c r="A84" s="24" t="str">
        <f>$A55</f>
        <v>D/S Other Source</v>
      </c>
      <c r="B84" s="1283">
        <f>IF('Part III-Sources of Funds'!$M$35="", 0,-'Part III-Sources of Funds'!$M$35)</f>
        <v>0</v>
      </c>
      <c r="C84" s="1283">
        <f>IF('Part III-Sources of Funds'!$M$35="", 0,-'Part III-Sources of Funds'!$M$35)</f>
        <v>0</v>
      </c>
      <c r="D84" s="1283">
        <f>IF('Part III-Sources of Funds'!$M$35="", 0,-'Part III-Sources of Funds'!$M$35)</f>
        <v>0</v>
      </c>
      <c r="E84" s="1283">
        <f>IF('Part III-Sources of Funds'!$M$35="", 0,-'Part III-Sources of Funds'!$M$35)</f>
        <v>0</v>
      </c>
      <c r="F84" s="1283">
        <f>IF('Part III-Sources of Funds'!$M$35="", 0,-'Part III-Sources of Funds'!$M$35)</f>
        <v>0</v>
      </c>
      <c r="G84" s="1283">
        <f>IF('Part III-Sources of Funds'!$M$35="", 0,-'Part III-Sources of Funds'!$M$35)</f>
        <v>0</v>
      </c>
      <c r="H84" s="1283">
        <f>IF('Part III-Sources of Funds'!$M$35="", 0,-'Part III-Sources of Funds'!$M$35)</f>
        <v>0</v>
      </c>
      <c r="I84" s="1283">
        <f>IF('Part III-Sources of Funds'!$M$35="", 0,-'Part III-Sources of Funds'!$M$35)</f>
        <v>0</v>
      </c>
      <c r="J84" s="1283">
        <f>IF('Part III-Sources of Funds'!$M$35="", 0,-'Part III-Sources of Funds'!$M$35)</f>
        <v>0</v>
      </c>
      <c r="K84" s="1283">
        <f>IF('Part III-Sources of Funds'!$M$35="", 0,-'Part III-Sources of Funds'!$M$35)</f>
        <v>0</v>
      </c>
      <c r="M84" s="1643"/>
      <c r="N84" s="1644"/>
    </row>
    <row r="85" spans="1:14" ht="13.15" customHeight="1">
      <c r="A85" s="24" t="s">
        <v>808</v>
      </c>
      <c r="B85" s="1284"/>
      <c r="C85" s="1284"/>
      <c r="D85" s="1284"/>
      <c r="E85" s="1284"/>
      <c r="F85" s="1284"/>
      <c r="G85" s="1284"/>
      <c r="H85" s="1284"/>
      <c r="I85" s="1284"/>
      <c r="J85" s="1284"/>
      <c r="K85" s="1284"/>
      <c r="M85" s="1643"/>
      <c r="N85" s="1644"/>
    </row>
    <row r="86" spans="1:14" ht="13.15" customHeight="1">
      <c r="A86" s="24" t="s">
        <v>1228</v>
      </c>
      <c r="B86" s="1283">
        <f>+K57</f>
        <v>0</v>
      </c>
      <c r="C86" s="1283">
        <f t="shared" ref="C86:K86" si="35">+B86</f>
        <v>0</v>
      </c>
      <c r="D86" s="1283">
        <f t="shared" si="35"/>
        <v>0</v>
      </c>
      <c r="E86" s="1283">
        <f t="shared" si="35"/>
        <v>0</v>
      </c>
      <c r="F86" s="1283">
        <f t="shared" si="35"/>
        <v>0</v>
      </c>
      <c r="G86" s="1283">
        <f t="shared" si="35"/>
        <v>0</v>
      </c>
      <c r="H86" s="1283">
        <f t="shared" si="35"/>
        <v>0</v>
      </c>
      <c r="I86" s="1283">
        <f t="shared" si="35"/>
        <v>0</v>
      </c>
      <c r="J86" s="1283">
        <f t="shared" si="35"/>
        <v>0</v>
      </c>
      <c r="K86" s="1283">
        <f t="shared" si="35"/>
        <v>0</v>
      </c>
      <c r="M86" s="1643"/>
      <c r="N86" s="1644"/>
    </row>
    <row r="87" spans="1:14" ht="13.15" customHeight="1">
      <c r="A87" s="24" t="s">
        <v>1274</v>
      </c>
      <c r="B87" s="1285">
        <f>IF('Part III-Sources of Funds'!$M$37="", 0,-'Part III-Sources of Funds'!$M$37)</f>
        <v>0</v>
      </c>
      <c r="C87" s="1285">
        <f>IF('Part III-Sources of Funds'!$M$37="", 0,-'Part III-Sources of Funds'!$M$37)</f>
        <v>0</v>
      </c>
      <c r="D87" s="1285">
        <f>IF('Part III-Sources of Funds'!$M$37="", 0,-'Part III-Sources of Funds'!$M$37)</f>
        <v>0</v>
      </c>
      <c r="E87" s="1285">
        <f>IF('Part III-Sources of Funds'!$M$37="", 0,-'Part III-Sources of Funds'!$M$37)</f>
        <v>0</v>
      </c>
      <c r="F87" s="1285">
        <f>IF('Part III-Sources of Funds'!$M$37="", 0,-'Part III-Sources of Funds'!$M$37)</f>
        <v>0</v>
      </c>
      <c r="G87" s="1285">
        <f>IF('Part III-Sources of Funds'!$M$37="", 0,-'Part III-Sources of Funds'!$M$37)</f>
        <v>0</v>
      </c>
      <c r="H87" s="1285">
        <f>IF('Part III-Sources of Funds'!$M$37="", 0,-'Part III-Sources of Funds'!$M$37)</f>
        <v>0</v>
      </c>
      <c r="I87" s="1285">
        <f>IF('Part III-Sources of Funds'!$M$37="", 0,-'Part III-Sources of Funds'!$M$37)</f>
        <v>0</v>
      </c>
      <c r="J87" s="1285">
        <f>IF('Part III-Sources of Funds'!$M$37="", 0,-'Part III-Sources of Funds'!$M$37)</f>
        <v>0</v>
      </c>
      <c r="K87" s="1283">
        <f>IF('Part III-Sources of Funds'!$M$37="", 0,-'Part III-Sources of Funds'!$M$37)</f>
        <v>0</v>
      </c>
      <c r="M87" s="1643"/>
      <c r="N87" s="1644"/>
    </row>
    <row r="88" spans="1:14" ht="13.15" customHeight="1">
      <c r="A88" s="24" t="s">
        <v>1229</v>
      </c>
      <c r="B88" s="25">
        <f t="shared" ref="B88:K88" si="36">SUM(B80:B87)</f>
        <v>-2793.3304149117321</v>
      </c>
      <c r="C88" s="25">
        <f t="shared" si="36"/>
        <v>-7866.7387133118027</v>
      </c>
      <c r="D88" s="25">
        <f t="shared" si="36"/>
        <v>-13234.502969418776</v>
      </c>
      <c r="E88" s="25">
        <f t="shared" si="36"/>
        <v>-18909.357936138658</v>
      </c>
      <c r="F88" s="25">
        <f t="shared" si="36"/>
        <v>-24902.387490447923</v>
      </c>
      <c r="G88" s="25">
        <f t="shared" si="36"/>
        <v>-31227.036248746605</v>
      </c>
      <c r="H88" s="25">
        <f t="shared" si="36"/>
        <v>-37896.121553501609</v>
      </c>
      <c r="I88" s="25">
        <f t="shared" si="36"/>
        <v>-44921.845842780494</v>
      </c>
      <c r="J88" s="25">
        <f t="shared" si="36"/>
        <v>-52319.809414626528</v>
      </c>
      <c r="K88" s="23">
        <f t="shared" si="36"/>
        <v>-60104.023598594787</v>
      </c>
      <c r="M88" s="1643"/>
      <c r="N88" s="1644"/>
    </row>
    <row r="89" spans="1:14" ht="13.15" customHeight="1">
      <c r="A89" s="24" t="str">
        <f>$A60</f>
        <v>DCR Mortgage A</v>
      </c>
      <c r="B89" s="27">
        <f>IF(B81=0,"",-B80/B81)</f>
        <v>0.96094913716348285</v>
      </c>
      <c r="C89" s="27">
        <f t="shared" ref="C89:K89" si="37">IF(C81=0,"",-C80/C81)</f>
        <v>0.89002270092205815</v>
      </c>
      <c r="D89" s="27">
        <f t="shared" si="37"/>
        <v>0.81498115747091682</v>
      </c>
      <c r="E89" s="27">
        <f t="shared" si="37"/>
        <v>0.73564647449195775</v>
      </c>
      <c r="F89" s="27">
        <f t="shared" si="37"/>
        <v>0.65186369897382401</v>
      </c>
      <c r="G89" s="27">
        <f t="shared" si="37"/>
        <v>0.56344487468043114</v>
      </c>
      <c r="H89" s="27">
        <f t="shared" si="37"/>
        <v>0.47021081468855236</v>
      </c>
      <c r="I89" s="27">
        <f t="shared" si="37"/>
        <v>0.37199092846127735</v>
      </c>
      <c r="J89" s="27">
        <f t="shared" si="37"/>
        <v>0.26856712325317084</v>
      </c>
      <c r="K89" s="28">
        <f t="shared" si="37"/>
        <v>0.15974352015721494</v>
      </c>
      <c r="M89" s="1643"/>
      <c r="N89" s="1644"/>
    </row>
    <row r="90" spans="1:14" ht="13.15" customHeight="1">
      <c r="A90" s="24" t="str">
        <f>$A61</f>
        <v>DCR Mortgage B</v>
      </c>
      <c r="B90" s="27" t="str">
        <f>IF(OR(B82=0,AND(B82=0,B81=0)),"",-B80/(B81+B82))</f>
        <v/>
      </c>
      <c r="C90" s="27" t="str">
        <f t="shared" ref="C90:K90" si="38">IF(OR(C82=0,AND(C82=0,C81=0)),"",-C80/(C81+C82))</f>
        <v/>
      </c>
      <c r="D90" s="27" t="str">
        <f t="shared" si="38"/>
        <v/>
      </c>
      <c r="E90" s="27" t="str">
        <f t="shared" si="38"/>
        <v/>
      </c>
      <c r="F90" s="27" t="str">
        <f t="shared" si="38"/>
        <v/>
      </c>
      <c r="G90" s="27" t="str">
        <f t="shared" si="38"/>
        <v/>
      </c>
      <c r="H90" s="27" t="str">
        <f t="shared" si="38"/>
        <v/>
      </c>
      <c r="I90" s="27" t="str">
        <f t="shared" si="38"/>
        <v/>
      </c>
      <c r="J90" s="27" t="str">
        <f t="shared" si="38"/>
        <v/>
      </c>
      <c r="K90" s="28" t="str">
        <f t="shared" si="38"/>
        <v/>
      </c>
      <c r="M90" s="1643"/>
      <c r="N90" s="1644"/>
    </row>
    <row r="91" spans="1:14" ht="13.15" customHeight="1">
      <c r="A91" s="24" t="str">
        <f>$A62</f>
        <v>DCR Mortgage C</v>
      </c>
      <c r="B91" s="27" t="str">
        <f>IF(OR(B83=0,AND(B83=0,B82=0,B81=0)),"",-B80/(B81+B82+B83))</f>
        <v/>
      </c>
      <c r="C91" s="27" t="str">
        <f t="shared" ref="C91:K91" si="39">IF(OR(C83=0,AND(C83=0,C82=0,C81=0)),"",-C80/(C81+C82+C83))</f>
        <v/>
      </c>
      <c r="D91" s="27" t="str">
        <f t="shared" si="39"/>
        <v/>
      </c>
      <c r="E91" s="27" t="str">
        <f t="shared" si="39"/>
        <v/>
      </c>
      <c r="F91" s="27" t="str">
        <f t="shared" si="39"/>
        <v/>
      </c>
      <c r="G91" s="27" t="str">
        <f t="shared" si="39"/>
        <v/>
      </c>
      <c r="H91" s="27" t="str">
        <f t="shared" si="39"/>
        <v/>
      </c>
      <c r="I91" s="27" t="str">
        <f t="shared" si="39"/>
        <v/>
      </c>
      <c r="J91" s="27" t="str">
        <f t="shared" si="39"/>
        <v/>
      </c>
      <c r="K91" s="28" t="str">
        <f t="shared" si="39"/>
        <v/>
      </c>
      <c r="M91" s="1643"/>
      <c r="N91" s="1644"/>
    </row>
    <row r="92" spans="1:14" ht="13.15" customHeight="1">
      <c r="A92" s="24" t="str">
        <f>$A63</f>
        <v>DCR Other Source</v>
      </c>
      <c r="B92" s="27" t="str">
        <f>IF(OR(B84=0,AND(B81=0,B82=0,B83=0,B84=0)),"",-B80/(B81+B82+B83+B84))</f>
        <v/>
      </c>
      <c r="C92" s="27" t="str">
        <f t="shared" ref="C92:K92" si="40">IF(OR(C84=0,AND(C81=0,C82=0,C83=0,C84=0)),"",-C80/(C81+C82+C83+C84))</f>
        <v/>
      </c>
      <c r="D92" s="27" t="str">
        <f t="shared" si="40"/>
        <v/>
      </c>
      <c r="E92" s="27" t="str">
        <f t="shared" si="40"/>
        <v/>
      </c>
      <c r="F92" s="27" t="str">
        <f t="shared" si="40"/>
        <v/>
      </c>
      <c r="G92" s="27" t="str">
        <f t="shared" si="40"/>
        <v/>
      </c>
      <c r="H92" s="27" t="str">
        <f t="shared" si="40"/>
        <v/>
      </c>
      <c r="I92" s="27" t="str">
        <f t="shared" si="40"/>
        <v/>
      </c>
      <c r="J92" s="27" t="str">
        <f t="shared" si="40"/>
        <v/>
      </c>
      <c r="K92" s="28" t="str">
        <f t="shared" si="40"/>
        <v/>
      </c>
      <c r="M92" s="1643"/>
      <c r="N92" s="1644"/>
    </row>
    <row r="93" spans="1:14" ht="13.15" customHeight="1">
      <c r="A93" s="24" t="s">
        <v>815</v>
      </c>
      <c r="B93" s="320">
        <f>IF(OR(B78="Choose mgt fee",B78="Choose One!"),"",(B72+B73+B74+B75+B76) / -(B77+B78+B79))</f>
        <v>1.1066055069521232</v>
      </c>
      <c r="C93" s="320">
        <f t="shared" ref="C93:K93" si="41">IF(OR(C78="Choose mgt fee",C78="Choose One!"),"",(C72+C73+C74+C75+C76) / -(C77+C78+C79))</f>
        <v>1.0958612031378319</v>
      </c>
      <c r="D93" s="320">
        <f t="shared" si="41"/>
        <v>1.085222107139592</v>
      </c>
      <c r="E93" s="320">
        <f t="shared" si="41"/>
        <v>1.074685527838106</v>
      </c>
      <c r="F93" s="320">
        <f t="shared" si="41"/>
        <v>1.0642520543877052</v>
      </c>
      <c r="G93" s="320">
        <f t="shared" si="41"/>
        <v>1.0539193127750892</v>
      </c>
      <c r="H93" s="320">
        <f t="shared" si="41"/>
        <v>1.043686584862515</v>
      </c>
      <c r="I93" s="320">
        <f t="shared" si="41"/>
        <v>1.0335545134728077</v>
      </c>
      <c r="J93" s="320">
        <f t="shared" si="41"/>
        <v>1.0235198281991744</v>
      </c>
      <c r="K93" s="321">
        <f t="shared" si="41"/>
        <v>1.0135821039498367</v>
      </c>
      <c r="M93" s="1643"/>
      <c r="N93" s="1644"/>
    </row>
    <row r="94" spans="1:14" ht="13.15" customHeight="1">
      <c r="A94" s="523" t="s">
        <v>2791</v>
      </c>
      <c r="B94" s="1286">
        <f>IF('Part III-Sources of Funds'!$H$32="","",-FV('Part III-Sources of Funds'!$J$32/12,12,B81/12,K65))</f>
        <v>697321.17913591082</v>
      </c>
      <c r="C94" s="1286">
        <f>IF('Part III-Sources of Funds'!$H$32="","",-FV('Part III-Sources of Funds'!$J$32/12,12,C81/12,B94))</f>
        <v>663294.00548558822</v>
      </c>
      <c r="D94" s="1286">
        <f>IF('Part III-Sources of Funds'!$H$32="","",-FV('Part III-Sources of Funds'!$J$32/12,12,D81/12,C94))</f>
        <v>627347.43177468388</v>
      </c>
      <c r="E94" s="1286">
        <f>IF('Part III-Sources of Funds'!$H$32="","",-FV('Part III-Sources of Funds'!$J$32/12,12,E81/12,D94))</f>
        <v>589373.18875255645</v>
      </c>
      <c r="F94" s="1286">
        <f>IF('Part III-Sources of Funds'!$H$32="","",-FV('Part III-Sources of Funds'!$J$32/12,12,F81/12,E94))</f>
        <v>549256.89993179054</v>
      </c>
      <c r="G94" s="1286">
        <f>IF('Part III-Sources of Funds'!$H$32="","",-FV('Part III-Sources of Funds'!$J$32/12,12,G81/12,F94))</f>
        <v>506877.73709203699</v>
      </c>
      <c r="H94" s="1286">
        <f>IF('Part III-Sources of Funds'!$H$32="","",-FV('Part III-Sources of Funds'!$J$32/12,12,H81/12,G94))</f>
        <v>462108.05635156273</v>
      </c>
      <c r="I94" s="1286">
        <f>IF('Part III-Sources of Funds'!$H$32="","",-FV('Part III-Sources of Funds'!$J$32/12,12,I81/12,H94))</f>
        <v>414813.01371037489</v>
      </c>
      <c r="J94" s="1286">
        <f>IF('Part III-Sources of Funds'!$H$32="","",-FV('Part III-Sources of Funds'!$J$32/12,12,J81/12,I94))</f>
        <v>364850.15890695498</v>
      </c>
      <c r="K94" s="1286">
        <f>IF('Part III-Sources of Funds'!$H$32="","",-FV('Part III-Sources of Funds'!$J$32/12,12,K81/12,J94))</f>
        <v>312069.00636532094</v>
      </c>
      <c r="M94" s="1643"/>
      <c r="N94" s="1644"/>
    </row>
    <row r="95" spans="1:14" ht="13.15" customHeight="1">
      <c r="A95" s="523" t="s">
        <v>2792</v>
      </c>
      <c r="B95" s="1283" t="str">
        <f>IF('Part III-Sources of Funds'!$H$33="","",-FV('Part III-Sources of Funds'!$J$33/12,12,B82/12,K66))</f>
        <v/>
      </c>
      <c r="C95" s="1283" t="str">
        <f>IF('Part III-Sources of Funds'!$H$33="","",-FV('Part III-Sources of Funds'!$J$33/12,12,C82/12,B95))</f>
        <v/>
      </c>
      <c r="D95" s="1283" t="str">
        <f>IF('Part III-Sources of Funds'!$H$33="","",-FV('Part III-Sources of Funds'!$J$33/12,12,D82/12,C95))</f>
        <v/>
      </c>
      <c r="E95" s="1283" t="str">
        <f>IF('Part III-Sources of Funds'!$H$33="","",-FV('Part III-Sources of Funds'!$J$33/12,12,E82/12,D95))</f>
        <v/>
      </c>
      <c r="F95" s="1283" t="str">
        <f>IF('Part III-Sources of Funds'!$H$33="","",-FV('Part III-Sources of Funds'!$J$33/12,12,F82/12,E95))</f>
        <v/>
      </c>
      <c r="G95" s="1283" t="str">
        <f>IF('Part III-Sources of Funds'!$H$33="","",-FV('Part III-Sources of Funds'!$J$33/12,12,G82/12,F95))</f>
        <v/>
      </c>
      <c r="H95" s="1283" t="str">
        <f>IF('Part III-Sources of Funds'!$H$33="","",-FV('Part III-Sources of Funds'!$J$33/12,12,H82/12,G95))</f>
        <v/>
      </c>
      <c r="I95" s="1283" t="str">
        <f>IF('Part III-Sources of Funds'!$H$33="","",-FV('Part III-Sources of Funds'!$J$33/12,12,I82/12,H95))</f>
        <v/>
      </c>
      <c r="J95" s="1283" t="str">
        <f>IF('Part III-Sources of Funds'!$H$33="","",-FV('Part III-Sources of Funds'!$J$33/12,12,J82/12,I95))</f>
        <v/>
      </c>
      <c r="K95" s="1283" t="str">
        <f>IF('Part III-Sources of Funds'!$H$33="","",-FV('Part III-Sources of Funds'!$J$33/12,12,K82/12,J95))</f>
        <v/>
      </c>
      <c r="M95" s="1643"/>
      <c r="N95" s="1644"/>
    </row>
    <row r="96" spans="1:14" ht="13.15" customHeight="1">
      <c r="A96" s="523" t="s">
        <v>2793</v>
      </c>
      <c r="B96" s="1283" t="str">
        <f>IF('Part III-Sources of Funds'!$H$34="","",-FV('Part III-Sources of Funds'!$J$34/12,12,B83/12,K67))</f>
        <v/>
      </c>
      <c r="C96" s="1283" t="str">
        <f>IF('Part III-Sources of Funds'!$H$34="","",-FV('Part III-Sources of Funds'!$J$34/12,12,C83/12,B96))</f>
        <v/>
      </c>
      <c r="D96" s="1283" t="str">
        <f>IF('Part III-Sources of Funds'!$H$34="","",-FV('Part III-Sources of Funds'!$J$34/12,12,D83/12,C96))</f>
        <v/>
      </c>
      <c r="E96" s="1283" t="str">
        <f>IF('Part III-Sources of Funds'!$H$34="","",-FV('Part III-Sources of Funds'!$J$34/12,12,E83/12,D96))</f>
        <v/>
      </c>
      <c r="F96" s="1283" t="str">
        <f>IF('Part III-Sources of Funds'!$H$34="","",-FV('Part III-Sources of Funds'!$J$34/12,12,F83/12,E96))</f>
        <v/>
      </c>
      <c r="G96" s="1283" t="str">
        <f>IF('Part III-Sources of Funds'!$H$34="","",-FV('Part III-Sources of Funds'!$J$34/12,12,G83/12,F96))</f>
        <v/>
      </c>
      <c r="H96" s="1283" t="str">
        <f>IF('Part III-Sources of Funds'!$H$34="","",-FV('Part III-Sources of Funds'!$J$34/12,12,H83/12,G96))</f>
        <v/>
      </c>
      <c r="I96" s="1283" t="str">
        <f>IF('Part III-Sources of Funds'!$H$34="","",-FV('Part III-Sources of Funds'!$J$34/12,12,I83/12,H96))</f>
        <v/>
      </c>
      <c r="J96" s="1283" t="str">
        <f>IF('Part III-Sources of Funds'!$H$34="","",-FV('Part III-Sources of Funds'!$J$34/12,12,J83/12,I96))</f>
        <v/>
      </c>
      <c r="K96" s="1283" t="str">
        <f>IF('Part III-Sources of Funds'!$H$34="","",-FV('Part III-Sources of Funds'!$J$34/12,12,K83/12,J96))</f>
        <v/>
      </c>
      <c r="M96" s="1643"/>
      <c r="N96" s="1644"/>
    </row>
    <row r="97" spans="1:14" ht="13.15" customHeight="1">
      <c r="A97" s="24" t="s">
        <v>831</v>
      </c>
      <c r="B97" s="1283" t="str">
        <f>IF('Part III-Sources of Funds'!$H$35="","",-FV('Part III-Sources of Funds'!$J$35/12,12,B84/12,K68))</f>
        <v/>
      </c>
      <c r="C97" s="1283" t="str">
        <f>IF('Part III-Sources of Funds'!$H$35="","",-FV('Part III-Sources of Funds'!$J$35/12,12,C84/12,B97))</f>
        <v/>
      </c>
      <c r="D97" s="1283" t="str">
        <f>IF('Part III-Sources of Funds'!$H$35="","",-FV('Part III-Sources of Funds'!$J$35/12,12,D84/12,C97))</f>
        <v/>
      </c>
      <c r="E97" s="1283" t="str">
        <f>IF('Part III-Sources of Funds'!$H$35="","",-FV('Part III-Sources of Funds'!$J$35/12,12,E84/12,D97))</f>
        <v/>
      </c>
      <c r="F97" s="1283" t="str">
        <f>IF('Part III-Sources of Funds'!$H$35="","",-FV('Part III-Sources of Funds'!$J$35/12,12,F84/12,E97))</f>
        <v/>
      </c>
      <c r="G97" s="1283" t="str">
        <f>IF('Part III-Sources of Funds'!$H$35="","",-FV('Part III-Sources of Funds'!$J$35/12,12,G84/12,F97))</f>
        <v/>
      </c>
      <c r="H97" s="1283" t="str">
        <f>IF('Part III-Sources of Funds'!$H$35="","",-FV('Part III-Sources of Funds'!$J$35/12,12,H84/12,G97))</f>
        <v/>
      </c>
      <c r="I97" s="1283" t="str">
        <f>IF('Part III-Sources of Funds'!$H$35="","",-FV('Part III-Sources of Funds'!$J$35/12,12,I84/12,H97))</f>
        <v/>
      </c>
      <c r="J97" s="1283" t="str">
        <f>IF('Part III-Sources of Funds'!$H$35="","",-FV('Part III-Sources of Funds'!$J$35/12,12,J84/12,I97))</f>
        <v/>
      </c>
      <c r="K97" s="1283" t="str">
        <f>IF('Part III-Sources of Funds'!$H$35="","",-FV('Part III-Sources of Funds'!$J$35/12,12,K84/12,J97))</f>
        <v/>
      </c>
      <c r="M97" s="1643"/>
      <c r="N97" s="1644"/>
    </row>
    <row r="98" spans="1:14" ht="13.15" customHeight="1">
      <c r="A98" s="29" t="s">
        <v>1309</v>
      </c>
      <c r="B98" s="1285">
        <f>IF('Part III-Sources of Funds'!$H$37="","",-FV('Part III-Sources of Funds'!$J$37/12,12,B87/12,K69))</f>
        <v>0</v>
      </c>
      <c r="C98" s="1285">
        <f>IF('Part III-Sources of Funds'!$H$37="","",-FV('Part III-Sources of Funds'!$J$37/12,12,C87/12,B98))</f>
        <v>0</v>
      </c>
      <c r="D98" s="1285">
        <f>IF('Part III-Sources of Funds'!$H$37="","",-FV('Part III-Sources of Funds'!$J$37/12,12,D87/12,C98))</f>
        <v>0</v>
      </c>
      <c r="E98" s="1285">
        <f>IF('Part III-Sources of Funds'!$H$37="","",-FV('Part III-Sources of Funds'!$J$37/12,12,E87/12,D98))</f>
        <v>0</v>
      </c>
      <c r="F98" s="1285">
        <f>IF('Part III-Sources of Funds'!$H$37="","",-FV('Part III-Sources of Funds'!$J$37/12,12,F87/12,E98))</f>
        <v>0</v>
      </c>
      <c r="G98" s="1285">
        <f>IF('Part III-Sources of Funds'!$H$37="","",-FV('Part III-Sources of Funds'!$J$37/12,12,G87/12,F98))</f>
        <v>0</v>
      </c>
      <c r="H98" s="1285">
        <f>IF('Part III-Sources of Funds'!$H$37="","",-FV('Part III-Sources of Funds'!$J$37/12,12,H87/12,G98))</f>
        <v>0</v>
      </c>
      <c r="I98" s="1285">
        <f>IF('Part III-Sources of Funds'!$H$37="","",-FV('Part III-Sources of Funds'!$J$37/12,12,I87/12,H98))</f>
        <v>0</v>
      </c>
      <c r="J98" s="1285">
        <f>IF('Part III-Sources of Funds'!$H$37="","",-FV('Part III-Sources of Funds'!$J$37/12,12,J87/12,I98))</f>
        <v>0</v>
      </c>
      <c r="K98" s="1285">
        <f>IF('Part III-Sources of Funds'!$H$37="","",-FV('Part III-Sources of Funds'!$J$37/12,12,K87/12,J98))</f>
        <v>0</v>
      </c>
      <c r="M98" s="1645"/>
      <c r="N98" s="1646"/>
    </row>
    <row r="99" spans="1:14" ht="4.1500000000000004" customHeight="1">
      <c r="B99" s="20"/>
      <c r="C99" s="20"/>
      <c r="D99" s="20"/>
      <c r="E99" s="20"/>
      <c r="F99" s="20"/>
      <c r="G99" s="20"/>
      <c r="H99" s="20"/>
      <c r="I99" s="20"/>
      <c r="J99" s="20"/>
      <c r="K99" s="20"/>
    </row>
    <row r="100" spans="1:14" ht="4.1500000000000004" customHeight="1"/>
    <row r="101" spans="1:14" ht="12" customHeight="1">
      <c r="A101" s="16" t="s">
        <v>602</v>
      </c>
      <c r="B101" s="16"/>
      <c r="G101" s="16" t="s">
        <v>1087</v>
      </c>
    </row>
    <row r="102" spans="1:14" ht="12" customHeight="1">
      <c r="B102" s="35"/>
    </row>
    <row r="103" spans="1:14" ht="210" customHeight="1">
      <c r="A103" s="1439"/>
      <c r="B103" s="1810"/>
      <c r="C103" s="1810"/>
      <c r="D103" s="1810"/>
      <c r="E103" s="1810"/>
      <c r="F103" s="1811"/>
      <c r="G103" s="1812"/>
      <c r="H103" s="1813"/>
      <c r="I103" s="1813"/>
      <c r="J103" s="1813"/>
      <c r="K103" s="1814"/>
      <c r="M103" s="1544" t="s">
        <v>2914</v>
      </c>
      <c r="N103" s="1544"/>
    </row>
    <row r="104" spans="1:14" ht="11.25" customHeight="1"/>
    <row r="105" spans="1:14" ht="12" customHeight="1">
      <c r="B105" s="16"/>
    </row>
    <row r="106" spans="1:14" ht="12" customHeight="1">
      <c r="B106" s="35"/>
    </row>
    <row r="107" spans="1:14" ht="12" customHeight="1"/>
    <row r="108" spans="1:14" s="1" customFormat="1" ht="12" customHeight="1">
      <c r="L108" s="9"/>
      <c r="M108" s="9"/>
      <c r="N108" s="9"/>
    </row>
    <row r="109" spans="1:14" s="1" customFormat="1" ht="12" customHeight="1">
      <c r="L109" s="9"/>
      <c r="M109" s="9"/>
      <c r="N109" s="9"/>
    </row>
    <row r="110" spans="1:14" s="1" customFormat="1" ht="12" customHeight="1">
      <c r="L110" s="9"/>
      <c r="M110" s="9"/>
      <c r="N110" s="9"/>
    </row>
    <row r="111" spans="1:14" s="1" customFormat="1" ht="12" customHeight="1">
      <c r="L111" s="9"/>
      <c r="M111" s="9"/>
      <c r="N111" s="9"/>
    </row>
    <row r="112" spans="1:14" ht="12" customHeight="1"/>
    <row r="113" spans="12:14" s="1" customFormat="1" ht="12" customHeight="1">
      <c r="L113" s="9"/>
      <c r="M113" s="9"/>
      <c r="N113" s="9"/>
    </row>
    <row r="114" spans="12:14" s="1" customFormat="1" ht="12" customHeight="1">
      <c r="L114" s="9"/>
      <c r="M114" s="9"/>
      <c r="N114" s="9"/>
    </row>
    <row r="115" spans="12:14" ht="12" customHeight="1"/>
    <row r="116" spans="12:14" s="1" customFormat="1" ht="12" customHeight="1">
      <c r="L116" s="9"/>
      <c r="M116" s="9"/>
      <c r="N116" s="9"/>
    </row>
    <row r="117" spans="12:14" s="1" customFormat="1" ht="12" customHeight="1">
      <c r="L117" s="9"/>
      <c r="M117" s="9"/>
      <c r="N117" s="9"/>
    </row>
    <row r="118" spans="12:14" s="1" customFormat="1" ht="12" customHeight="1">
      <c r="L118" s="9"/>
      <c r="M118" s="9"/>
      <c r="N118" s="9"/>
    </row>
    <row r="119" spans="12:14" s="1" customFormat="1" ht="12" customHeight="1">
      <c r="L119" s="9"/>
      <c r="M119" s="9"/>
      <c r="N119" s="9"/>
    </row>
    <row r="120" spans="12:14" s="1" customFormat="1" ht="12" customHeight="1">
      <c r="L120" s="9"/>
      <c r="M120" s="9"/>
      <c r="N120" s="9"/>
    </row>
    <row r="121" spans="12:14" s="1" customFormat="1" ht="12" customHeight="1">
      <c r="L121" s="9"/>
      <c r="M121" s="9"/>
      <c r="N121" s="9"/>
    </row>
    <row r="122" spans="12:14" s="1" customFormat="1" ht="12" customHeight="1">
      <c r="L122" s="9"/>
      <c r="M122" s="9"/>
      <c r="N122" s="9"/>
    </row>
    <row r="123" spans="12:14" ht="12" customHeight="1"/>
    <row r="124" spans="12:14" s="1" customFormat="1" ht="12" customHeight="1">
      <c r="L124" s="9"/>
      <c r="M124" s="9"/>
      <c r="N124" s="9"/>
    </row>
    <row r="125" spans="12:14" s="1" customFormat="1" ht="12" customHeight="1">
      <c r="L125" s="9"/>
      <c r="M125" s="9"/>
      <c r="N125" s="9"/>
    </row>
    <row r="126" spans="12:14" s="1" customFormat="1" ht="12" customHeight="1">
      <c r="L126" s="9"/>
      <c r="M126" s="9"/>
      <c r="N126" s="9"/>
    </row>
    <row r="127" spans="12:14" s="1" customFormat="1" ht="12" customHeight="1">
      <c r="L127" s="9"/>
      <c r="M127" s="9"/>
      <c r="N127" s="9"/>
    </row>
    <row r="128" spans="12:14" s="1" customFormat="1" ht="12" customHeight="1">
      <c r="L128" s="9"/>
      <c r="M128" s="9"/>
      <c r="N128" s="9"/>
    </row>
    <row r="129" spans="12:14" s="1" customFormat="1" ht="12" customHeight="1">
      <c r="L129" s="9"/>
      <c r="M129" s="9"/>
      <c r="N129" s="9"/>
    </row>
    <row r="130" spans="12:14" s="1" customFormat="1" ht="12" customHeight="1">
      <c r="L130" s="9"/>
      <c r="M130" s="9"/>
      <c r="N130" s="9"/>
    </row>
    <row r="131" spans="12:14" s="1" customFormat="1" ht="12" customHeight="1">
      <c r="L131" s="9"/>
      <c r="M131" s="9"/>
      <c r="N131" s="9"/>
    </row>
    <row r="132" spans="12:14" s="1" customFormat="1" ht="12" customHeight="1">
      <c r="L132" s="9"/>
      <c r="M132" s="9"/>
      <c r="N132" s="9"/>
    </row>
    <row r="133" spans="12:14" s="1" customFormat="1" ht="12" customHeight="1">
      <c r="L133" s="9"/>
      <c r="M133" s="9"/>
      <c r="N133" s="9"/>
    </row>
    <row r="134" spans="12:14" s="1" customFormat="1" ht="12" customHeight="1">
      <c r="L134" s="9"/>
      <c r="M134" s="9"/>
      <c r="N134" s="9"/>
    </row>
    <row r="135" spans="12:14" ht="12" customHeight="1"/>
    <row r="136" spans="12:14" ht="12" customHeight="1"/>
    <row r="137" spans="12:14" ht="12" customHeight="1"/>
    <row r="138" spans="12:14" ht="12" customHeight="1"/>
  </sheetData>
  <sheetProtection password="ACD2" sheet="1" objects="1" scenarios="1" formatColumns="0" formatRows="0"/>
  <mergeCells count="13">
    <mergeCell ref="A103:F103"/>
    <mergeCell ref="G103:K103"/>
    <mergeCell ref="M13:N13"/>
    <mergeCell ref="M5:N9"/>
    <mergeCell ref="M1:N1"/>
    <mergeCell ref="M2:N2"/>
    <mergeCell ref="A1:K1"/>
    <mergeCell ref="M72:N98"/>
    <mergeCell ref="M71:N71"/>
    <mergeCell ref="M43:N69"/>
    <mergeCell ref="M42:N42"/>
    <mergeCell ref="M14:N40"/>
    <mergeCell ref="M103:N103"/>
  </mergeCells>
  <phoneticPr fontId="6" type="noConversion"/>
  <dataValidations count="2">
    <dataValidation type="list" allowBlank="1" showInputMessage="1" showErrorMessage="1" error="Please choose a response from the list provided by using the drop-down arrow to the right of the box." sqref="G8:G9">
      <formula1>"Yes, No"</formula1>
    </dataValidation>
    <dataValidation type="decimal" operator="greaterThanOrEqual" allowBlank="1" showInputMessage="1" showErrorMessage="1" error="You must enter a percentage no less than 7%." prompt="Enter a percentage no less than 7%." sqref="B8">
      <formula1>0.07</formula1>
    </dataValidation>
  </dataValidations>
  <pageMargins left="0.6" right="0.6" top="0.75" bottom="0.75" header="0.5" footer="0.5"/>
  <pageSetup scale="89" fitToHeight="0" orientation="landscape" r:id="rId1"/>
  <headerFooter alignWithMargins="0">
    <oddHeader>&amp;L&amp;11Georgia Department of Community Affairs&amp;C&amp;11 2014 Funding Application&amp;R&amp;11Housing Finance and Development Division</oddHeader>
    <oddFooter>&amp;L&amp;"Arial Narrow,Regular"&amp;G &amp;F&amp;C&amp;"Arial Narrow,Regular"&amp;A&amp;R&amp;"Arial Narrow,Regular"&amp;P of &amp;N</oddFooter>
  </headerFooter>
  <rowBreaks count="3" manualBreakCount="3">
    <brk id="41" max="16383" man="1"/>
    <brk id="70" max="16383" man="1"/>
    <brk id="100" max="16383" man="1"/>
  </rowBreaks>
  <legacyDrawingHF r:id="rId2"/>
</worksheet>
</file>

<file path=xl/worksheets/sheet11.xml><?xml version="1.0" encoding="utf-8"?>
<worksheet xmlns="http://schemas.openxmlformats.org/spreadsheetml/2006/main" xmlns:r="http://schemas.openxmlformats.org/officeDocument/2006/relationships">
  <sheetPr codeName="Sheet12">
    <pageSetUpPr fitToPage="1"/>
  </sheetPr>
  <dimension ref="A1:BFO691"/>
  <sheetViews>
    <sheetView showGridLines="0" showZeros="0" topLeftCell="N230" zoomScaleNormal="100" zoomScaleSheetLayoutView="40" workbookViewId="0">
      <selection activeCell="N230" sqref="A1:XFD1048576"/>
    </sheetView>
  </sheetViews>
  <sheetFormatPr defaultColWidth="9.140625" defaultRowHeight="12.75"/>
  <cols>
    <col min="1" max="1" width="3" style="43" customWidth="1"/>
    <col min="2" max="2" width="2.5703125" style="43" customWidth="1"/>
    <col min="3" max="3" width="2.28515625" style="43" customWidth="1"/>
    <col min="4" max="10" width="8.85546875" style="43" customWidth="1"/>
    <col min="11" max="11" width="7.5703125" style="43" customWidth="1"/>
    <col min="12" max="15" width="9.28515625" style="43" customWidth="1"/>
    <col min="16" max="16" width="8.85546875" style="43" customWidth="1"/>
    <col min="17" max="17" width="9" style="43" customWidth="1"/>
    <col min="18" max="30" width="9.140625" style="43"/>
    <col min="31" max="32" width="9.140625" style="153"/>
    <col min="33" max="16384" width="9.140625" style="43"/>
  </cols>
  <sheetData>
    <row r="1" spans="1:32" ht="13.9" customHeight="1">
      <c r="A1" s="1622" t="str">
        <f>CONCATENATE("PART EIGHT - THRESHOLD CRITERIA","  -  ",'Part I-Project Information'!$O$4," ",'Part I-Project Information'!$F$23,", ",'Part I-Project Information'!F27,", ",'Part I-Project Information'!J28," County")</f>
        <v>PART EIGHT - THRESHOLD CRITERIA  -  2014-028 Highland Estates, Rome, Floyd County</v>
      </c>
      <c r="B1" s="1623"/>
      <c r="C1" s="1623"/>
      <c r="D1" s="1623"/>
      <c r="E1" s="1623"/>
      <c r="F1" s="1623"/>
      <c r="G1" s="1623"/>
      <c r="H1" s="1623"/>
      <c r="I1" s="1623"/>
      <c r="J1" s="1623"/>
      <c r="K1" s="1623"/>
      <c r="L1" s="1623"/>
      <c r="M1" s="1623"/>
      <c r="N1" s="1623"/>
      <c r="O1" s="1623"/>
      <c r="P1" s="1623"/>
      <c r="Q1" s="1623"/>
    </row>
    <row r="2" spans="1:32" s="31" customFormat="1" ht="3" customHeight="1">
      <c r="S2" s="43"/>
      <c r="T2" s="43"/>
      <c r="AE2" s="137"/>
      <c r="AF2" s="137"/>
    </row>
    <row r="3" spans="1:32" ht="13.5" customHeight="1">
      <c r="A3" s="1851" t="str">
        <f>IF(OR(P29="Fail",P41="Fail",P58="Fail",P64="Fail",P76="Fail",P91="Fail",P110="Fail",P148="Fail",P158="Fail",P167="Fail",P183="Fail",P191="Fail",P202="Fail",P217="Fail",P249="Fail",P261="Fail",P270="Fail",P279="Fail",P289="Fail",P307="Fail",P317="Fail",P328="Fail",P341="Fail",P350="Fail",P360="Fail",P371="Fail",P389="Fail",P402="Fail"),"Preliminary Rating: FAIL",IF(OR(P29="",P41="",P58="",P64="",P76="",P91="",P110="",P148="",P158="",P167="",P183="",P191="",P202="",P217="",P249="",P261="",P270="",P279="",P289="",P307="",P317="",P328="",P341="",P350="",P360="",P371="",P389="",P402=""),"Preliminary Rating: Incomplete",IF(OR(P29="TBD",P41="TBD",P58="TBD",P64="TBD",P76="TBD",P91="TBD",P110="TBD",P148="TBD",P158="TBD",P167="TBD",P183="TBD",P191="TBD",P202="TBD",P217="TBD",P249="TBD",P261="TBD",P270="TBD",P279="TBD",P289="TBD",P307="TBD",P317="TBD",P328="TBD",P341="TBD",P350="TBD",P360="TBD",P371="TBD",P389="TBD",P402="TBD"),"Preliminary Rating: TBD","")))</f>
        <v>Preliminary Rating: Incomplete</v>
      </c>
      <c r="B3" s="1851"/>
      <c r="C3" s="1851"/>
      <c r="D3" s="1851"/>
      <c r="E3" s="1851"/>
      <c r="F3" s="1851"/>
      <c r="G3" s="1851"/>
      <c r="H3" s="1851" t="str">
        <f>IF(AND(NOT(A3="Preliminary Rating: Fail"),NOT(A3="Preliminary Rating: Incomplete"),NOT(A3="Preliminary Rating: TBD"),OR(P29="Conditional Pass",P41="Conditional Pass",P58="Conditional Pass",P64="Conditional Pass",P76="Conditional Pass",P91="Conditional Pass",P110="Conditional Pass",P148="Conditional Pass",P158="Conditional Pass",P167="Conditional Pass",P183="Conditional Pass",P191="Conditional Pass",P202="Conditional Pass",P217="Conditional Pass",P249="Conditional Pass",P261="Conditional Pass",P270="Conditional Pass",P279="Conditional Pass",P289="Conditional Pass",P307="Conditional Pass",P317="Conditional Pass",P328="Conditional Pass",P341="Conditional Pass",P350="Conditional Pass",P360="Conditional Pass",P371="Conditional Pass",P389="Conditional Pass",P402="Conditional Pass")),"Preliminary Rating: Conditional Pass","")</f>
        <v/>
      </c>
      <c r="I3" s="1851"/>
      <c r="J3" s="1851"/>
      <c r="K3" s="1851"/>
      <c r="L3" s="1851"/>
      <c r="M3" s="1851"/>
      <c r="N3" s="1852"/>
      <c r="O3" s="1853" t="s">
        <v>985</v>
      </c>
      <c r="P3" s="1854"/>
      <c r="Q3" s="775" t="s">
        <v>1962</v>
      </c>
    </row>
    <row r="4" spans="1:32" ht="3" customHeight="1">
      <c r="A4" s="1169"/>
      <c r="B4" s="1842"/>
      <c r="C4" s="1842"/>
      <c r="D4" s="1842"/>
      <c r="E4" s="1169"/>
      <c r="F4" s="1169"/>
      <c r="G4" s="1169"/>
      <c r="H4" s="1169"/>
      <c r="I4" s="1169"/>
      <c r="J4" s="1169"/>
      <c r="K4" s="1169"/>
      <c r="L4" s="1169"/>
      <c r="M4" s="1169"/>
      <c r="N4" s="1169"/>
      <c r="P4" s="1169"/>
      <c r="Q4" s="1169"/>
    </row>
    <row r="5" spans="1:32" ht="10.9" hidden="1" customHeight="1">
      <c r="A5" s="1169"/>
      <c r="B5" s="1169"/>
      <c r="C5" s="1169"/>
      <c r="D5" s="1169"/>
      <c r="E5" s="1169"/>
      <c r="F5" s="1169"/>
      <c r="G5" s="1169"/>
      <c r="H5" s="1169"/>
      <c r="I5" s="1169"/>
      <c r="J5" s="1169"/>
      <c r="K5" s="1169"/>
      <c r="L5" s="1169"/>
      <c r="M5" s="1169"/>
      <c r="N5" s="1169"/>
      <c r="P5" s="1169"/>
      <c r="Q5" s="1169"/>
    </row>
    <row r="6" spans="1:32" ht="15" customHeight="1">
      <c r="A6" s="151" t="s">
        <v>595</v>
      </c>
      <c r="J6" s="1169"/>
      <c r="K6" s="1169"/>
      <c r="L6" s="1169"/>
      <c r="M6" s="1169"/>
      <c r="N6" s="1169"/>
      <c r="P6" s="1846"/>
      <c r="Q6" s="1847"/>
    </row>
    <row r="7" spans="1:32" ht="12.6" customHeight="1">
      <c r="A7" s="152" t="s">
        <v>290</v>
      </c>
      <c r="C7" s="153"/>
      <c r="D7" s="153"/>
      <c r="J7" s="1169"/>
      <c r="K7" s="1169"/>
      <c r="L7" s="1169"/>
      <c r="M7" s="1169"/>
      <c r="N7" s="1169"/>
    </row>
    <row r="8" spans="1:32" ht="24.6" customHeight="1">
      <c r="A8" s="1848" t="s">
        <v>1494</v>
      </c>
      <c r="B8" s="1849"/>
      <c r="C8" s="1849"/>
      <c r="D8" s="1849"/>
      <c r="E8" s="1849"/>
      <c r="F8" s="1849"/>
      <c r="G8" s="1849"/>
      <c r="H8" s="1849"/>
      <c r="I8" s="1849"/>
      <c r="J8" s="1849"/>
      <c r="K8" s="1849"/>
      <c r="L8" s="1849"/>
      <c r="M8" s="1849"/>
      <c r="N8" s="1849"/>
      <c r="O8" s="1849"/>
      <c r="P8" s="1849"/>
      <c r="Q8" s="1850"/>
      <c r="R8" s="1896" t="s">
        <v>2159</v>
      </c>
      <c r="S8" s="1352"/>
    </row>
    <row r="9" spans="1:32" ht="24.6" customHeight="1">
      <c r="A9" s="1843" t="s">
        <v>237</v>
      </c>
      <c r="B9" s="1844"/>
      <c r="C9" s="1844"/>
      <c r="D9" s="1844"/>
      <c r="E9" s="1844"/>
      <c r="F9" s="1844"/>
      <c r="G9" s="1844"/>
      <c r="H9" s="1844"/>
      <c r="I9" s="1844"/>
      <c r="J9" s="1844"/>
      <c r="K9" s="1844"/>
      <c r="L9" s="1844"/>
      <c r="M9" s="1844"/>
      <c r="N9" s="1844"/>
      <c r="O9" s="1844"/>
      <c r="P9" s="1844"/>
      <c r="Q9" s="1845"/>
      <c r="R9" s="1896"/>
      <c r="S9" s="1352"/>
    </row>
    <row r="10" spans="1:32" ht="24.6" customHeight="1">
      <c r="A10" s="1843" t="s">
        <v>1490</v>
      </c>
      <c r="B10" s="1844"/>
      <c r="C10" s="1844"/>
      <c r="D10" s="1844"/>
      <c r="E10" s="1844"/>
      <c r="F10" s="1844"/>
      <c r="G10" s="1844"/>
      <c r="H10" s="1844"/>
      <c r="I10" s="1844"/>
      <c r="J10" s="1844"/>
      <c r="K10" s="1844"/>
      <c r="L10" s="1844"/>
      <c r="M10" s="1844"/>
      <c r="N10" s="1844"/>
      <c r="O10" s="1844"/>
      <c r="P10" s="1844"/>
      <c r="Q10" s="1845"/>
      <c r="R10" s="1896"/>
      <c r="S10" s="1352"/>
    </row>
    <row r="11" spans="1:32" ht="24.6" customHeight="1">
      <c r="A11" s="1843" t="s">
        <v>1491</v>
      </c>
      <c r="B11" s="1844"/>
      <c r="C11" s="1844"/>
      <c r="D11" s="1844"/>
      <c r="E11" s="1844"/>
      <c r="F11" s="1844"/>
      <c r="G11" s="1844"/>
      <c r="H11" s="1844"/>
      <c r="I11" s="1844"/>
      <c r="J11" s="1844"/>
      <c r="K11" s="1844"/>
      <c r="L11" s="1844"/>
      <c r="M11" s="1844"/>
      <c r="N11" s="1844"/>
      <c r="O11" s="1844"/>
      <c r="P11" s="1844"/>
      <c r="Q11" s="1845"/>
      <c r="R11" s="1896"/>
      <c r="S11" s="1352"/>
    </row>
    <row r="12" spans="1:32" ht="24.6" customHeight="1">
      <c r="A12" s="1843" t="s">
        <v>1492</v>
      </c>
      <c r="B12" s="1844"/>
      <c r="C12" s="1844"/>
      <c r="D12" s="1844"/>
      <c r="E12" s="1844"/>
      <c r="F12" s="1844"/>
      <c r="G12" s="1844"/>
      <c r="H12" s="1844"/>
      <c r="I12" s="1844"/>
      <c r="J12" s="1844"/>
      <c r="K12" s="1844"/>
      <c r="L12" s="1844"/>
      <c r="M12" s="1844"/>
      <c r="N12" s="1844"/>
      <c r="O12" s="1844"/>
      <c r="P12" s="1844"/>
      <c r="Q12" s="1845"/>
      <c r="R12" s="1144"/>
      <c r="S12" s="1144"/>
    </row>
    <row r="13" spans="1:32" ht="24.6" customHeight="1">
      <c r="A13" s="1843" t="s">
        <v>1493</v>
      </c>
      <c r="B13" s="1844"/>
      <c r="C13" s="1844"/>
      <c r="D13" s="1844"/>
      <c r="E13" s="1844"/>
      <c r="F13" s="1844"/>
      <c r="G13" s="1844"/>
      <c r="H13" s="1844"/>
      <c r="I13" s="1844"/>
      <c r="J13" s="1844"/>
      <c r="K13" s="1844"/>
      <c r="L13" s="1844"/>
      <c r="M13" s="1844"/>
      <c r="N13" s="1844"/>
      <c r="O13" s="1844"/>
      <c r="P13" s="1844"/>
      <c r="Q13" s="1845"/>
      <c r="R13" s="1144"/>
      <c r="S13" s="1144"/>
    </row>
    <row r="14" spans="1:32" ht="24.6" customHeight="1">
      <c r="A14" s="1843" t="s">
        <v>1495</v>
      </c>
      <c r="B14" s="1844"/>
      <c r="C14" s="1844"/>
      <c r="D14" s="1844"/>
      <c r="E14" s="1844"/>
      <c r="F14" s="1844"/>
      <c r="G14" s="1844"/>
      <c r="H14" s="1844"/>
      <c r="I14" s="1844"/>
      <c r="J14" s="1844"/>
      <c r="K14" s="1844"/>
      <c r="L14" s="1844"/>
      <c r="M14" s="1844"/>
      <c r="N14" s="1844"/>
      <c r="O14" s="1844"/>
      <c r="P14" s="1844"/>
      <c r="Q14" s="1845"/>
    </row>
    <row r="15" spans="1:32" ht="24.6" customHeight="1">
      <c r="A15" s="1843" t="s">
        <v>2146</v>
      </c>
      <c r="B15" s="1844"/>
      <c r="C15" s="1844"/>
      <c r="D15" s="1844"/>
      <c r="E15" s="1844"/>
      <c r="F15" s="1844"/>
      <c r="G15" s="1844"/>
      <c r="H15" s="1844"/>
      <c r="I15" s="1844"/>
      <c r="J15" s="1844"/>
      <c r="K15" s="1844"/>
      <c r="L15" s="1844"/>
      <c r="M15" s="1844"/>
      <c r="N15" s="1844"/>
      <c r="O15" s="1844"/>
      <c r="P15" s="1844"/>
      <c r="Q15" s="1845"/>
      <c r="R15" s="1352" t="s">
        <v>2159</v>
      </c>
      <c r="S15" s="1352"/>
    </row>
    <row r="16" spans="1:32" ht="24.6" customHeight="1">
      <c r="A16" s="1843" t="s">
        <v>2147</v>
      </c>
      <c r="B16" s="1844"/>
      <c r="C16" s="1844"/>
      <c r="D16" s="1844"/>
      <c r="E16" s="1844"/>
      <c r="F16" s="1844"/>
      <c r="G16" s="1844"/>
      <c r="H16" s="1844"/>
      <c r="I16" s="1844"/>
      <c r="J16" s="1844"/>
      <c r="K16" s="1844"/>
      <c r="L16" s="1844"/>
      <c r="M16" s="1844"/>
      <c r="N16" s="1844"/>
      <c r="O16" s="1844"/>
      <c r="P16" s="1844"/>
      <c r="Q16" s="1845"/>
      <c r="R16" s="1352"/>
      <c r="S16" s="1352"/>
    </row>
    <row r="17" spans="1:19" ht="24.6" customHeight="1">
      <c r="A17" s="1843" t="s">
        <v>2148</v>
      </c>
      <c r="B17" s="1844"/>
      <c r="C17" s="1844"/>
      <c r="D17" s="1844"/>
      <c r="E17" s="1844"/>
      <c r="F17" s="1844"/>
      <c r="G17" s="1844"/>
      <c r="H17" s="1844"/>
      <c r="I17" s="1844"/>
      <c r="J17" s="1844"/>
      <c r="K17" s="1844"/>
      <c r="L17" s="1844"/>
      <c r="M17" s="1844"/>
      <c r="N17" s="1844"/>
      <c r="O17" s="1844"/>
      <c r="P17" s="1844"/>
      <c r="Q17" s="1845"/>
      <c r="R17" s="1352"/>
      <c r="S17" s="1352"/>
    </row>
    <row r="18" spans="1:19" ht="24.6" customHeight="1">
      <c r="A18" s="1843" t="s">
        <v>2149</v>
      </c>
      <c r="B18" s="1844"/>
      <c r="C18" s="1844"/>
      <c r="D18" s="1844"/>
      <c r="E18" s="1844"/>
      <c r="F18" s="1844"/>
      <c r="G18" s="1844"/>
      <c r="H18" s="1844"/>
      <c r="I18" s="1844"/>
      <c r="J18" s="1844"/>
      <c r="K18" s="1844"/>
      <c r="L18" s="1844"/>
      <c r="M18" s="1844"/>
      <c r="N18" s="1844"/>
      <c r="O18" s="1844"/>
      <c r="P18" s="1844"/>
      <c r="Q18" s="1845"/>
      <c r="R18" s="1352"/>
      <c r="S18" s="1352"/>
    </row>
    <row r="19" spans="1:19" ht="24.6" customHeight="1">
      <c r="A19" s="1843" t="s">
        <v>2150</v>
      </c>
      <c r="B19" s="1844"/>
      <c r="C19" s="1844"/>
      <c r="D19" s="1844"/>
      <c r="E19" s="1844"/>
      <c r="F19" s="1844"/>
      <c r="G19" s="1844"/>
      <c r="H19" s="1844"/>
      <c r="I19" s="1844"/>
      <c r="J19" s="1844"/>
      <c r="K19" s="1844"/>
      <c r="L19" s="1844"/>
      <c r="M19" s="1844"/>
      <c r="N19" s="1844"/>
      <c r="O19" s="1844"/>
      <c r="P19" s="1844"/>
      <c r="Q19" s="1845"/>
      <c r="R19" s="1144"/>
      <c r="S19" s="1144"/>
    </row>
    <row r="20" spans="1:19" ht="24.6" customHeight="1">
      <c r="A20" s="1843" t="s">
        <v>2151</v>
      </c>
      <c r="B20" s="1844"/>
      <c r="C20" s="1844"/>
      <c r="D20" s="1844"/>
      <c r="E20" s="1844"/>
      <c r="F20" s="1844"/>
      <c r="G20" s="1844"/>
      <c r="H20" s="1844"/>
      <c r="I20" s="1844"/>
      <c r="J20" s="1844"/>
      <c r="K20" s="1844"/>
      <c r="L20" s="1844"/>
      <c r="M20" s="1844"/>
      <c r="N20" s="1844"/>
      <c r="O20" s="1844"/>
      <c r="P20" s="1844"/>
      <c r="Q20" s="1845"/>
      <c r="R20" s="1144"/>
      <c r="S20" s="1144"/>
    </row>
    <row r="21" spans="1:19" ht="24.6" customHeight="1">
      <c r="A21" s="1843" t="s">
        <v>2152</v>
      </c>
      <c r="B21" s="1844"/>
      <c r="C21" s="1844"/>
      <c r="D21" s="1844"/>
      <c r="E21" s="1844"/>
      <c r="F21" s="1844"/>
      <c r="G21" s="1844"/>
      <c r="H21" s="1844"/>
      <c r="I21" s="1844"/>
      <c r="J21" s="1844"/>
      <c r="K21" s="1844"/>
      <c r="L21" s="1844"/>
      <c r="M21" s="1844"/>
      <c r="N21" s="1844"/>
      <c r="O21" s="1844"/>
      <c r="P21" s="1844"/>
      <c r="Q21" s="1845"/>
    </row>
    <row r="22" spans="1:19" ht="24.6" customHeight="1">
      <c r="A22" s="1843" t="s">
        <v>2153</v>
      </c>
      <c r="B22" s="1844"/>
      <c r="C22" s="1844"/>
      <c r="D22" s="1844"/>
      <c r="E22" s="1844"/>
      <c r="F22" s="1844"/>
      <c r="G22" s="1844"/>
      <c r="H22" s="1844"/>
      <c r="I22" s="1844"/>
      <c r="J22" s="1844"/>
      <c r="K22" s="1844"/>
      <c r="L22" s="1844"/>
      <c r="M22" s="1844"/>
      <c r="N22" s="1844"/>
      <c r="O22" s="1844"/>
      <c r="P22" s="1844"/>
      <c r="Q22" s="1845"/>
      <c r="R22" s="1352" t="s">
        <v>2159</v>
      </c>
      <c r="S22" s="1352"/>
    </row>
    <row r="23" spans="1:19" ht="24.6" customHeight="1">
      <c r="A23" s="1843" t="s">
        <v>2154</v>
      </c>
      <c r="B23" s="1844"/>
      <c r="C23" s="1844"/>
      <c r="D23" s="1844"/>
      <c r="E23" s="1844"/>
      <c r="F23" s="1844"/>
      <c r="G23" s="1844"/>
      <c r="H23" s="1844"/>
      <c r="I23" s="1844"/>
      <c r="J23" s="1844"/>
      <c r="K23" s="1844"/>
      <c r="L23" s="1844"/>
      <c r="M23" s="1844"/>
      <c r="N23" s="1844"/>
      <c r="O23" s="1844"/>
      <c r="P23" s="1844"/>
      <c r="Q23" s="1845"/>
      <c r="R23" s="1352"/>
      <c r="S23" s="1352"/>
    </row>
    <row r="24" spans="1:19" ht="24.6" customHeight="1">
      <c r="A24" s="1843" t="s">
        <v>2155</v>
      </c>
      <c r="B24" s="1844"/>
      <c r="C24" s="1844"/>
      <c r="D24" s="1844"/>
      <c r="E24" s="1844"/>
      <c r="F24" s="1844"/>
      <c r="G24" s="1844"/>
      <c r="H24" s="1844"/>
      <c r="I24" s="1844"/>
      <c r="J24" s="1844"/>
      <c r="K24" s="1844"/>
      <c r="L24" s="1844"/>
      <c r="M24" s="1844"/>
      <c r="N24" s="1844"/>
      <c r="O24" s="1844"/>
      <c r="P24" s="1844"/>
      <c r="Q24" s="1845"/>
      <c r="R24" s="1352"/>
      <c r="S24" s="1352"/>
    </row>
    <row r="25" spans="1:19" ht="24.6" customHeight="1">
      <c r="A25" s="1843" t="s">
        <v>2156</v>
      </c>
      <c r="B25" s="1844"/>
      <c r="C25" s="1844"/>
      <c r="D25" s="1844"/>
      <c r="E25" s="1844"/>
      <c r="F25" s="1844"/>
      <c r="G25" s="1844"/>
      <c r="H25" s="1844"/>
      <c r="I25" s="1844"/>
      <c r="J25" s="1844"/>
      <c r="K25" s="1844"/>
      <c r="L25" s="1844"/>
      <c r="M25" s="1844"/>
      <c r="N25" s="1844"/>
      <c r="O25" s="1844"/>
      <c r="P25" s="1844"/>
      <c r="Q25" s="1845"/>
      <c r="R25" s="1352"/>
      <c r="S25" s="1352"/>
    </row>
    <row r="26" spans="1:19" ht="24.6" customHeight="1">
      <c r="A26" s="1843" t="s">
        <v>2157</v>
      </c>
      <c r="B26" s="1844"/>
      <c r="C26" s="1844"/>
      <c r="D26" s="1844"/>
      <c r="E26" s="1844"/>
      <c r="F26" s="1844"/>
      <c r="G26" s="1844"/>
      <c r="H26" s="1844"/>
      <c r="I26" s="1844"/>
      <c r="J26" s="1844"/>
      <c r="K26" s="1844"/>
      <c r="L26" s="1844"/>
      <c r="M26" s="1844"/>
      <c r="N26" s="1844"/>
      <c r="O26" s="1844"/>
      <c r="P26" s="1844"/>
      <c r="Q26" s="1845"/>
      <c r="R26" s="1144"/>
      <c r="S26" s="1144"/>
    </row>
    <row r="27" spans="1:19" ht="24.6" customHeight="1">
      <c r="A27" s="1910" t="s">
        <v>2158</v>
      </c>
      <c r="B27" s="1911"/>
      <c r="C27" s="1911"/>
      <c r="D27" s="1911"/>
      <c r="E27" s="1911"/>
      <c r="F27" s="1911"/>
      <c r="G27" s="1911"/>
      <c r="H27" s="1911"/>
      <c r="I27" s="1911"/>
      <c r="J27" s="1911"/>
      <c r="K27" s="1911"/>
      <c r="L27" s="1911"/>
      <c r="M27" s="1911"/>
      <c r="N27" s="1911"/>
      <c r="O27" s="1911"/>
      <c r="P27" s="1911"/>
      <c r="Q27" s="1912"/>
      <c r="R27" s="1144"/>
      <c r="S27" s="1144"/>
    </row>
    <row r="28" spans="1:19" ht="6" customHeight="1"/>
    <row r="29" spans="1:19" ht="13.9" customHeight="1">
      <c r="A29" s="154">
        <v>1</v>
      </c>
      <c r="B29" s="155" t="s">
        <v>2839</v>
      </c>
      <c r="C29" s="156"/>
      <c r="D29" s="101"/>
      <c r="E29" s="101"/>
      <c r="F29" s="101"/>
      <c r="G29" s="101"/>
      <c r="I29" s="1186"/>
      <c r="J29" s="1186"/>
      <c r="K29" s="1186"/>
      <c r="L29" s="1169"/>
      <c r="M29" s="1169"/>
      <c r="O29" s="157" t="s">
        <v>1989</v>
      </c>
      <c r="P29" s="1828"/>
      <c r="Q29" s="1829"/>
    </row>
    <row r="30" spans="1:19" ht="3" customHeight="1"/>
    <row r="31" spans="1:19" ht="12" customHeight="1">
      <c r="B31" s="168" t="s">
        <v>2110</v>
      </c>
      <c r="C31" s="62" t="s">
        <v>3267</v>
      </c>
      <c r="E31" s="38"/>
      <c r="F31" s="38"/>
      <c r="G31" s="38"/>
      <c r="H31" s="38"/>
      <c r="I31" s="50"/>
      <c r="J31" s="40"/>
      <c r="K31" s="50"/>
      <c r="L31" s="40"/>
      <c r="M31" s="40"/>
      <c r="O31" s="78" t="s">
        <v>630</v>
      </c>
      <c r="P31" s="1080" t="s">
        <v>3425</v>
      </c>
      <c r="Q31" s="1287"/>
    </row>
    <row r="32" spans="1:19" ht="12" customHeight="1">
      <c r="B32" s="55" t="s">
        <v>2113</v>
      </c>
      <c r="C32" s="62" t="s">
        <v>760</v>
      </c>
      <c r="E32" s="38"/>
      <c r="F32" s="38"/>
      <c r="G32" s="38"/>
      <c r="H32" s="38"/>
      <c r="J32" s="1907" t="s">
        <v>2289</v>
      </c>
      <c r="K32" s="1908"/>
      <c r="L32" s="1908"/>
      <c r="M32" s="1908"/>
      <c r="N32" s="1909"/>
      <c r="O32" s="78"/>
      <c r="P32" s="78"/>
      <c r="Q32" s="78"/>
    </row>
    <row r="33" spans="1:31" ht="11.25" customHeight="1">
      <c r="B33" s="79" t="s">
        <v>1987</v>
      </c>
      <c r="C33" s="79"/>
      <c r="D33" s="79"/>
      <c r="E33" s="79"/>
      <c r="F33" s="79"/>
      <c r="G33" s="1186"/>
      <c r="H33" s="1186"/>
      <c r="I33" s="1186"/>
      <c r="J33" s="1186"/>
      <c r="K33" s="1169"/>
      <c r="L33" s="1169"/>
      <c r="M33" s="1169"/>
      <c r="N33" s="1169"/>
      <c r="O33" s="1169"/>
      <c r="P33" s="60"/>
      <c r="S33" s="188"/>
      <c r="T33" s="188"/>
    </row>
    <row r="34" spans="1:31" ht="12" customHeight="1">
      <c r="A34" s="1830" t="s">
        <v>3522</v>
      </c>
      <c r="B34" s="1831"/>
      <c r="C34" s="1831"/>
      <c r="D34" s="1831"/>
      <c r="E34" s="1831"/>
      <c r="F34" s="1831"/>
      <c r="G34" s="1831"/>
      <c r="H34" s="1831"/>
      <c r="I34" s="1831"/>
      <c r="J34" s="1831"/>
      <c r="K34" s="1831"/>
      <c r="L34" s="1831"/>
      <c r="M34" s="1831"/>
      <c r="N34" s="1831"/>
      <c r="O34" s="1831"/>
      <c r="P34" s="1831"/>
      <c r="Q34" s="1832"/>
      <c r="R34" s="562" t="s">
        <v>1326</v>
      </c>
      <c r="S34" s="563"/>
      <c r="T34" s="188"/>
      <c r="U34" s="162"/>
      <c r="V34" s="162"/>
      <c r="W34" s="162"/>
      <c r="X34" s="162"/>
      <c r="Y34" s="162"/>
      <c r="Z34" s="162"/>
      <c r="AA34" s="162"/>
      <c r="AB34" s="162"/>
      <c r="AC34" s="162"/>
      <c r="AD34" s="162"/>
      <c r="AE34" s="596"/>
    </row>
    <row r="35" spans="1:31" ht="11.25" customHeight="1">
      <c r="B35" s="163" t="s">
        <v>1988</v>
      </c>
      <c r="C35" s="164"/>
      <c r="D35" s="1176"/>
      <c r="E35" s="1176"/>
      <c r="F35" s="1176"/>
      <c r="G35" s="1176"/>
      <c r="H35" s="1176"/>
      <c r="I35" s="1176"/>
      <c r="J35" s="1176"/>
      <c r="K35" s="1176"/>
      <c r="L35" s="1176"/>
      <c r="M35" s="1176"/>
      <c r="N35" s="1176"/>
      <c r="O35" s="1176"/>
      <c r="P35" s="1176"/>
    </row>
    <row r="36" spans="1:31" ht="12" customHeight="1">
      <c r="A36" s="1904"/>
      <c r="B36" s="1905"/>
      <c r="C36" s="1905"/>
      <c r="D36" s="1905"/>
      <c r="E36" s="1905"/>
      <c r="F36" s="1905"/>
      <c r="G36" s="1905"/>
      <c r="H36" s="1905"/>
      <c r="I36" s="1905"/>
      <c r="J36" s="1905"/>
      <c r="K36" s="1905"/>
      <c r="L36" s="1905"/>
      <c r="M36" s="1905"/>
      <c r="N36" s="1905"/>
      <c r="O36" s="1905"/>
      <c r="P36" s="1905"/>
      <c r="Q36" s="1906"/>
      <c r="R36" s="562" t="s">
        <v>1326</v>
      </c>
      <c r="S36" s="563"/>
    </row>
    <row r="37" spans="1:31" ht="12" customHeight="1">
      <c r="A37" s="1863"/>
      <c r="B37" s="1864"/>
      <c r="C37" s="1864"/>
      <c r="D37" s="1864"/>
      <c r="E37" s="1864"/>
      <c r="F37" s="1864"/>
      <c r="G37" s="1864"/>
      <c r="H37" s="1864"/>
      <c r="I37" s="1864"/>
      <c r="J37" s="1864"/>
      <c r="K37" s="1864"/>
      <c r="L37" s="1864"/>
      <c r="M37" s="1864"/>
      <c r="N37" s="1864"/>
      <c r="O37" s="1864"/>
      <c r="P37" s="1864"/>
      <c r="Q37" s="1865"/>
    </row>
    <row r="38" spans="1:31" ht="12" customHeight="1">
      <c r="A38" s="1863"/>
      <c r="B38" s="1864"/>
      <c r="C38" s="1864"/>
      <c r="D38" s="1864"/>
      <c r="E38" s="1864"/>
      <c r="F38" s="1864"/>
      <c r="G38" s="1864"/>
      <c r="H38" s="1864"/>
      <c r="I38" s="1864"/>
      <c r="J38" s="1864"/>
      <c r="K38" s="1864"/>
      <c r="L38" s="1864"/>
      <c r="M38" s="1864"/>
      <c r="N38" s="1864"/>
      <c r="O38" s="1864"/>
      <c r="P38" s="1864"/>
      <c r="Q38" s="1865"/>
    </row>
    <row r="39" spans="1:31" ht="12" customHeight="1">
      <c r="A39" s="1901"/>
      <c r="B39" s="1902"/>
      <c r="C39" s="1902"/>
      <c r="D39" s="1902"/>
      <c r="E39" s="1902"/>
      <c r="F39" s="1902"/>
      <c r="G39" s="1902"/>
      <c r="H39" s="1902"/>
      <c r="I39" s="1902"/>
      <c r="J39" s="1902"/>
      <c r="K39" s="1902"/>
      <c r="L39" s="1902"/>
      <c r="M39" s="1902"/>
      <c r="N39" s="1902"/>
      <c r="O39" s="1902"/>
      <c r="P39" s="1902"/>
      <c r="Q39" s="1903"/>
    </row>
    <row r="40" spans="1:31" ht="3" customHeight="1">
      <c r="B40" s="1186"/>
      <c r="C40" s="1176"/>
      <c r="D40" s="1176"/>
      <c r="E40" s="1176"/>
      <c r="F40" s="1176"/>
      <c r="G40" s="1176"/>
      <c r="H40" s="1176"/>
      <c r="I40" s="1176"/>
      <c r="J40" s="1176"/>
      <c r="K40" s="1176"/>
      <c r="L40" s="1176"/>
      <c r="M40" s="1176"/>
      <c r="N40" s="1176"/>
      <c r="O40" s="1176"/>
      <c r="P40" s="1176"/>
      <c r="Q40" s="1169"/>
    </row>
    <row r="41" spans="1:31" ht="13.9" customHeight="1">
      <c r="A41" s="1178">
        <v>2</v>
      </c>
      <c r="B41" s="5" t="s">
        <v>2936</v>
      </c>
      <c r="C41" s="5"/>
      <c r="D41" s="5"/>
      <c r="E41" s="1176"/>
      <c r="F41" s="1176"/>
      <c r="G41" s="1176"/>
      <c r="H41" s="1176"/>
      <c r="K41" s="1176"/>
      <c r="L41" s="1176"/>
      <c r="M41" s="1176"/>
      <c r="O41" s="157" t="s">
        <v>1989</v>
      </c>
      <c r="P41" s="1828"/>
      <c r="Q41" s="1829"/>
    </row>
    <row r="42" spans="1:31" ht="3" customHeight="1">
      <c r="K42" s="1176"/>
      <c r="L42" s="1176"/>
    </row>
    <row r="43" spans="1:31" ht="12.75" customHeight="1">
      <c r="A43" s="1963" t="s">
        <v>3015</v>
      </c>
      <c r="B43" s="1963"/>
      <c r="C43" s="1963"/>
      <c r="D43" s="1963"/>
      <c r="E43" s="1963"/>
      <c r="F43" s="1869" t="s">
        <v>2943</v>
      </c>
      <c r="G43" s="1870"/>
      <c r="H43" s="1870"/>
      <c r="I43" s="1871"/>
      <c r="K43" s="1869" t="s">
        <v>2945</v>
      </c>
      <c r="L43" s="1870"/>
      <c r="M43" s="1870"/>
      <c r="N43" s="1871"/>
      <c r="P43" s="724" t="s">
        <v>2988</v>
      </c>
      <c r="Q43" s="1080" t="s">
        <v>3452</v>
      </c>
    </row>
    <row r="44" spans="1:31" ht="12.75" customHeight="1">
      <c r="A44" s="1963"/>
      <c r="B44" s="1963"/>
      <c r="C44" s="1963"/>
      <c r="D44" s="1963"/>
      <c r="E44" s="1963"/>
      <c r="F44" s="1860" t="s">
        <v>2944</v>
      </c>
      <c r="G44" s="1861"/>
      <c r="H44" s="1861"/>
      <c r="I44" s="1862"/>
      <c r="K44" s="1860" t="s">
        <v>2946</v>
      </c>
      <c r="L44" s="1861"/>
      <c r="M44" s="1861"/>
      <c r="N44" s="1862"/>
    </row>
    <row r="45" spans="1:31" ht="10.5" customHeight="1">
      <c r="A45" s="1963"/>
      <c r="B45" s="1963"/>
      <c r="C45" s="1963"/>
      <c r="D45" s="1963"/>
      <c r="E45" s="1963"/>
      <c r="F45" s="1876" t="s">
        <v>2940</v>
      </c>
      <c r="G45" s="1877"/>
      <c r="H45" s="1877"/>
      <c r="I45" s="1878"/>
      <c r="K45" s="1879" t="s">
        <v>2942</v>
      </c>
      <c r="L45" s="1880"/>
      <c r="M45" s="1880"/>
      <c r="N45" s="1881"/>
      <c r="P45" s="1882" t="s">
        <v>3042</v>
      </c>
      <c r="Q45" s="1882"/>
    </row>
    <row r="46" spans="1:31" ht="22.5" customHeight="1">
      <c r="A46" s="1963"/>
      <c r="B46" s="1963"/>
      <c r="C46" s="1963"/>
      <c r="D46" s="1963"/>
      <c r="E46" s="1963"/>
      <c r="F46" s="1872" t="s">
        <v>2956</v>
      </c>
      <c r="G46" s="166"/>
      <c r="I46" s="1858" t="s">
        <v>2955</v>
      </c>
      <c r="K46" s="1872" t="s">
        <v>2956</v>
      </c>
      <c r="M46" s="1176"/>
      <c r="N46" s="1858" t="s">
        <v>2955</v>
      </c>
      <c r="O46" s="1176"/>
      <c r="P46" s="1882"/>
      <c r="Q46" s="1882"/>
    </row>
    <row r="47" spans="1:31" ht="12.75" customHeight="1">
      <c r="A47" s="165"/>
      <c r="D47" s="1081" t="s">
        <v>2939</v>
      </c>
      <c r="F47" s="1873"/>
      <c r="G47" s="1082" t="s">
        <v>2941</v>
      </c>
      <c r="I47" s="1859"/>
      <c r="K47" s="1873"/>
      <c r="L47" s="1082" t="s">
        <v>2941</v>
      </c>
      <c r="N47" s="1859"/>
      <c r="O47" s="1176"/>
      <c r="P47" s="1874">
        <f>IF(AND('Part I-Project Information'!I160="Yes",'Part I-Project Information'!O160&gt;1),'Part I-Project Information'!O160, IF(AND('Part IV-Uses of Funds'!$T$163="Yes",'Part IX A-Scoring Criteria'!$O$241&gt;0),I53+N53,I53))</f>
        <v>12279708</v>
      </c>
      <c r="Q47" s="1875"/>
    </row>
    <row r="48" spans="1:31" ht="11.45" customHeight="1">
      <c r="A48" s="165"/>
      <c r="D48" s="1083" t="s">
        <v>596</v>
      </c>
      <c r="F48" s="723">
        <f>'Part VI-Revenues &amp; Expenses'!H62-'Part VI-Revenues &amp; Expenses'!H82</f>
        <v>0</v>
      </c>
      <c r="G48" s="1084">
        <f>'DCA Underwriting Assumptions'!$J$12</f>
        <v>110481</v>
      </c>
      <c r="H48" s="533" t="str">
        <f>CONCATENATE("x ", F48," units = ")</f>
        <v xml:space="preserve">x 0 units = </v>
      </c>
      <c r="I48" s="616">
        <f>F48*G48</f>
        <v>0</v>
      </c>
      <c r="K48" s="723">
        <f>IF(AND('Part IV-Uses of Funds'!$T$163 = "Yes", 'Part IX A-Scoring Criteria'!$O$241 &gt; 0),'Part VI-Revenues &amp; Expenses'!H$82,0)</f>
        <v>0</v>
      </c>
      <c r="L48" s="1084">
        <f>'DCA Underwriting Assumptions'!$J$13</f>
        <v>121529</v>
      </c>
      <c r="M48" s="533" t="str">
        <f>CONCATENATE("x ", K48," units = ")</f>
        <v xml:space="preserve">x 0 units = </v>
      </c>
      <c r="N48" s="616">
        <f>K48*L48</f>
        <v>0</v>
      </c>
      <c r="O48" s="1176"/>
      <c r="P48" s="1966" t="s">
        <v>2982</v>
      </c>
      <c r="Q48" s="1966"/>
    </row>
    <row r="49" spans="1:31" ht="11.45" customHeight="1">
      <c r="A49" s="165"/>
      <c r="D49" s="1083" t="s">
        <v>2937</v>
      </c>
      <c r="F49" s="723">
        <f>'Part VI-Revenues &amp; Expenses'!I62-'Part VI-Revenues &amp; Expenses'!I82</f>
        <v>24</v>
      </c>
      <c r="G49" s="1084">
        <f>'DCA Underwriting Assumptions'!$K$12</f>
        <v>126647</v>
      </c>
      <c r="H49" s="533" t="str">
        <f>CONCATENATE("x ", F49," units = ")</f>
        <v xml:space="preserve">x 24 units = </v>
      </c>
      <c r="I49" s="616">
        <f>F49*G49</f>
        <v>3039528</v>
      </c>
      <c r="K49" s="723">
        <f>IF(AND('Part IV-Uses of Funds'!$T$163 = "Yes", 'Part IX A-Scoring Criteria'!$O$241 &gt; 0),'Part VI-Revenues &amp; Expenses'!I$82,0)</f>
        <v>0</v>
      </c>
      <c r="L49" s="1084">
        <f>'DCA Underwriting Assumptions'!$K$13</f>
        <v>139312</v>
      </c>
      <c r="M49" s="533" t="str">
        <f>CONCATENATE("x ", K49," units = ")</f>
        <v xml:space="preserve">x 0 units = </v>
      </c>
      <c r="N49" s="616">
        <f>K49*L49</f>
        <v>0</v>
      </c>
      <c r="O49" s="1176"/>
      <c r="P49" s="1967"/>
      <c r="Q49" s="1967"/>
    </row>
    <row r="50" spans="1:31" ht="11.45" customHeight="1">
      <c r="A50" s="165"/>
      <c r="D50" s="1083" t="s">
        <v>2938</v>
      </c>
      <c r="F50" s="723">
        <f>'Part VI-Revenues &amp; Expenses'!J62-'Part VI-Revenues &amp; Expenses'!J82</f>
        <v>60</v>
      </c>
      <c r="G50" s="1084">
        <f>'DCA Underwriting Assumptions'!$L$12</f>
        <v>154003</v>
      </c>
      <c r="H50" s="533" t="str">
        <f>CONCATENATE("x ", F50," units = ")</f>
        <v xml:space="preserve">x 60 units = </v>
      </c>
      <c r="I50" s="616">
        <f>F50*G50</f>
        <v>9240180</v>
      </c>
      <c r="K50" s="723">
        <f>IF(AND('Part IV-Uses of Funds'!$T$163 = "Yes", 'Part IX A-Scoring Criteria'!$O$241 &gt; 0),'Part VI-Revenues &amp; Expenses'!J$82,0)</f>
        <v>0</v>
      </c>
      <c r="L50" s="1084">
        <f>'DCA Underwriting Assumptions'!$L$13</f>
        <v>169403</v>
      </c>
      <c r="M50" s="533" t="str">
        <f>CONCATENATE("x ", K50," units = ")</f>
        <v xml:space="preserve">x 0 units = </v>
      </c>
      <c r="N50" s="616">
        <f>K50*L50</f>
        <v>0</v>
      </c>
      <c r="O50" s="1176"/>
      <c r="P50" s="1967"/>
      <c r="Q50" s="1967"/>
    </row>
    <row r="51" spans="1:31" ht="11.45" customHeight="1">
      <c r="A51" s="165"/>
      <c r="D51" s="1083" t="s">
        <v>2947</v>
      </c>
      <c r="F51" s="723">
        <f>'Part VI-Revenues &amp; Expenses'!K62-'Part VI-Revenues &amp; Expenses'!K82</f>
        <v>0</v>
      </c>
      <c r="G51" s="1084">
        <f>'DCA Underwriting Assumptions'!$M$12</f>
        <v>199229</v>
      </c>
      <c r="H51" s="533" t="str">
        <f>CONCATENATE("x ", F51," units = ")</f>
        <v xml:space="preserve">x 0 units = </v>
      </c>
      <c r="I51" s="616">
        <f>F51*G51</f>
        <v>0</v>
      </c>
      <c r="K51" s="723">
        <f>IF(AND('Part IV-Uses of Funds'!$T$163 = "Yes", 'Part IX A-Scoring Criteria'!$O$241 &gt; 0),'Part VI-Revenues &amp; Expenses'!K$82,0)</f>
        <v>0</v>
      </c>
      <c r="L51" s="1084">
        <f>'DCA Underwriting Assumptions'!$M$13</f>
        <v>219152</v>
      </c>
      <c r="M51" s="533" t="str">
        <f>CONCATENATE("x ", K51," units = ")</f>
        <v xml:space="preserve">x 0 units = </v>
      </c>
      <c r="N51" s="616">
        <f>K51*L51</f>
        <v>0</v>
      </c>
      <c r="O51" s="1176"/>
      <c r="P51" s="1967"/>
      <c r="Q51" s="1967"/>
    </row>
    <row r="52" spans="1:31" ht="11.45" customHeight="1">
      <c r="A52" s="165"/>
      <c r="D52" s="1085" t="s">
        <v>2948</v>
      </c>
      <c r="F52" s="723">
        <f>'Part VI-Revenues &amp; Expenses'!L62-'Part VI-Revenues &amp; Expenses'!L82</f>
        <v>0</v>
      </c>
      <c r="G52" s="1084">
        <f>'DCA Underwriting Assumptions'!$N$12</f>
        <v>199229</v>
      </c>
      <c r="H52" s="533" t="str">
        <f>CONCATENATE("x ", F52," units = ")</f>
        <v xml:space="preserve">x 0 units = </v>
      </c>
      <c r="I52" s="616">
        <f>F52*G52</f>
        <v>0</v>
      </c>
      <c r="K52" s="723">
        <f>IF(AND('Part IV-Uses of Funds'!$T$163 = "Yes", 'Part IX A-Scoring Criteria'!$O$241 &gt; 0),'Part VI-Revenues &amp; Expenses'!L$82,0)</f>
        <v>0</v>
      </c>
      <c r="L52" s="1084">
        <f>'DCA Underwriting Assumptions'!$N$13</f>
        <v>219152</v>
      </c>
      <c r="M52" s="533" t="str">
        <f>CONCATENATE("x ", K52," units = ")</f>
        <v xml:space="preserve">x 0 units = </v>
      </c>
      <c r="N52" s="616">
        <f>K52*L52</f>
        <v>0</v>
      </c>
      <c r="O52" s="1176"/>
      <c r="P52" s="1967"/>
      <c r="Q52" s="1967"/>
    </row>
    <row r="53" spans="1:31" ht="11.45" customHeight="1">
      <c r="A53" s="165"/>
      <c r="C53" s="166"/>
      <c r="D53" s="614" t="s">
        <v>2949</v>
      </c>
      <c r="F53" s="613">
        <f>SUM(F48:F52)</f>
        <v>84</v>
      </c>
      <c r="G53" s="1086"/>
      <c r="H53" s="723"/>
      <c r="I53" s="615">
        <f>SUM(I48:I52)</f>
        <v>12279708</v>
      </c>
      <c r="K53" s="613">
        <f>SUM(K48:K52)</f>
        <v>0</v>
      </c>
      <c r="M53" s="723"/>
      <c r="N53" s="615">
        <f>SUM(N48:N52)</f>
        <v>0</v>
      </c>
      <c r="O53" s="1176"/>
      <c r="P53" s="1883" t="str">
        <f>IF('Part IV-Uses of Funds'!$G$130&gt;P47,"CHECK TDC !!!","")</f>
        <v/>
      </c>
      <c r="Q53" s="1883"/>
    </row>
    <row r="54" spans="1:31" ht="3.75" customHeight="1">
      <c r="A54" s="165"/>
      <c r="C54" s="166"/>
      <c r="E54" s="65"/>
      <c r="F54" s="1086"/>
      <c r="G54" s="65"/>
      <c r="I54" s="65"/>
      <c r="J54" s="65"/>
      <c r="K54" s="1176"/>
      <c r="L54" s="1087"/>
      <c r="M54" s="1176"/>
      <c r="N54" s="1176"/>
      <c r="O54" s="1176"/>
      <c r="P54" s="1176"/>
      <c r="Q54" s="1176"/>
    </row>
    <row r="55" spans="1:31" ht="11.25" customHeight="1">
      <c r="B55" s="112" t="s">
        <v>1987</v>
      </c>
      <c r="D55" s="112"/>
      <c r="E55" s="112"/>
      <c r="F55" s="112"/>
      <c r="G55" s="112"/>
      <c r="H55" s="48"/>
      <c r="I55" s="1186"/>
      <c r="J55" s="1186"/>
      <c r="K55" s="163" t="s">
        <v>1988</v>
      </c>
      <c r="L55" s="1169"/>
      <c r="M55" s="1169"/>
      <c r="N55" s="1169"/>
      <c r="O55" s="1169"/>
      <c r="P55" s="1169"/>
      <c r="Q55" s="60"/>
    </row>
    <row r="56" spans="1:31" ht="11.45" customHeight="1">
      <c r="A56" s="1830" t="s">
        <v>3523</v>
      </c>
      <c r="B56" s="1831"/>
      <c r="C56" s="1831"/>
      <c r="D56" s="1831"/>
      <c r="E56" s="1831"/>
      <c r="F56" s="1831"/>
      <c r="G56" s="1831"/>
      <c r="H56" s="1831"/>
      <c r="I56" s="1831"/>
      <c r="J56" s="1832"/>
      <c r="K56" s="1833"/>
      <c r="L56" s="1834"/>
      <c r="M56" s="1834"/>
      <c r="N56" s="1834"/>
      <c r="O56" s="1834"/>
      <c r="P56" s="1834"/>
      <c r="Q56" s="1835"/>
      <c r="U56" s="162"/>
      <c r="V56" s="162"/>
      <c r="W56" s="162"/>
      <c r="X56" s="162"/>
      <c r="Y56" s="162"/>
      <c r="Z56" s="162"/>
      <c r="AA56" s="162"/>
      <c r="AB56" s="162"/>
      <c r="AC56" s="162"/>
      <c r="AD56" s="162"/>
      <c r="AE56" s="596"/>
    </row>
    <row r="57" spans="1:31" ht="3" customHeight="1">
      <c r="B57" s="1186"/>
      <c r="C57" s="1176"/>
      <c r="D57" s="1176"/>
      <c r="E57" s="1176"/>
      <c r="F57" s="1176"/>
      <c r="G57" s="1176"/>
      <c r="H57" s="1176"/>
      <c r="I57" s="1176"/>
      <c r="J57" s="1176"/>
      <c r="K57" s="1176"/>
      <c r="L57" s="1176"/>
      <c r="M57" s="1176"/>
      <c r="N57" s="1176"/>
      <c r="O57" s="1176"/>
      <c r="P57" s="1176"/>
      <c r="Q57" s="1169"/>
    </row>
    <row r="58" spans="1:31" ht="13.9" customHeight="1">
      <c r="A58" s="1178">
        <v>3</v>
      </c>
      <c r="B58" s="5" t="s">
        <v>1256</v>
      </c>
      <c r="C58" s="5"/>
      <c r="D58" s="5"/>
      <c r="E58" s="1176"/>
      <c r="F58" s="1176"/>
      <c r="G58" s="1176"/>
      <c r="H58" s="1176"/>
      <c r="M58" s="1176"/>
      <c r="O58" s="157" t="s">
        <v>1989</v>
      </c>
      <c r="P58" s="1828"/>
      <c r="Q58" s="1829"/>
    </row>
    <row r="59" spans="1:31" ht="3" customHeight="1"/>
    <row r="60" spans="1:31" ht="11.45" customHeight="1">
      <c r="A60" s="165"/>
      <c r="C60" s="166" t="s">
        <v>102</v>
      </c>
      <c r="D60" s="166"/>
      <c r="E60" s="166"/>
      <c r="F60" s="166"/>
      <c r="G60" s="166"/>
      <c r="H60" s="166"/>
      <c r="K60" s="1866" t="str">
        <f>'Part I-Project Information'!$H$66</f>
        <v>HFOP</v>
      </c>
      <c r="L60" s="1867"/>
      <c r="M60" s="1868"/>
      <c r="N60" s="1176"/>
    </row>
    <row r="61" spans="1:31" ht="11.25" customHeight="1">
      <c r="B61" s="112" t="s">
        <v>1987</v>
      </c>
      <c r="D61" s="112"/>
      <c r="E61" s="112"/>
      <c r="F61" s="112"/>
      <c r="G61" s="112"/>
      <c r="H61" s="48"/>
      <c r="I61" s="1186"/>
      <c r="J61" s="1186"/>
      <c r="K61" s="163" t="s">
        <v>1988</v>
      </c>
      <c r="L61" s="1169"/>
      <c r="M61" s="1169"/>
      <c r="N61" s="1169"/>
      <c r="O61" s="1169"/>
      <c r="P61" s="1169"/>
      <c r="Q61" s="60"/>
    </row>
    <row r="62" spans="1:31" ht="11.45" customHeight="1">
      <c r="A62" s="1830" t="s">
        <v>3524</v>
      </c>
      <c r="B62" s="1831"/>
      <c r="C62" s="1831"/>
      <c r="D62" s="1831"/>
      <c r="E62" s="1831"/>
      <c r="F62" s="1831"/>
      <c r="G62" s="1831"/>
      <c r="H62" s="1831"/>
      <c r="I62" s="1831"/>
      <c r="J62" s="1832"/>
      <c r="K62" s="1833"/>
      <c r="L62" s="1834"/>
      <c r="M62" s="1834"/>
      <c r="N62" s="1834"/>
      <c r="O62" s="1834"/>
      <c r="P62" s="1834"/>
      <c r="Q62" s="1835"/>
      <c r="U62" s="162"/>
      <c r="V62" s="162"/>
      <c r="W62" s="162"/>
      <c r="X62" s="162"/>
      <c r="Y62" s="162"/>
      <c r="Z62" s="162"/>
      <c r="AA62" s="162"/>
      <c r="AB62" s="162"/>
      <c r="AC62" s="162"/>
      <c r="AD62" s="162"/>
      <c r="AE62" s="596"/>
    </row>
    <row r="63" spans="1:31" ht="3" customHeight="1">
      <c r="A63" s="1169"/>
      <c r="B63" s="1186"/>
      <c r="C63" s="1176"/>
      <c r="D63" s="1176"/>
      <c r="E63" s="1176"/>
      <c r="F63" s="1176"/>
      <c r="G63" s="1176"/>
      <c r="H63" s="1176"/>
      <c r="I63" s="1176"/>
      <c r="J63" s="1176"/>
      <c r="K63" s="1176"/>
      <c r="L63" s="1176"/>
      <c r="M63" s="1176"/>
      <c r="N63" s="1176"/>
      <c r="O63" s="1176"/>
      <c r="P63" s="1176"/>
      <c r="Q63" s="1169"/>
    </row>
    <row r="64" spans="1:31" ht="13.9" customHeight="1">
      <c r="A64" s="1178">
        <v>4</v>
      </c>
      <c r="B64" s="1178" t="s">
        <v>2840</v>
      </c>
      <c r="C64" s="132"/>
      <c r="D64" s="1176"/>
      <c r="E64" s="1176"/>
      <c r="F64" s="1176"/>
      <c r="G64" s="1176"/>
      <c r="H64" s="1176"/>
      <c r="I64" s="1176"/>
      <c r="J64" s="1176"/>
      <c r="K64" s="1176"/>
      <c r="L64" s="1176"/>
      <c r="M64" s="1176"/>
      <c r="O64" s="157" t="s">
        <v>1989</v>
      </c>
      <c r="P64" s="1828"/>
      <c r="Q64" s="1829"/>
    </row>
    <row r="65" spans="1:31" ht="3" customHeight="1"/>
    <row r="66" spans="1:31" ht="12.6" customHeight="1">
      <c r="B66" s="168" t="s">
        <v>2110</v>
      </c>
      <c r="C66" s="1913" t="s">
        <v>322</v>
      </c>
      <c r="D66" s="1914"/>
      <c r="E66" s="1914"/>
      <c r="F66" s="1914"/>
      <c r="G66" s="1914"/>
      <c r="H66" s="1914"/>
      <c r="I66" s="1914"/>
      <c r="J66" s="1914"/>
      <c r="K66" s="1914"/>
      <c r="L66" s="1914"/>
      <c r="M66" s="1914"/>
      <c r="O66" s="169"/>
      <c r="P66" s="1080" t="s">
        <v>3485</v>
      </c>
    </row>
    <row r="67" spans="1:31" ht="12" customHeight="1">
      <c r="B67" s="55" t="s">
        <v>2113</v>
      </c>
      <c r="C67" s="38" t="s">
        <v>2957</v>
      </c>
      <c r="D67" s="38"/>
      <c r="E67" s="38"/>
      <c r="F67" s="38"/>
      <c r="G67" s="38"/>
      <c r="H67" s="38"/>
      <c r="I67" s="38"/>
      <c r="J67" s="38"/>
      <c r="K67" s="38"/>
      <c r="L67" s="38"/>
      <c r="M67" s="38"/>
      <c r="O67" s="38"/>
      <c r="P67" s="38"/>
      <c r="Q67" s="38"/>
    </row>
    <row r="68" spans="1:31" ht="10.9" customHeight="1">
      <c r="A68" s="170"/>
      <c r="B68" s="50"/>
      <c r="C68" s="78" t="s">
        <v>1850</v>
      </c>
      <c r="D68" s="38" t="s">
        <v>606</v>
      </c>
      <c r="E68" s="1174"/>
      <c r="F68" s="1174"/>
      <c r="G68" s="1174"/>
      <c r="H68" s="40"/>
      <c r="I68" s="50"/>
      <c r="J68" s="44" t="s">
        <v>2927</v>
      </c>
      <c r="K68" s="1839" t="s">
        <v>3502</v>
      </c>
      <c r="L68" s="1840"/>
      <c r="M68" s="1840"/>
      <c r="N68" s="1840"/>
      <c r="O68" s="1840"/>
      <c r="P68" s="1840"/>
      <c r="Q68" s="1841"/>
    </row>
    <row r="69" spans="1:31" ht="10.9" customHeight="1">
      <c r="A69" s="170"/>
      <c r="B69" s="50"/>
      <c r="C69" s="78" t="s">
        <v>1851</v>
      </c>
      <c r="D69" s="38" t="s">
        <v>1926</v>
      </c>
      <c r="E69" s="1174"/>
      <c r="F69" s="1174"/>
      <c r="G69" s="1174"/>
      <c r="H69" s="40"/>
      <c r="I69" s="50"/>
      <c r="J69" s="44" t="s">
        <v>2927</v>
      </c>
      <c r="K69" s="1855" t="s">
        <v>3503</v>
      </c>
      <c r="L69" s="1856"/>
      <c r="M69" s="1856"/>
      <c r="N69" s="1856"/>
      <c r="O69" s="1856"/>
      <c r="P69" s="1856"/>
      <c r="Q69" s="1857"/>
    </row>
    <row r="70" spans="1:31" ht="10.9" customHeight="1">
      <c r="A70" s="170"/>
      <c r="B70" s="50"/>
      <c r="C70" s="78" t="s">
        <v>1852</v>
      </c>
      <c r="D70" s="38" t="s">
        <v>323</v>
      </c>
      <c r="E70" s="1174"/>
      <c r="J70" s="44" t="s">
        <v>2927</v>
      </c>
      <c r="K70" s="1819"/>
      <c r="L70" s="1820"/>
      <c r="M70" s="1820"/>
      <c r="N70" s="1820"/>
      <c r="O70" s="1820"/>
      <c r="P70" s="1820"/>
      <c r="Q70" s="1821"/>
    </row>
    <row r="71" spans="1:31" ht="11.25" customHeight="1">
      <c r="B71" s="112" t="s">
        <v>1987</v>
      </c>
      <c r="D71" s="112"/>
      <c r="E71" s="112"/>
      <c r="F71" s="112"/>
      <c r="G71" s="112"/>
      <c r="H71" s="48"/>
      <c r="I71" s="1186"/>
      <c r="J71" s="1186"/>
      <c r="K71" s="1186"/>
      <c r="L71" s="1169"/>
      <c r="M71" s="1169"/>
      <c r="N71" s="1169"/>
      <c r="O71" s="1169"/>
      <c r="P71" s="1169"/>
      <c r="Q71" s="60"/>
    </row>
    <row r="72" spans="1:31" ht="12" customHeight="1">
      <c r="A72" s="1830" t="s">
        <v>3525</v>
      </c>
      <c r="B72" s="1831"/>
      <c r="C72" s="1831"/>
      <c r="D72" s="1831"/>
      <c r="E72" s="1831"/>
      <c r="F72" s="1831"/>
      <c r="G72" s="1831"/>
      <c r="H72" s="1831"/>
      <c r="I72" s="1831"/>
      <c r="J72" s="1831"/>
      <c r="K72" s="1831"/>
      <c r="L72" s="1831"/>
      <c r="M72" s="1831"/>
      <c r="N72" s="1831"/>
      <c r="O72" s="1831"/>
      <c r="P72" s="1831"/>
      <c r="Q72" s="1832"/>
      <c r="U72" s="162"/>
      <c r="V72" s="162"/>
      <c r="W72" s="162"/>
      <c r="X72" s="162"/>
      <c r="Y72" s="162"/>
      <c r="Z72" s="162"/>
      <c r="AA72" s="162"/>
      <c r="AB72" s="162"/>
      <c r="AC72" s="162"/>
      <c r="AD72" s="162"/>
      <c r="AE72" s="596"/>
    </row>
    <row r="73" spans="1:31" ht="11.25" customHeight="1">
      <c r="B73" s="163" t="s">
        <v>1988</v>
      </c>
      <c r="C73" s="164"/>
      <c r="D73" s="1176"/>
      <c r="E73" s="1176"/>
      <c r="F73" s="1176"/>
      <c r="G73" s="1176"/>
      <c r="H73" s="1176"/>
      <c r="I73" s="1176"/>
      <c r="J73" s="1176"/>
      <c r="K73" s="1176"/>
      <c r="L73" s="1176"/>
      <c r="M73" s="1176"/>
      <c r="N73" s="1176"/>
      <c r="O73" s="1176"/>
      <c r="P73" s="1176"/>
      <c r="Q73" s="1176"/>
    </row>
    <row r="74" spans="1:31" ht="12" customHeight="1">
      <c r="A74" s="1833"/>
      <c r="B74" s="1834"/>
      <c r="C74" s="1834"/>
      <c r="D74" s="1834"/>
      <c r="E74" s="1834"/>
      <c r="F74" s="1834"/>
      <c r="G74" s="1834"/>
      <c r="H74" s="1834"/>
      <c r="I74" s="1834"/>
      <c r="J74" s="1834"/>
      <c r="K74" s="1834"/>
      <c r="L74" s="1834"/>
      <c r="M74" s="1834"/>
      <c r="N74" s="1834"/>
      <c r="O74" s="1834"/>
      <c r="P74" s="1834"/>
      <c r="Q74" s="1835"/>
    </row>
    <row r="75" spans="1:31" ht="4.9000000000000004" customHeight="1">
      <c r="A75" s="1169"/>
      <c r="B75" s="1186"/>
      <c r="C75" s="1176"/>
      <c r="D75" s="1176"/>
      <c r="E75" s="1176"/>
      <c r="F75" s="1176"/>
      <c r="G75" s="1176"/>
      <c r="H75" s="1176"/>
      <c r="I75" s="1176"/>
      <c r="J75" s="1176"/>
      <c r="K75" s="1176"/>
      <c r="L75" s="1176"/>
      <c r="M75" s="1176"/>
      <c r="N75" s="1176"/>
      <c r="O75" s="1176"/>
      <c r="P75" s="1176"/>
      <c r="Q75" s="1169"/>
    </row>
    <row r="76" spans="1:31" ht="13.9" customHeight="1">
      <c r="A76" s="1178">
        <v>5</v>
      </c>
      <c r="B76" s="1178" t="s">
        <v>2841</v>
      </c>
      <c r="C76" s="1178"/>
      <c r="D76" s="1176"/>
      <c r="E76" s="1176"/>
      <c r="F76" s="1176"/>
      <c r="G76" s="1176"/>
      <c r="H76" s="1176"/>
      <c r="I76" s="1176"/>
      <c r="J76" s="1176"/>
      <c r="K76" s="1176"/>
      <c r="O76" s="157" t="s">
        <v>1989</v>
      </c>
      <c r="P76" s="1828"/>
      <c r="Q76" s="1829"/>
    </row>
    <row r="77" spans="1:31" ht="3" customHeight="1"/>
    <row r="78" spans="1:31" ht="12" customHeight="1">
      <c r="B78" s="55" t="s">
        <v>2110</v>
      </c>
      <c r="C78" s="171" t="s">
        <v>2617</v>
      </c>
      <c r="D78" s="159"/>
      <c r="E78" s="159"/>
      <c r="F78" s="159"/>
      <c r="G78" s="159"/>
      <c r="H78" s="159"/>
      <c r="I78" s="50"/>
      <c r="J78" s="50"/>
      <c r="K78" s="50"/>
      <c r="L78" s="594" t="s">
        <v>2110</v>
      </c>
      <c r="M78" s="1839" t="s">
        <v>3511</v>
      </c>
      <c r="N78" s="1840"/>
      <c r="O78" s="1840"/>
      <c r="P78" s="1915"/>
      <c r="Q78" s="1287"/>
    </row>
    <row r="79" spans="1:31" ht="12" customHeight="1">
      <c r="B79" s="55" t="s">
        <v>2113</v>
      </c>
      <c r="C79" s="62" t="s">
        <v>2165</v>
      </c>
      <c r="D79" s="159"/>
      <c r="E79" s="159"/>
      <c r="F79" s="159"/>
      <c r="L79" s="594" t="s">
        <v>2113</v>
      </c>
      <c r="M79" s="1855" t="s">
        <v>3512</v>
      </c>
      <c r="N79" s="1856"/>
      <c r="O79" s="1856"/>
      <c r="P79" s="1916"/>
      <c r="Q79" s="1287"/>
    </row>
    <row r="80" spans="1:31" ht="12" customHeight="1">
      <c r="B80" s="55" t="s">
        <v>793</v>
      </c>
      <c r="C80" s="62" t="s">
        <v>3268</v>
      </c>
      <c r="D80" s="159"/>
      <c r="E80" s="159"/>
      <c r="F80" s="159"/>
      <c r="L80" s="594" t="s">
        <v>793</v>
      </c>
      <c r="M80" s="1887">
        <v>0.93600000000000005</v>
      </c>
      <c r="N80" s="1888"/>
      <c r="O80" s="1888"/>
      <c r="P80" s="1889"/>
      <c r="Q80" s="1288"/>
    </row>
    <row r="81" spans="1:31" ht="12" customHeight="1">
      <c r="B81" s="55" t="s">
        <v>2245</v>
      </c>
      <c r="C81" s="62" t="s">
        <v>2618</v>
      </c>
      <c r="D81" s="159"/>
      <c r="E81" s="159"/>
      <c r="F81" s="159"/>
      <c r="L81" s="594" t="s">
        <v>2245</v>
      </c>
      <c r="M81" s="1951">
        <v>0.11799999999999999</v>
      </c>
      <c r="N81" s="1952"/>
      <c r="O81" s="1952"/>
      <c r="P81" s="1953"/>
      <c r="Q81" s="1287"/>
    </row>
    <row r="82" spans="1:31" ht="12" customHeight="1">
      <c r="B82" s="168" t="s">
        <v>1848</v>
      </c>
      <c r="C82" s="1825" t="s">
        <v>3269</v>
      </c>
      <c r="D82" s="1825"/>
      <c r="E82" s="1825"/>
      <c r="F82" s="1825"/>
      <c r="G82" s="1825"/>
      <c r="H82" s="1825"/>
      <c r="I82" s="1825"/>
      <c r="J82" s="1825"/>
      <c r="K82" s="1825"/>
      <c r="L82" s="1825"/>
      <c r="M82" s="1825"/>
      <c r="N82" s="1825"/>
      <c r="O82" s="1825"/>
      <c r="P82" s="1825"/>
      <c r="Q82" s="1825"/>
    </row>
    <row r="83" spans="1:31" ht="12" customHeight="1">
      <c r="B83" s="55"/>
      <c r="C83" s="62"/>
      <c r="D83" s="1189" t="s">
        <v>2526</v>
      </c>
      <c r="E83" s="38" t="s">
        <v>653</v>
      </c>
      <c r="F83" s="38"/>
      <c r="H83" s="62"/>
      <c r="I83" s="1189" t="s">
        <v>2526</v>
      </c>
      <c r="J83" s="38" t="s">
        <v>653</v>
      </c>
      <c r="K83" s="38"/>
      <c r="M83" s="62"/>
      <c r="N83" s="1189" t="s">
        <v>2526</v>
      </c>
      <c r="O83" s="38" t="s">
        <v>653</v>
      </c>
      <c r="P83" s="38"/>
      <c r="Q83" s="594"/>
    </row>
    <row r="84" spans="1:31" ht="12" customHeight="1">
      <c r="B84" s="55"/>
      <c r="C84" s="62">
        <v>1</v>
      </c>
      <c r="D84" s="1088"/>
      <c r="E84" s="1827" t="s">
        <v>3526</v>
      </c>
      <c r="F84" s="1827"/>
      <c r="G84" s="1827"/>
      <c r="H84" s="62">
        <v>3</v>
      </c>
      <c r="I84" s="1088"/>
      <c r="J84" s="1827"/>
      <c r="K84" s="1827"/>
      <c r="L84" s="1827"/>
      <c r="M84" s="62">
        <v>5</v>
      </c>
      <c r="N84" s="1088"/>
      <c r="O84" s="1827"/>
      <c r="P84" s="1827"/>
      <c r="Q84" s="1827"/>
    </row>
    <row r="85" spans="1:31" ht="12" customHeight="1">
      <c r="B85" s="55"/>
      <c r="C85" s="62">
        <v>2</v>
      </c>
      <c r="D85" s="1089"/>
      <c r="E85" s="1891"/>
      <c r="F85" s="1891"/>
      <c r="G85" s="1891"/>
      <c r="H85" s="62">
        <v>4</v>
      </c>
      <c r="I85" s="1089"/>
      <c r="J85" s="1891"/>
      <c r="K85" s="1891"/>
      <c r="L85" s="1891"/>
      <c r="M85" s="62">
        <v>6</v>
      </c>
      <c r="N85" s="1089"/>
      <c r="O85" s="1891"/>
      <c r="P85" s="1891"/>
      <c r="Q85" s="1891"/>
    </row>
    <row r="86" spans="1:31" ht="12" customHeight="1">
      <c r="B86" s="55" t="s">
        <v>1849</v>
      </c>
      <c r="C86" s="62" t="s">
        <v>0</v>
      </c>
      <c r="D86" s="159"/>
      <c r="E86" s="159"/>
      <c r="F86" s="159"/>
      <c r="G86" s="159"/>
      <c r="H86" s="159"/>
      <c r="I86" s="50"/>
      <c r="J86" s="50"/>
      <c r="K86" s="159"/>
      <c r="L86" s="1174"/>
      <c r="M86" s="1174"/>
      <c r="O86" s="594" t="s">
        <v>1849</v>
      </c>
      <c r="P86" s="1090" t="s">
        <v>3452</v>
      </c>
      <c r="Q86" s="1288"/>
    </row>
    <row r="87" spans="1:31" ht="11.25" customHeight="1">
      <c r="B87" s="167" t="s">
        <v>1987</v>
      </c>
      <c r="D87" s="167"/>
      <c r="E87" s="167"/>
      <c r="F87" s="167"/>
      <c r="G87" s="167"/>
      <c r="H87" s="48"/>
      <c r="I87" s="1186"/>
      <c r="J87" s="1186"/>
      <c r="K87" s="1186"/>
      <c r="L87" s="1169"/>
      <c r="M87" s="1169"/>
      <c r="N87" s="1169"/>
      <c r="O87" s="1169"/>
      <c r="P87" s="1169"/>
      <c r="Q87" s="60"/>
    </row>
    <row r="88" spans="1:31" ht="22.9" customHeight="1">
      <c r="A88" s="1830" t="s">
        <v>3527</v>
      </c>
      <c r="B88" s="1831"/>
      <c r="C88" s="1831"/>
      <c r="D88" s="1831"/>
      <c r="E88" s="1831"/>
      <c r="F88" s="1831"/>
      <c r="G88" s="1831"/>
      <c r="H88" s="1831"/>
      <c r="I88" s="1831"/>
      <c r="J88" s="1831"/>
      <c r="K88" s="1831"/>
      <c r="L88" s="1831"/>
      <c r="M88" s="1831"/>
      <c r="N88" s="1831"/>
      <c r="O88" s="1831"/>
      <c r="P88" s="1831"/>
      <c r="Q88" s="1832"/>
      <c r="U88" s="162"/>
      <c r="V88" s="162"/>
      <c r="W88" s="162"/>
      <c r="X88" s="162"/>
      <c r="Y88" s="162"/>
      <c r="Z88" s="162"/>
      <c r="AA88" s="162"/>
      <c r="AB88" s="162"/>
      <c r="AC88" s="162"/>
      <c r="AD88" s="162"/>
      <c r="AE88" s="596"/>
    </row>
    <row r="89" spans="1:31" ht="11.25" customHeight="1">
      <c r="B89" s="163" t="s">
        <v>1988</v>
      </c>
      <c r="C89" s="164"/>
      <c r="D89" s="1176"/>
      <c r="E89" s="1176"/>
      <c r="F89" s="1176"/>
      <c r="G89" s="1176"/>
      <c r="H89" s="1176"/>
      <c r="I89" s="1176"/>
      <c r="J89" s="1176"/>
      <c r="K89" s="1176"/>
      <c r="L89" s="1176"/>
      <c r="M89" s="1176"/>
      <c r="N89" s="1176"/>
      <c r="O89" s="1176"/>
      <c r="P89" s="1176"/>
      <c r="Q89" s="1176"/>
    </row>
    <row r="90" spans="1:31" ht="22.9" customHeight="1">
      <c r="A90" s="1833"/>
      <c r="B90" s="1834"/>
      <c r="C90" s="1834"/>
      <c r="D90" s="1834"/>
      <c r="E90" s="1834"/>
      <c r="F90" s="1834"/>
      <c r="G90" s="1834"/>
      <c r="H90" s="1834"/>
      <c r="I90" s="1834"/>
      <c r="J90" s="1834"/>
      <c r="K90" s="1834"/>
      <c r="L90" s="1834"/>
      <c r="M90" s="1834"/>
      <c r="N90" s="1834"/>
      <c r="O90" s="1834"/>
      <c r="P90" s="1834"/>
      <c r="Q90" s="1835"/>
    </row>
    <row r="91" spans="1:31" ht="13.9" customHeight="1">
      <c r="A91" s="1178">
        <v>6</v>
      </c>
      <c r="B91" s="1178" t="s">
        <v>2842</v>
      </c>
      <c r="C91" s="1178"/>
      <c r="D91" s="1176"/>
      <c r="E91" s="1176"/>
      <c r="F91" s="1176"/>
      <c r="G91" s="1176"/>
      <c r="H91" s="1176"/>
      <c r="I91" s="1176"/>
      <c r="J91" s="1176"/>
      <c r="K91" s="1176"/>
      <c r="L91" s="1176"/>
      <c r="M91" s="1176"/>
      <c r="O91" s="157" t="s">
        <v>1989</v>
      </c>
      <c r="P91" s="1828"/>
      <c r="Q91" s="1829"/>
    </row>
    <row r="92" spans="1:31" ht="3" customHeight="1"/>
    <row r="93" spans="1:31" ht="12" customHeight="1">
      <c r="B93" s="55" t="s">
        <v>2110</v>
      </c>
      <c r="C93" s="62" t="s">
        <v>520</v>
      </c>
      <c r="D93" s="62"/>
      <c r="E93" s="62"/>
      <c r="F93" s="62"/>
      <c r="G93" s="62"/>
      <c r="H93" s="62"/>
      <c r="I93" s="62"/>
      <c r="J93" s="62"/>
      <c r="K93" s="62"/>
      <c r="L93" s="62"/>
      <c r="M93" s="62"/>
      <c r="O93" s="594" t="s">
        <v>2110</v>
      </c>
      <c r="P93" s="1080" t="s">
        <v>3425</v>
      </c>
      <c r="Q93" s="1287"/>
    </row>
    <row r="94" spans="1:31" ht="12" customHeight="1">
      <c r="B94" s="55" t="s">
        <v>2113</v>
      </c>
      <c r="C94" s="62" t="s">
        <v>1384</v>
      </c>
      <c r="D94" s="62"/>
      <c r="E94" s="62"/>
      <c r="F94" s="62"/>
      <c r="G94" s="62"/>
      <c r="H94" s="62"/>
      <c r="I94" s="62"/>
      <c r="J94" s="62"/>
      <c r="K94" s="62"/>
      <c r="L94" s="38"/>
      <c r="M94" s="38"/>
      <c r="O94" s="594" t="s">
        <v>2113</v>
      </c>
      <c r="P94" s="1080" t="s">
        <v>3425</v>
      </c>
      <c r="Q94" s="1287"/>
    </row>
    <row r="95" spans="1:31" ht="12" customHeight="1">
      <c r="A95" s="158"/>
      <c r="B95" s="44"/>
      <c r="D95" s="47" t="s">
        <v>582</v>
      </c>
      <c r="E95" s="50"/>
      <c r="F95" s="50"/>
      <c r="G95" s="50"/>
      <c r="H95" s="50"/>
      <c r="I95" s="50"/>
      <c r="L95" s="78" t="s">
        <v>583</v>
      </c>
      <c r="M95" s="1822"/>
      <c r="N95" s="1823"/>
      <c r="O95" s="1823"/>
      <c r="P95" s="1884"/>
      <c r="Q95" s="1287"/>
    </row>
    <row r="96" spans="1:31" ht="22.9" customHeight="1">
      <c r="A96" s="170"/>
      <c r="B96" s="1186"/>
      <c r="C96" s="177" t="s">
        <v>1850</v>
      </c>
      <c r="D96" s="1790" t="s">
        <v>486</v>
      </c>
      <c r="E96" s="1890"/>
      <c r="F96" s="1890"/>
      <c r="G96" s="1890"/>
      <c r="H96" s="1890"/>
      <c r="I96" s="1890"/>
      <c r="J96" s="1890"/>
      <c r="K96" s="1890"/>
      <c r="L96" s="1890"/>
      <c r="M96" s="1890"/>
      <c r="N96" s="1890"/>
      <c r="O96" s="177" t="s">
        <v>1850</v>
      </c>
      <c r="P96" s="1080"/>
      <c r="Q96" s="1287"/>
    </row>
    <row r="97" spans="1:32" ht="12" customHeight="1">
      <c r="A97" s="170"/>
      <c r="B97" s="1186"/>
      <c r="C97" s="78" t="s">
        <v>1851</v>
      </c>
      <c r="D97" s="62" t="s">
        <v>3271</v>
      </c>
      <c r="E97" s="62"/>
      <c r="F97" s="62"/>
      <c r="G97" s="62"/>
      <c r="H97" s="62"/>
      <c r="I97" s="62"/>
      <c r="J97" s="62"/>
      <c r="K97" s="62"/>
      <c r="L97" s="62"/>
      <c r="M97" s="62"/>
      <c r="O97" s="78" t="s">
        <v>1851</v>
      </c>
      <c r="P97" s="1080"/>
      <c r="Q97" s="1287"/>
    </row>
    <row r="98" spans="1:32" ht="12" customHeight="1">
      <c r="A98" s="170"/>
      <c r="B98" s="1186"/>
      <c r="C98" s="177" t="s">
        <v>1852</v>
      </c>
      <c r="D98" s="62" t="s">
        <v>3270</v>
      </c>
      <c r="E98" s="62"/>
      <c r="F98" s="62"/>
      <c r="G98" s="62"/>
      <c r="H98" s="62"/>
      <c r="I98" s="62"/>
      <c r="J98" s="62"/>
      <c r="K98" s="62"/>
      <c r="L98" s="62"/>
      <c r="M98" s="62"/>
      <c r="O98" s="177" t="s">
        <v>1852</v>
      </c>
      <c r="P98" s="1091"/>
      <c r="Q98" s="1289"/>
    </row>
    <row r="99" spans="1:32" s="158" customFormat="1" ht="24.75" customHeight="1">
      <c r="A99" s="170"/>
      <c r="B99" s="546"/>
      <c r="C99" s="192" t="s">
        <v>2511</v>
      </c>
      <c r="D99" s="1825" t="s">
        <v>2906</v>
      </c>
      <c r="E99" s="1825"/>
      <c r="F99" s="1825"/>
      <c r="G99" s="1825"/>
      <c r="H99" s="1825"/>
      <c r="I99" s="1825"/>
      <c r="J99" s="1825"/>
      <c r="K99" s="1825"/>
      <c r="L99" s="1825"/>
      <c r="M99" s="1825"/>
      <c r="N99" s="1825"/>
      <c r="O99" s="192" t="s">
        <v>2511</v>
      </c>
      <c r="P99" s="1092"/>
      <c r="Q99" s="1290"/>
      <c r="AE99" s="597"/>
      <c r="AF99" s="597"/>
    </row>
    <row r="100" spans="1:32" ht="12" customHeight="1">
      <c r="B100" s="55" t="s">
        <v>793</v>
      </c>
      <c r="C100" s="62" t="s">
        <v>149</v>
      </c>
      <c r="D100" s="62"/>
      <c r="E100" s="62"/>
      <c r="F100" s="62"/>
      <c r="G100" s="62"/>
      <c r="H100" s="62"/>
      <c r="I100" s="62"/>
      <c r="J100" s="62"/>
      <c r="K100" s="62"/>
      <c r="L100" s="62"/>
      <c r="M100" s="62"/>
      <c r="O100" s="594" t="s">
        <v>793</v>
      </c>
      <c r="P100" s="1080" t="s">
        <v>3425</v>
      </c>
      <c r="Q100" s="1287"/>
    </row>
    <row r="101" spans="1:32" ht="12" customHeight="1">
      <c r="B101" s="55" t="s">
        <v>2245</v>
      </c>
      <c r="C101" s="62" t="s">
        <v>1515</v>
      </c>
      <c r="D101" s="62"/>
      <c r="E101" s="62"/>
      <c r="G101" s="62"/>
      <c r="I101" s="62"/>
      <c r="K101" s="62"/>
      <c r="L101" s="38"/>
      <c r="M101" s="38"/>
      <c r="N101" s="38"/>
      <c r="O101" s="38"/>
      <c r="P101" s="38"/>
      <c r="Q101" s="38"/>
    </row>
    <row r="102" spans="1:32" ht="12" customHeight="1">
      <c r="B102" s="55"/>
      <c r="C102" s="78" t="s">
        <v>1850</v>
      </c>
      <c r="D102" s="62" t="s">
        <v>1516</v>
      </c>
      <c r="E102" s="62"/>
      <c r="F102" s="62"/>
      <c r="G102" s="62"/>
      <c r="H102" s="62"/>
      <c r="I102" s="62"/>
      <c r="J102" s="62"/>
      <c r="K102" s="62"/>
      <c r="L102" s="38"/>
      <c r="M102" s="38"/>
      <c r="O102" s="78" t="s">
        <v>1850</v>
      </c>
      <c r="P102" s="1080" t="s">
        <v>3452</v>
      </c>
      <c r="Q102" s="1287"/>
    </row>
    <row r="103" spans="1:32" ht="12" customHeight="1">
      <c r="B103" s="55"/>
      <c r="C103" s="78" t="s">
        <v>1851</v>
      </c>
      <c r="D103" s="62" t="s">
        <v>1517</v>
      </c>
      <c r="E103" s="62"/>
      <c r="F103" s="62"/>
      <c r="G103" s="62"/>
      <c r="H103" s="62"/>
      <c r="I103" s="62"/>
      <c r="J103" s="62"/>
      <c r="K103" s="62"/>
      <c r="L103" s="38"/>
      <c r="M103" s="38"/>
      <c r="O103" s="78" t="s">
        <v>1851</v>
      </c>
      <c r="P103" s="1080" t="s">
        <v>3425</v>
      </c>
      <c r="Q103" s="1287"/>
    </row>
    <row r="104" spans="1:32" ht="12" customHeight="1">
      <c r="B104" s="55"/>
      <c r="C104" s="78" t="s">
        <v>1852</v>
      </c>
      <c r="D104" s="62" t="s">
        <v>1518</v>
      </c>
      <c r="E104" s="62"/>
      <c r="F104" s="62"/>
      <c r="G104" s="62"/>
      <c r="H104" s="62"/>
      <c r="I104" s="62"/>
      <c r="J104" s="62"/>
      <c r="K104" s="62"/>
      <c r="L104" s="38"/>
      <c r="M104" s="38"/>
      <c r="O104" s="78" t="s">
        <v>1852</v>
      </c>
      <c r="P104" s="1080" t="s">
        <v>3425</v>
      </c>
      <c r="Q104" s="1287"/>
    </row>
    <row r="105" spans="1:32" ht="11.25" customHeight="1">
      <c r="B105" s="167" t="s">
        <v>1987</v>
      </c>
      <c r="D105" s="167"/>
      <c r="E105" s="167"/>
      <c r="F105" s="167"/>
      <c r="G105" s="167"/>
      <c r="H105" s="48"/>
      <c r="I105" s="1186"/>
      <c r="J105" s="1186"/>
      <c r="K105" s="1186"/>
      <c r="L105" s="1169"/>
      <c r="M105" s="1169"/>
      <c r="N105" s="1169"/>
      <c r="O105" s="1169"/>
      <c r="P105" s="1169"/>
      <c r="Q105" s="60"/>
    </row>
    <row r="106" spans="1:32" ht="13.15" customHeight="1">
      <c r="A106" s="1830" t="s">
        <v>3549</v>
      </c>
      <c r="B106" s="1831"/>
      <c r="C106" s="1831"/>
      <c r="D106" s="1831"/>
      <c r="E106" s="1831"/>
      <c r="F106" s="1831"/>
      <c r="G106" s="1831"/>
      <c r="H106" s="1831"/>
      <c r="I106" s="1831"/>
      <c r="J106" s="1831"/>
      <c r="K106" s="1831"/>
      <c r="L106" s="1831"/>
      <c r="M106" s="1831"/>
      <c r="N106" s="1831"/>
      <c r="O106" s="1831"/>
      <c r="P106" s="1831"/>
      <c r="Q106" s="1832"/>
      <c r="U106" s="162"/>
      <c r="V106" s="162"/>
      <c r="W106" s="162"/>
      <c r="X106" s="162"/>
      <c r="Y106" s="162"/>
      <c r="Z106" s="162"/>
      <c r="AA106" s="162"/>
      <c r="AB106" s="162"/>
      <c r="AC106" s="162"/>
      <c r="AD106" s="162"/>
      <c r="AE106" s="596"/>
    </row>
    <row r="107" spans="1:32" ht="11.25" customHeight="1">
      <c r="B107" s="163" t="s">
        <v>1988</v>
      </c>
      <c r="C107" s="164"/>
      <c r="D107" s="1176"/>
      <c r="E107" s="1176"/>
      <c r="F107" s="1176"/>
      <c r="G107" s="1176"/>
      <c r="H107" s="1176"/>
      <c r="I107" s="1176"/>
      <c r="J107" s="1176"/>
      <c r="K107" s="1176"/>
      <c r="L107" s="1176"/>
      <c r="M107" s="1176"/>
      <c r="N107" s="1176"/>
      <c r="O107" s="1176"/>
      <c r="P107" s="1176"/>
      <c r="Q107" s="1176"/>
    </row>
    <row r="108" spans="1:32" ht="13.15" customHeight="1">
      <c r="A108" s="1833"/>
      <c r="B108" s="1834"/>
      <c r="C108" s="1834"/>
      <c r="D108" s="1834"/>
      <c r="E108" s="1834"/>
      <c r="F108" s="1834"/>
      <c r="G108" s="1834"/>
      <c r="H108" s="1834"/>
      <c r="I108" s="1834"/>
      <c r="J108" s="1834"/>
      <c r="K108" s="1834"/>
      <c r="L108" s="1834"/>
      <c r="M108" s="1834"/>
      <c r="N108" s="1834"/>
      <c r="O108" s="1834"/>
      <c r="P108" s="1834"/>
      <c r="Q108" s="1835"/>
    </row>
    <row r="109" spans="1:32" ht="4.9000000000000004" customHeight="1">
      <c r="A109" s="1169"/>
      <c r="B109" s="1186"/>
      <c r="C109" s="1176"/>
      <c r="D109" s="1176"/>
      <c r="E109" s="1176"/>
      <c r="F109" s="1176"/>
      <c r="G109" s="1176"/>
      <c r="H109" s="1176"/>
      <c r="I109" s="1176"/>
      <c r="J109" s="1176"/>
      <c r="K109" s="1176"/>
      <c r="L109" s="1176"/>
      <c r="M109" s="1176"/>
      <c r="N109" s="1176"/>
      <c r="O109" s="1176"/>
      <c r="P109" s="1176"/>
      <c r="Q109" s="1169"/>
    </row>
    <row r="110" spans="1:32" ht="13.9" customHeight="1">
      <c r="A110" s="1178">
        <v>7</v>
      </c>
      <c r="B110" s="1178" t="s">
        <v>2843</v>
      </c>
      <c r="C110" s="48"/>
      <c r="D110" s="1176"/>
      <c r="E110" s="1176"/>
      <c r="F110" s="1176"/>
      <c r="G110" s="1176"/>
      <c r="H110" s="1176"/>
      <c r="I110" s="1176"/>
      <c r="J110" s="1176"/>
      <c r="K110" s="1176"/>
      <c r="L110" s="1176"/>
      <c r="M110" s="1176"/>
      <c r="O110" s="157" t="s">
        <v>1989</v>
      </c>
      <c r="P110" s="1828"/>
      <c r="Q110" s="1829"/>
    </row>
    <row r="111" spans="1:32" ht="6.6" customHeight="1"/>
    <row r="112" spans="1:32" ht="12" customHeight="1">
      <c r="B112" s="55" t="s">
        <v>2110</v>
      </c>
      <c r="C112" s="62" t="s">
        <v>2904</v>
      </c>
      <c r="D112" s="159"/>
      <c r="E112" s="159"/>
      <c r="F112" s="159"/>
      <c r="G112" s="159"/>
      <c r="H112" s="159"/>
      <c r="I112" s="50"/>
      <c r="J112" s="50"/>
      <c r="K112" s="50"/>
      <c r="L112" s="594" t="s">
        <v>2110</v>
      </c>
      <c r="M112" s="1836" t="s">
        <v>3513</v>
      </c>
      <c r="N112" s="1837"/>
      <c r="O112" s="1837"/>
      <c r="P112" s="1838"/>
      <c r="Q112" s="1287"/>
    </row>
    <row r="113" spans="2:17" ht="12" customHeight="1">
      <c r="B113" s="55" t="s">
        <v>2113</v>
      </c>
      <c r="C113" s="62" t="s">
        <v>1637</v>
      </c>
      <c r="D113" s="159"/>
      <c r="E113" s="159"/>
      <c r="F113" s="159"/>
      <c r="G113" s="159"/>
      <c r="H113" s="159"/>
      <c r="I113" s="50"/>
      <c r="J113" s="50"/>
      <c r="K113" s="159"/>
      <c r="L113" s="159"/>
      <c r="M113" s="1174"/>
      <c r="O113" s="594" t="s">
        <v>2113</v>
      </c>
      <c r="P113" s="1080" t="s">
        <v>3425</v>
      </c>
      <c r="Q113" s="1288"/>
    </row>
    <row r="114" spans="2:17" ht="12" customHeight="1">
      <c r="B114" s="55" t="s">
        <v>793</v>
      </c>
      <c r="C114" s="62" t="s">
        <v>157</v>
      </c>
      <c r="D114" s="159"/>
      <c r="E114" s="159"/>
      <c r="F114" s="159"/>
      <c r="G114" s="159"/>
      <c r="H114" s="159"/>
      <c r="I114" s="50"/>
      <c r="J114" s="50"/>
      <c r="K114" s="159"/>
      <c r="L114" s="1174"/>
      <c r="M114" s="1174"/>
      <c r="O114" s="594" t="s">
        <v>793</v>
      </c>
      <c r="P114" s="1080" t="s">
        <v>3452</v>
      </c>
      <c r="Q114" s="1287"/>
    </row>
    <row r="115" spans="2:17" ht="12" customHeight="1">
      <c r="B115" s="55"/>
      <c r="C115" s="77" t="s">
        <v>1850</v>
      </c>
      <c r="D115" s="62" t="s">
        <v>2905</v>
      </c>
      <c r="E115" s="159"/>
      <c r="F115" s="159"/>
      <c r="G115" s="159"/>
      <c r="H115" s="159"/>
      <c r="I115" s="50"/>
      <c r="J115" s="50"/>
      <c r="K115" s="159"/>
      <c r="L115" s="78" t="s">
        <v>1850</v>
      </c>
      <c r="M115" s="1836" t="s">
        <v>3514</v>
      </c>
      <c r="N115" s="1837"/>
      <c r="O115" s="1837"/>
      <c r="P115" s="1838"/>
      <c r="Q115" s="1288"/>
    </row>
    <row r="116" spans="2:17" ht="12" customHeight="1">
      <c r="B116" s="165"/>
      <c r="C116" s="78" t="s">
        <v>1851</v>
      </c>
      <c r="D116" s="44" t="s">
        <v>2777</v>
      </c>
      <c r="E116" s="50"/>
      <c r="F116" s="50"/>
      <c r="G116" s="50"/>
      <c r="H116" s="62"/>
      <c r="I116" s="50"/>
      <c r="J116" s="50"/>
      <c r="K116" s="159"/>
      <c r="L116" s="1174"/>
      <c r="M116" s="1174"/>
      <c r="O116" s="594" t="s">
        <v>1851</v>
      </c>
      <c r="P116" s="1090">
        <v>64.900000000000006</v>
      </c>
      <c r="Q116" s="1288"/>
    </row>
    <row r="117" spans="2:17" ht="12" customHeight="1">
      <c r="B117" s="165"/>
      <c r="C117" s="594" t="s">
        <v>1852</v>
      </c>
      <c r="D117" s="62" t="s">
        <v>1465</v>
      </c>
      <c r="E117" s="50"/>
      <c r="F117" s="50"/>
      <c r="G117" s="50"/>
      <c r="H117" s="62"/>
      <c r="I117" s="50"/>
      <c r="J117" s="50"/>
      <c r="K117" s="159"/>
      <c r="L117" s="1174"/>
      <c r="M117" s="1174"/>
      <c r="N117" s="1174"/>
      <c r="O117" s="1174"/>
    </row>
    <row r="118" spans="2:17" ht="11.45" customHeight="1">
      <c r="B118" s="1169"/>
      <c r="C118" s="78"/>
      <c r="D118" s="1892" t="s">
        <v>3515</v>
      </c>
      <c r="E118" s="1893"/>
      <c r="F118" s="1893"/>
      <c r="G118" s="1893"/>
      <c r="H118" s="1893"/>
      <c r="I118" s="1893"/>
      <c r="J118" s="1893"/>
      <c r="K118" s="1893"/>
      <c r="L118" s="1893"/>
      <c r="M118" s="1893"/>
      <c r="N118" s="1893"/>
      <c r="O118" s="1893"/>
      <c r="P118" s="1893"/>
      <c r="Q118" s="1894"/>
    </row>
    <row r="119" spans="2:17" ht="12" customHeight="1">
      <c r="B119" s="55" t="s">
        <v>2245</v>
      </c>
      <c r="C119" s="62" t="s">
        <v>1334</v>
      </c>
      <c r="D119" s="159"/>
      <c r="E119" s="159"/>
      <c r="F119" s="159"/>
      <c r="G119" s="159"/>
      <c r="H119" s="159"/>
      <c r="I119" s="50"/>
      <c r="J119" s="50"/>
      <c r="K119" s="159"/>
      <c r="L119" s="1174"/>
      <c r="M119" s="1174"/>
      <c r="N119" s="1174"/>
      <c r="O119" s="594" t="s">
        <v>2245</v>
      </c>
    </row>
    <row r="120" spans="2:17" ht="12" customHeight="1">
      <c r="B120" s="55"/>
      <c r="C120" s="78" t="s">
        <v>1850</v>
      </c>
      <c r="D120" s="62" t="s">
        <v>155</v>
      </c>
      <c r="E120" s="159"/>
      <c r="F120" s="159"/>
      <c r="G120" s="159"/>
      <c r="H120" s="159"/>
      <c r="I120" s="50"/>
      <c r="J120" s="50"/>
      <c r="K120" s="159"/>
      <c r="L120" s="1174"/>
      <c r="M120" s="1174"/>
      <c r="O120" s="78" t="s">
        <v>1850</v>
      </c>
      <c r="P120" s="1080" t="s">
        <v>3425</v>
      </c>
      <c r="Q120" s="1287"/>
    </row>
    <row r="121" spans="2:17" ht="12" customHeight="1">
      <c r="B121" s="55"/>
      <c r="C121" s="78" t="s">
        <v>1851</v>
      </c>
      <c r="D121" s="62" t="s">
        <v>1335</v>
      </c>
      <c r="E121" s="159"/>
      <c r="F121" s="159"/>
      <c r="G121" s="159"/>
      <c r="H121" s="50"/>
      <c r="I121" s="50"/>
      <c r="J121" s="50"/>
      <c r="K121" s="159"/>
      <c r="L121" s="1174"/>
      <c r="M121" s="1174"/>
      <c r="O121" s="78" t="s">
        <v>1851</v>
      </c>
      <c r="P121" s="1090" t="s">
        <v>3425</v>
      </c>
      <c r="Q121" s="1288"/>
    </row>
    <row r="122" spans="2:17" ht="12" customHeight="1">
      <c r="B122" s="55"/>
      <c r="C122" s="78"/>
      <c r="D122" s="62" t="s">
        <v>2818</v>
      </c>
      <c r="E122" s="557" t="s">
        <v>2590</v>
      </c>
      <c r="F122" s="62" t="s">
        <v>2819</v>
      </c>
      <c r="G122" s="50"/>
      <c r="H122" s="62"/>
      <c r="I122" s="50"/>
      <c r="J122" s="50"/>
      <c r="K122" s="159"/>
      <c r="L122" s="1174"/>
      <c r="M122" s="1174"/>
      <c r="O122" s="557" t="s">
        <v>2590</v>
      </c>
      <c r="P122" s="1093"/>
      <c r="Q122" s="1291"/>
    </row>
    <row r="123" spans="2:17" ht="12" customHeight="1">
      <c r="B123" s="55"/>
      <c r="C123" s="78"/>
      <c r="E123" s="557" t="s">
        <v>2591</v>
      </c>
      <c r="F123" s="62" t="s">
        <v>2820</v>
      </c>
      <c r="G123" s="50"/>
      <c r="H123" s="62"/>
      <c r="I123" s="50"/>
      <c r="J123" s="50"/>
      <c r="K123" s="159"/>
      <c r="L123" s="1174"/>
      <c r="M123" s="1174"/>
      <c r="O123" s="557" t="s">
        <v>2591</v>
      </c>
      <c r="P123" s="1090"/>
      <c r="Q123" s="1288"/>
    </row>
    <row r="124" spans="2:17" ht="12" customHeight="1">
      <c r="B124" s="55"/>
      <c r="C124" s="78"/>
      <c r="E124" s="557" t="s">
        <v>2592</v>
      </c>
      <c r="F124" s="62" t="s">
        <v>2821</v>
      </c>
      <c r="G124" s="50"/>
      <c r="H124" s="62"/>
      <c r="I124" s="50"/>
      <c r="J124" s="50"/>
      <c r="K124" s="159"/>
      <c r="L124" s="1174"/>
      <c r="M124" s="1174"/>
      <c r="O124" s="557" t="s">
        <v>2592</v>
      </c>
      <c r="P124" s="1090"/>
      <c r="Q124" s="1288"/>
    </row>
    <row r="125" spans="2:17" ht="12" customHeight="1">
      <c r="B125" s="55"/>
      <c r="C125" s="78" t="s">
        <v>1852</v>
      </c>
      <c r="D125" s="62" t="s">
        <v>1336</v>
      </c>
      <c r="E125" s="159"/>
      <c r="F125" s="159"/>
      <c r="G125" s="159"/>
      <c r="H125" s="62"/>
      <c r="I125" s="50"/>
      <c r="J125" s="50"/>
      <c r="K125" s="159"/>
      <c r="L125" s="1174"/>
      <c r="M125" s="1174"/>
      <c r="O125" s="78" t="s">
        <v>1852</v>
      </c>
      <c r="P125" s="1080" t="s">
        <v>3452</v>
      </c>
      <c r="Q125" s="1287"/>
    </row>
    <row r="126" spans="2:17" ht="12" customHeight="1">
      <c r="B126" s="55"/>
      <c r="C126" s="78"/>
      <c r="D126" s="62" t="s">
        <v>2818</v>
      </c>
      <c r="E126" s="557" t="s">
        <v>2590</v>
      </c>
      <c r="F126" s="62" t="s">
        <v>2822</v>
      </c>
      <c r="G126" s="50"/>
      <c r="H126" s="62"/>
      <c r="I126" s="50"/>
      <c r="J126" s="50"/>
      <c r="K126" s="159"/>
      <c r="L126" s="1174"/>
      <c r="O126" s="557" t="s">
        <v>2590</v>
      </c>
      <c r="P126" s="1093">
        <v>1.1690000000000001E-2</v>
      </c>
      <c r="Q126" s="1292"/>
    </row>
    <row r="127" spans="2:17" ht="12" customHeight="1">
      <c r="B127" s="55"/>
      <c r="C127" s="78"/>
      <c r="E127" s="557" t="s">
        <v>2591</v>
      </c>
      <c r="F127" s="62" t="s">
        <v>2823</v>
      </c>
      <c r="G127" s="50"/>
      <c r="H127" s="62"/>
      <c r="I127" s="50"/>
      <c r="J127" s="50"/>
      <c r="O127" s="557" t="s">
        <v>2591</v>
      </c>
      <c r="P127" s="1090" t="s">
        <v>3425</v>
      </c>
      <c r="Q127" s="1288"/>
    </row>
    <row r="128" spans="2:17" ht="12" customHeight="1">
      <c r="B128" s="55"/>
      <c r="C128" s="78"/>
      <c r="E128" s="557" t="s">
        <v>2592</v>
      </c>
      <c r="F128" s="62" t="s">
        <v>2821</v>
      </c>
      <c r="G128" s="50"/>
      <c r="H128" s="62"/>
      <c r="I128" s="50"/>
      <c r="J128" s="50"/>
      <c r="O128" s="557" t="s">
        <v>2592</v>
      </c>
      <c r="P128" s="1090" t="s">
        <v>3452</v>
      </c>
      <c r="Q128" s="1288"/>
    </row>
    <row r="129" spans="1:31" ht="12" customHeight="1">
      <c r="B129" s="44"/>
      <c r="C129" s="78" t="s">
        <v>2511</v>
      </c>
      <c r="D129" s="62" t="s">
        <v>2824</v>
      </c>
      <c r="E129" s="159"/>
      <c r="F129" s="159"/>
      <c r="G129" s="159"/>
      <c r="H129" s="159"/>
      <c r="I129" s="50"/>
      <c r="J129" s="50"/>
      <c r="O129" s="78" t="s">
        <v>2511</v>
      </c>
      <c r="P129" s="1080" t="s">
        <v>3452</v>
      </c>
      <c r="Q129" s="1287"/>
    </row>
    <row r="130" spans="1:31" ht="12" customHeight="1">
      <c r="B130" s="55" t="s">
        <v>1848</v>
      </c>
      <c r="C130" s="172" t="s">
        <v>2569</v>
      </c>
      <c r="D130" s="159"/>
      <c r="E130" s="159"/>
      <c r="F130" s="159"/>
      <c r="G130" s="159"/>
      <c r="H130" s="159"/>
      <c r="I130" s="50"/>
      <c r="J130" s="50"/>
      <c r="K130" s="159"/>
      <c r="L130" s="1174"/>
      <c r="M130" s="1174"/>
      <c r="N130" s="1174"/>
      <c r="O130" s="1174"/>
      <c r="P130" s="1174"/>
      <c r="Q130" s="1174"/>
    </row>
    <row r="131" spans="1:31" ht="12" customHeight="1">
      <c r="C131" s="78" t="s">
        <v>1850</v>
      </c>
      <c r="D131" s="62" t="s">
        <v>2654</v>
      </c>
      <c r="E131" s="159"/>
      <c r="F131" s="1094" t="s">
        <v>3425</v>
      </c>
      <c r="G131" s="1293"/>
      <c r="H131" s="78" t="s">
        <v>1648</v>
      </c>
      <c r="I131" s="65" t="s">
        <v>2826</v>
      </c>
      <c r="L131" s="1094" t="s">
        <v>3425</v>
      </c>
      <c r="M131" s="1293"/>
      <c r="N131" s="594" t="s">
        <v>540</v>
      </c>
      <c r="O131" s="62" t="s">
        <v>1651</v>
      </c>
      <c r="P131" s="1094" t="s">
        <v>3425</v>
      </c>
      <c r="Q131" s="1293"/>
    </row>
    <row r="132" spans="1:31" ht="12" customHeight="1">
      <c r="B132" s="44"/>
      <c r="C132" s="78" t="s">
        <v>1851</v>
      </c>
      <c r="D132" s="62" t="s">
        <v>3085</v>
      </c>
      <c r="E132" s="159"/>
      <c r="F132" s="1095" t="s">
        <v>3425</v>
      </c>
      <c r="G132" s="1294"/>
      <c r="H132" s="78" t="s">
        <v>1649</v>
      </c>
      <c r="I132" s="65" t="s">
        <v>2827</v>
      </c>
      <c r="L132" s="1095" t="s">
        <v>3425</v>
      </c>
      <c r="M132" s="1294"/>
      <c r="N132" s="594" t="s">
        <v>541</v>
      </c>
      <c r="O132" s="62" t="s">
        <v>1650</v>
      </c>
      <c r="P132" s="1095" t="s">
        <v>3425</v>
      </c>
      <c r="Q132" s="1294"/>
    </row>
    <row r="133" spans="1:31" ht="12" customHeight="1">
      <c r="B133" s="44"/>
      <c r="C133" s="78" t="s">
        <v>1852</v>
      </c>
      <c r="D133" s="62" t="s">
        <v>2825</v>
      </c>
      <c r="E133" s="159"/>
      <c r="F133" s="1095" t="s">
        <v>3425</v>
      </c>
      <c r="G133" s="1294"/>
      <c r="H133" s="594" t="s">
        <v>101</v>
      </c>
      <c r="I133" s="65" t="s">
        <v>3086</v>
      </c>
      <c r="L133" s="1095" t="s">
        <v>3425</v>
      </c>
      <c r="M133" s="1294"/>
      <c r="N133" s="594" t="s">
        <v>3088</v>
      </c>
      <c r="O133" s="62" t="s">
        <v>1652</v>
      </c>
      <c r="P133" s="1096" t="s">
        <v>3425</v>
      </c>
      <c r="Q133" s="1295"/>
    </row>
    <row r="134" spans="1:31" ht="12" customHeight="1">
      <c r="B134" s="44"/>
      <c r="C134" s="78" t="s">
        <v>2511</v>
      </c>
      <c r="D134" s="62" t="s">
        <v>3089</v>
      </c>
      <c r="E134" s="159"/>
      <c r="F134" s="1096" t="s">
        <v>3425</v>
      </c>
      <c r="G134" s="1295"/>
      <c r="H134" s="594" t="s">
        <v>539</v>
      </c>
      <c r="I134" s="62" t="s">
        <v>3084</v>
      </c>
      <c r="L134" s="1096" t="s">
        <v>3425</v>
      </c>
      <c r="M134" s="1295"/>
      <c r="O134" s="78"/>
    </row>
    <row r="135" spans="1:31" ht="12" customHeight="1">
      <c r="B135" s="44"/>
      <c r="C135" s="594" t="s">
        <v>3307</v>
      </c>
      <c r="D135" s="62" t="s">
        <v>3087</v>
      </c>
      <c r="E135" s="159"/>
      <c r="F135" s="159"/>
      <c r="G135" s="159"/>
      <c r="H135" s="159"/>
      <c r="I135" s="159"/>
      <c r="J135" s="159"/>
      <c r="K135" s="159"/>
      <c r="L135" s="159"/>
      <c r="M135" s="62"/>
      <c r="O135" s="78"/>
      <c r="P135" s="78"/>
    </row>
    <row r="136" spans="1:31" ht="12" customHeight="1">
      <c r="B136" s="44"/>
      <c r="D136" s="1822"/>
      <c r="E136" s="1823"/>
      <c r="F136" s="1823"/>
      <c r="G136" s="1823"/>
      <c r="H136" s="1823"/>
      <c r="I136" s="1823"/>
      <c r="J136" s="1823"/>
      <c r="K136" s="1823"/>
      <c r="L136" s="1823"/>
      <c r="M136" s="1823"/>
      <c r="N136" s="1823"/>
      <c r="O136" s="1823"/>
      <c r="P136" s="1824"/>
      <c r="Q136" s="1287"/>
    </row>
    <row r="137" spans="1:31" ht="12" customHeight="1">
      <c r="B137" s="55" t="s">
        <v>1849</v>
      </c>
      <c r="C137" s="62" t="s">
        <v>1364</v>
      </c>
      <c r="D137" s="159"/>
      <c r="E137" s="159"/>
      <c r="F137" s="159"/>
      <c r="G137" s="159"/>
      <c r="H137" s="159"/>
      <c r="I137" s="50"/>
      <c r="J137" s="50"/>
      <c r="K137" s="159"/>
      <c r="L137" s="159"/>
      <c r="M137" s="1174"/>
      <c r="O137" s="594" t="s">
        <v>1849</v>
      </c>
      <c r="P137" s="1090" t="s">
        <v>1023</v>
      </c>
      <c r="Q137" s="1287"/>
    </row>
    <row r="138" spans="1:31" ht="12" customHeight="1">
      <c r="A138" s="170"/>
      <c r="B138" s="50"/>
      <c r="C138" s="78" t="s">
        <v>1850</v>
      </c>
      <c r="D138" s="62" t="s">
        <v>3090</v>
      </c>
      <c r="E138" s="159"/>
      <c r="F138" s="159"/>
      <c r="G138" s="159"/>
      <c r="H138" s="159"/>
      <c r="O138" s="78" t="s">
        <v>1850</v>
      </c>
      <c r="P138" s="1080"/>
      <c r="Q138" s="1287"/>
    </row>
    <row r="139" spans="1:31" ht="12" customHeight="1">
      <c r="A139" s="170"/>
      <c r="B139" s="1186"/>
      <c r="C139" s="78" t="s">
        <v>1851</v>
      </c>
      <c r="D139" s="62" t="s">
        <v>517</v>
      </c>
      <c r="E139" s="62"/>
      <c r="F139" s="62"/>
      <c r="G139" s="62"/>
      <c r="H139" s="62"/>
      <c r="I139" s="50"/>
      <c r="J139" s="50"/>
      <c r="K139" s="62"/>
      <c r="L139" s="62"/>
      <c r="M139" s="62"/>
      <c r="O139" s="78" t="s">
        <v>1851</v>
      </c>
      <c r="P139" s="1080"/>
      <c r="Q139" s="1287"/>
    </row>
    <row r="140" spans="1:31" ht="12" customHeight="1">
      <c r="A140" s="170"/>
      <c r="B140" s="1186"/>
      <c r="C140" s="78" t="s">
        <v>1852</v>
      </c>
      <c r="D140" s="62" t="s">
        <v>721</v>
      </c>
      <c r="E140" s="62"/>
      <c r="F140" s="62"/>
      <c r="G140" s="62"/>
      <c r="H140" s="62"/>
      <c r="I140" s="50"/>
      <c r="J140" s="50"/>
      <c r="K140" s="62"/>
      <c r="L140" s="62"/>
      <c r="M140" s="62"/>
      <c r="O140" s="78" t="s">
        <v>1852</v>
      </c>
      <c r="P140" s="1080"/>
      <c r="Q140" s="1287"/>
    </row>
    <row r="141" spans="1:31" ht="12" customHeight="1">
      <c r="B141" s="55" t="s">
        <v>2073</v>
      </c>
      <c r="C141" s="62" t="s">
        <v>1867</v>
      </c>
      <c r="D141" s="159"/>
      <c r="E141" s="159"/>
      <c r="F141" s="159"/>
      <c r="G141" s="159"/>
      <c r="H141" s="159"/>
      <c r="I141" s="50"/>
      <c r="J141" s="50"/>
      <c r="K141" s="159"/>
      <c r="L141" s="159"/>
      <c r="M141" s="1174"/>
      <c r="O141" s="594" t="s">
        <v>2073</v>
      </c>
      <c r="P141" s="1080" t="s">
        <v>1023</v>
      </c>
      <c r="Q141" s="1287"/>
    </row>
    <row r="142" spans="1:31" ht="4.9000000000000004" customHeight="1"/>
    <row r="143" spans="1:31" ht="11.25" customHeight="1">
      <c r="B143" s="167" t="s">
        <v>1987</v>
      </c>
      <c r="D143" s="167"/>
      <c r="E143" s="167"/>
      <c r="F143" s="167"/>
      <c r="G143" s="167"/>
      <c r="H143" s="48"/>
      <c r="I143" s="1186"/>
      <c r="J143" s="1186"/>
      <c r="K143" s="1186"/>
      <c r="L143" s="1169"/>
      <c r="M143" s="1169"/>
      <c r="N143" s="1169"/>
      <c r="O143" s="1169"/>
      <c r="P143" s="1169"/>
      <c r="Q143" s="60"/>
    </row>
    <row r="144" spans="1:31" ht="12" customHeight="1">
      <c r="A144" s="1830" t="s">
        <v>3528</v>
      </c>
      <c r="B144" s="1831"/>
      <c r="C144" s="1831"/>
      <c r="D144" s="1831"/>
      <c r="E144" s="1831"/>
      <c r="F144" s="1831"/>
      <c r="G144" s="1831"/>
      <c r="H144" s="1831"/>
      <c r="I144" s="1831"/>
      <c r="J144" s="1831"/>
      <c r="K144" s="1831"/>
      <c r="L144" s="1831"/>
      <c r="M144" s="1831"/>
      <c r="N144" s="1831"/>
      <c r="O144" s="1831"/>
      <c r="P144" s="1831"/>
      <c r="Q144" s="1832"/>
      <c r="R144" s="562" t="s">
        <v>1326</v>
      </c>
      <c r="S144" s="563"/>
      <c r="U144" s="162"/>
      <c r="V144" s="162"/>
      <c r="W144" s="162"/>
      <c r="X144" s="162"/>
      <c r="Y144" s="162"/>
      <c r="Z144" s="162"/>
      <c r="AA144" s="162"/>
      <c r="AB144" s="162"/>
      <c r="AC144" s="162"/>
      <c r="AD144" s="162"/>
      <c r="AE144" s="596"/>
    </row>
    <row r="145" spans="1:31" ht="11.25" customHeight="1">
      <c r="B145" s="163" t="s">
        <v>1988</v>
      </c>
      <c r="C145" s="164"/>
      <c r="D145" s="1176"/>
      <c r="E145" s="1176"/>
      <c r="F145" s="1176"/>
      <c r="G145" s="1176"/>
      <c r="H145" s="1176"/>
      <c r="I145" s="1176"/>
      <c r="J145" s="1176"/>
      <c r="K145" s="1176"/>
      <c r="L145" s="1176"/>
      <c r="M145" s="1176"/>
      <c r="N145" s="1176"/>
      <c r="O145" s="1176"/>
      <c r="P145" s="1176"/>
      <c r="Q145" s="1176"/>
    </row>
    <row r="146" spans="1:31" ht="12" customHeight="1">
      <c r="A146" s="1833"/>
      <c r="B146" s="1834"/>
      <c r="C146" s="1834"/>
      <c r="D146" s="1834"/>
      <c r="E146" s="1834"/>
      <c r="F146" s="1834"/>
      <c r="G146" s="1834"/>
      <c r="H146" s="1834"/>
      <c r="I146" s="1834"/>
      <c r="J146" s="1834"/>
      <c r="K146" s="1834"/>
      <c r="L146" s="1834"/>
      <c r="M146" s="1834"/>
      <c r="N146" s="1834"/>
      <c r="O146" s="1834"/>
      <c r="P146" s="1834"/>
      <c r="Q146" s="1835"/>
      <c r="R146" s="562" t="s">
        <v>1326</v>
      </c>
      <c r="S146" s="563"/>
    </row>
    <row r="147" spans="1:31" ht="8.4499999999999993" customHeight="1">
      <c r="A147" s="1169"/>
      <c r="B147" s="1186"/>
      <c r="C147" s="1176"/>
      <c r="D147" s="1176"/>
      <c r="E147" s="1176"/>
      <c r="F147" s="1176"/>
      <c r="G147" s="1176"/>
      <c r="H147" s="1176"/>
      <c r="I147" s="1176"/>
      <c r="J147" s="1176"/>
      <c r="K147" s="1176"/>
      <c r="L147" s="1176"/>
      <c r="M147" s="1176"/>
      <c r="N147" s="1176"/>
      <c r="O147" s="1176"/>
      <c r="P147" s="1176"/>
      <c r="Q147" s="1169"/>
    </row>
    <row r="148" spans="1:31" ht="13.9" customHeight="1">
      <c r="A148" s="1178">
        <v>8</v>
      </c>
      <c r="B148" s="1178" t="s">
        <v>2844</v>
      </c>
      <c r="C148" s="1178"/>
      <c r="D148" s="1176"/>
      <c r="E148" s="1176"/>
      <c r="F148" s="1176"/>
      <c r="G148" s="1176"/>
      <c r="H148" s="1176"/>
      <c r="I148" s="1176"/>
      <c r="J148" s="1176"/>
      <c r="K148" s="1176"/>
      <c r="O148" s="157" t="s">
        <v>1989</v>
      </c>
      <c r="P148" s="1828"/>
      <c r="Q148" s="1829"/>
    </row>
    <row r="149" spans="1:31" ht="12" customHeight="1">
      <c r="B149" s="55" t="s">
        <v>2110</v>
      </c>
      <c r="C149" s="62" t="s">
        <v>3083</v>
      </c>
      <c r="D149" s="62"/>
      <c r="E149" s="62"/>
      <c r="F149" s="62"/>
      <c r="G149" s="62"/>
      <c r="I149" s="62" t="s">
        <v>2930</v>
      </c>
      <c r="K149" s="1954">
        <v>42108</v>
      </c>
      <c r="L149" s="1955"/>
      <c r="N149" s="62"/>
      <c r="O149" s="594" t="s">
        <v>2110</v>
      </c>
      <c r="P149" s="1080" t="s">
        <v>3452</v>
      </c>
      <c r="Q149" s="1287"/>
    </row>
    <row r="150" spans="1:31" ht="12" customHeight="1">
      <c r="A150" s="165"/>
      <c r="B150" s="55" t="s">
        <v>2113</v>
      </c>
      <c r="C150" s="166" t="s">
        <v>156</v>
      </c>
      <c r="D150" s="166"/>
      <c r="E150" s="166"/>
      <c r="F150" s="166"/>
      <c r="G150" s="166"/>
      <c r="H150" s="166"/>
      <c r="M150" s="594" t="s">
        <v>2113</v>
      </c>
      <c r="N150" s="1885" t="s">
        <v>3486</v>
      </c>
      <c r="O150" s="1886"/>
      <c r="P150" s="1897"/>
      <c r="Q150" s="1898"/>
    </row>
    <row r="151" spans="1:31" ht="12" customHeight="1">
      <c r="A151" s="165"/>
      <c r="B151" s="55" t="s">
        <v>793</v>
      </c>
      <c r="C151" s="166" t="s">
        <v>722</v>
      </c>
      <c r="D151" s="166"/>
      <c r="E151" s="166"/>
      <c r="F151" s="166"/>
      <c r="G151" s="166"/>
      <c r="H151" s="166"/>
      <c r="J151" s="594" t="s">
        <v>793</v>
      </c>
      <c r="K151" s="1822" t="s">
        <v>3451</v>
      </c>
      <c r="L151" s="1823"/>
      <c r="M151" s="1823"/>
      <c r="N151" s="1823"/>
      <c r="O151" s="1823"/>
      <c r="P151" s="1824"/>
      <c r="Q151" s="1287"/>
    </row>
    <row r="152" spans="1:31" ht="12" customHeight="1">
      <c r="A152" s="165"/>
      <c r="B152" s="55" t="s">
        <v>2245</v>
      </c>
      <c r="C152" s="166" t="s">
        <v>3288</v>
      </c>
      <c r="D152" s="166"/>
      <c r="E152" s="166"/>
      <c r="F152" s="166"/>
      <c r="G152" s="166"/>
      <c r="H152" s="166"/>
      <c r="J152" s="594"/>
      <c r="K152" s="594"/>
      <c r="L152" s="594"/>
      <c r="M152" s="594"/>
      <c r="N152" s="594"/>
      <c r="O152" s="594" t="s">
        <v>2245</v>
      </c>
      <c r="P152" s="1080" t="s">
        <v>3425</v>
      </c>
      <c r="Q152" s="1287"/>
    </row>
    <row r="153" spans="1:31" ht="12" customHeight="1">
      <c r="B153" s="167" t="s">
        <v>1987</v>
      </c>
      <c r="D153" s="167"/>
      <c r="E153" s="167"/>
      <c r="F153" s="167"/>
      <c r="G153" s="167"/>
      <c r="H153" s="48"/>
      <c r="I153" s="1186"/>
      <c r="J153" s="1186"/>
      <c r="K153" s="1186"/>
      <c r="L153" s="1169"/>
      <c r="M153" s="1169"/>
      <c r="N153" s="1169"/>
      <c r="O153" s="1169"/>
      <c r="P153" s="1169"/>
      <c r="Q153" s="60"/>
    </row>
    <row r="154" spans="1:31" ht="11.45" customHeight="1">
      <c r="A154" s="1830" t="s">
        <v>3529</v>
      </c>
      <c r="B154" s="1831"/>
      <c r="C154" s="1831"/>
      <c r="D154" s="1831"/>
      <c r="E154" s="1831"/>
      <c r="F154" s="1831"/>
      <c r="G154" s="1831"/>
      <c r="H154" s="1831"/>
      <c r="I154" s="1831"/>
      <c r="J154" s="1831"/>
      <c r="K154" s="1831"/>
      <c r="L154" s="1831"/>
      <c r="M154" s="1831"/>
      <c r="N154" s="1831"/>
      <c r="O154" s="1831"/>
      <c r="P154" s="1831"/>
      <c r="Q154" s="1832"/>
      <c r="U154" s="162"/>
      <c r="V154" s="162"/>
      <c r="W154" s="162"/>
      <c r="X154" s="162"/>
      <c r="Y154" s="162"/>
      <c r="Z154" s="162"/>
      <c r="AA154" s="162"/>
      <c r="AB154" s="162"/>
      <c r="AC154" s="162"/>
      <c r="AD154" s="162"/>
      <c r="AE154" s="596"/>
    </row>
    <row r="155" spans="1:31" ht="12" customHeight="1">
      <c r="B155" s="163" t="s">
        <v>1988</v>
      </c>
      <c r="C155" s="164"/>
      <c r="D155" s="1176"/>
      <c r="E155" s="1176"/>
      <c r="F155" s="1176"/>
      <c r="G155" s="1176"/>
      <c r="H155" s="1176"/>
      <c r="I155" s="1176"/>
      <c r="J155" s="1176"/>
      <c r="K155" s="1176"/>
      <c r="L155" s="1176"/>
      <c r="M155" s="1176"/>
      <c r="N155" s="1176"/>
      <c r="O155" s="1176"/>
      <c r="P155" s="1176"/>
      <c r="Q155" s="1176"/>
    </row>
    <row r="156" spans="1:31" ht="11.45" customHeight="1">
      <c r="A156" s="1833"/>
      <c r="B156" s="1834"/>
      <c r="C156" s="1834"/>
      <c r="D156" s="1834"/>
      <c r="E156" s="1834"/>
      <c r="F156" s="1834"/>
      <c r="G156" s="1834"/>
      <c r="H156" s="1834"/>
      <c r="I156" s="1834"/>
      <c r="J156" s="1834"/>
      <c r="K156" s="1834"/>
      <c r="L156" s="1834"/>
      <c r="M156" s="1834"/>
      <c r="N156" s="1834"/>
      <c r="O156" s="1834"/>
      <c r="P156" s="1834"/>
      <c r="Q156" s="1835"/>
    </row>
    <row r="157" spans="1:31" ht="3" customHeight="1">
      <c r="A157" s="1169"/>
      <c r="B157" s="1186"/>
      <c r="C157" s="1176"/>
      <c r="D157" s="1176"/>
      <c r="E157" s="1176"/>
      <c r="F157" s="1176"/>
      <c r="G157" s="1176"/>
      <c r="H157" s="1176"/>
      <c r="I157" s="1176"/>
      <c r="J157" s="1176"/>
      <c r="K157" s="1176"/>
      <c r="L157" s="1176"/>
      <c r="M157" s="1176"/>
      <c r="Q157" s="1169"/>
    </row>
    <row r="158" spans="1:31" ht="13.9" customHeight="1">
      <c r="A158" s="1178">
        <v>9</v>
      </c>
      <c r="B158" s="1178" t="s">
        <v>2845</v>
      </c>
      <c r="C158" s="1178"/>
      <c r="D158" s="1176"/>
      <c r="E158" s="1176"/>
      <c r="F158" s="1176"/>
      <c r="G158" s="1176"/>
      <c r="H158" s="1176"/>
      <c r="I158" s="1176"/>
      <c r="J158" s="1176"/>
      <c r="K158" s="1176"/>
      <c r="L158" s="1176"/>
      <c r="M158" s="1176"/>
      <c r="O158" s="157" t="s">
        <v>1989</v>
      </c>
      <c r="P158" s="1828"/>
      <c r="Q158" s="1829"/>
    </row>
    <row r="159" spans="1:31" ht="21.75" customHeight="1">
      <c r="B159" s="168" t="s">
        <v>2110</v>
      </c>
      <c r="C159" s="1825" t="s">
        <v>3272</v>
      </c>
      <c r="D159" s="1825"/>
      <c r="E159" s="1825"/>
      <c r="F159" s="1825"/>
      <c r="G159" s="1825"/>
      <c r="H159" s="1825"/>
      <c r="I159" s="1825"/>
      <c r="J159" s="1825"/>
      <c r="K159" s="1825"/>
      <c r="L159" s="1825"/>
      <c r="M159" s="1825"/>
      <c r="N159" s="1825"/>
      <c r="O159" s="192" t="s">
        <v>2110</v>
      </c>
      <c r="P159" s="1080" t="s">
        <v>3452</v>
      </c>
      <c r="Q159" s="1287"/>
    </row>
    <row r="160" spans="1:31" ht="22.15" customHeight="1">
      <c r="B160" s="168" t="s">
        <v>2113</v>
      </c>
      <c r="C160" s="1825" t="s">
        <v>2669</v>
      </c>
      <c r="D160" s="1825"/>
      <c r="E160" s="1825"/>
      <c r="F160" s="1825"/>
      <c r="G160" s="1825"/>
      <c r="H160" s="1825"/>
      <c r="I160" s="1825"/>
      <c r="J160" s="1825"/>
      <c r="K160" s="1825"/>
      <c r="L160" s="1825"/>
      <c r="M160" s="1825"/>
      <c r="N160" s="1825"/>
      <c r="O160" s="192" t="s">
        <v>2113</v>
      </c>
      <c r="P160" s="1080"/>
      <c r="Q160" s="1287"/>
    </row>
    <row r="161" spans="1:32" ht="21.75" customHeight="1">
      <c r="B161" s="168" t="s">
        <v>793</v>
      </c>
      <c r="C161" s="1825" t="s">
        <v>2828</v>
      </c>
      <c r="D161" s="1825"/>
      <c r="E161" s="1825"/>
      <c r="F161" s="1825"/>
      <c r="G161" s="1825"/>
      <c r="H161" s="1825"/>
      <c r="I161" s="1825"/>
      <c r="J161" s="1825"/>
      <c r="K161" s="1825"/>
      <c r="L161" s="1825"/>
      <c r="M161" s="1825"/>
      <c r="N161" s="1825"/>
      <c r="O161" s="192" t="s">
        <v>793</v>
      </c>
      <c r="P161" s="1080"/>
      <c r="Q161" s="1287"/>
    </row>
    <row r="162" spans="1:32" ht="12" customHeight="1">
      <c r="B162" s="167" t="s">
        <v>1987</v>
      </c>
      <c r="D162" s="167"/>
      <c r="E162" s="167"/>
      <c r="F162" s="167"/>
      <c r="G162" s="167"/>
      <c r="H162" s="48"/>
      <c r="I162" s="1186"/>
      <c r="J162" s="1186"/>
      <c r="K162" s="1186"/>
      <c r="L162" s="1169"/>
      <c r="M162" s="1169"/>
      <c r="N162" s="1169"/>
      <c r="O162" s="1169"/>
      <c r="P162" s="1169"/>
      <c r="Q162" s="60"/>
    </row>
    <row r="163" spans="1:32" ht="11.45" customHeight="1">
      <c r="A163" s="1830" t="s">
        <v>3530</v>
      </c>
      <c r="B163" s="1831"/>
      <c r="C163" s="1831"/>
      <c r="D163" s="1831"/>
      <c r="E163" s="1831"/>
      <c r="F163" s="1831"/>
      <c r="G163" s="1831"/>
      <c r="H163" s="1831"/>
      <c r="I163" s="1831"/>
      <c r="J163" s="1831"/>
      <c r="K163" s="1831"/>
      <c r="L163" s="1831"/>
      <c r="M163" s="1831"/>
      <c r="N163" s="1831"/>
      <c r="O163" s="1831"/>
      <c r="P163" s="1831"/>
      <c r="Q163" s="1832"/>
      <c r="U163" s="162"/>
      <c r="V163" s="162"/>
      <c r="W163" s="162"/>
      <c r="X163" s="162"/>
      <c r="Y163" s="162"/>
      <c r="Z163" s="162"/>
      <c r="AA163" s="162"/>
      <c r="AB163" s="162"/>
      <c r="AC163" s="162"/>
      <c r="AD163" s="162"/>
      <c r="AE163" s="596"/>
    </row>
    <row r="164" spans="1:32" ht="12" customHeight="1">
      <c r="B164" s="163" t="s">
        <v>1988</v>
      </c>
      <c r="C164" s="164"/>
      <c r="D164" s="1176"/>
      <c r="E164" s="1176"/>
      <c r="F164" s="1176"/>
      <c r="G164" s="1176"/>
      <c r="H164" s="1176"/>
      <c r="I164" s="1176"/>
      <c r="J164" s="1176"/>
      <c r="K164" s="1176"/>
      <c r="L164" s="1176"/>
      <c r="M164" s="1176"/>
      <c r="N164" s="1176"/>
      <c r="O164" s="1176"/>
      <c r="P164" s="1176"/>
      <c r="Q164" s="1176"/>
    </row>
    <row r="165" spans="1:32" ht="11.45" customHeight="1">
      <c r="A165" s="1833"/>
      <c r="B165" s="1834"/>
      <c r="C165" s="1834"/>
      <c r="D165" s="1834"/>
      <c r="E165" s="1834"/>
      <c r="F165" s="1834"/>
      <c r="G165" s="1834"/>
      <c r="H165" s="1834"/>
      <c r="I165" s="1834"/>
      <c r="J165" s="1834"/>
      <c r="K165" s="1834"/>
      <c r="L165" s="1834"/>
      <c r="M165" s="1834"/>
      <c r="N165" s="1834"/>
      <c r="O165" s="1834"/>
      <c r="P165" s="1834"/>
      <c r="Q165" s="1835"/>
    </row>
    <row r="166" spans="1:32" ht="3" customHeight="1">
      <c r="B166" s="1186"/>
      <c r="C166" s="1176"/>
      <c r="D166" s="1176"/>
      <c r="E166" s="1176"/>
      <c r="F166" s="1176"/>
      <c r="G166" s="1176"/>
      <c r="H166" s="1176"/>
      <c r="I166" s="1176"/>
      <c r="J166" s="1176"/>
      <c r="K166" s="1176"/>
      <c r="L166" s="1176"/>
      <c r="M166" s="1176"/>
      <c r="N166" s="1176"/>
      <c r="O166" s="1176"/>
      <c r="P166" s="1176"/>
      <c r="Q166" s="1169"/>
    </row>
    <row r="167" spans="1:32" ht="13.9" customHeight="1">
      <c r="A167" s="1154">
        <v>10</v>
      </c>
      <c r="B167" s="1917" t="s">
        <v>2846</v>
      </c>
      <c r="C167" s="1917"/>
      <c r="D167" s="1917"/>
      <c r="O167" s="157" t="s">
        <v>1989</v>
      </c>
      <c r="P167" s="1828"/>
      <c r="Q167" s="1829"/>
    </row>
    <row r="168" spans="1:32" ht="12" customHeight="1">
      <c r="B168" s="168" t="s">
        <v>2110</v>
      </c>
      <c r="C168" s="173" t="s">
        <v>493</v>
      </c>
      <c r="D168" s="173"/>
      <c r="E168" s="173"/>
      <c r="F168" s="173"/>
      <c r="G168" s="173"/>
      <c r="H168" s="173"/>
      <c r="I168" s="173"/>
      <c r="J168" s="173"/>
      <c r="K168" s="173"/>
      <c r="L168" s="173"/>
      <c r="M168" s="173"/>
      <c r="O168" s="192" t="s">
        <v>2110</v>
      </c>
      <c r="P168" s="1080" t="s">
        <v>3452</v>
      </c>
      <c r="Q168" s="1287"/>
    </row>
    <row r="169" spans="1:32" ht="12" customHeight="1">
      <c r="B169" s="168" t="s">
        <v>2113</v>
      </c>
      <c r="C169" s="173" t="s">
        <v>2829</v>
      </c>
      <c r="D169" s="173"/>
      <c r="E169" s="173"/>
      <c r="F169" s="173"/>
      <c r="G169" s="173"/>
      <c r="H169" s="173"/>
      <c r="I169" s="173"/>
      <c r="J169" s="173"/>
      <c r="K169" s="173"/>
      <c r="L169" s="173"/>
      <c r="M169" s="173"/>
      <c r="O169" s="192" t="s">
        <v>2113</v>
      </c>
      <c r="P169" s="1080" t="s">
        <v>3452</v>
      </c>
      <c r="Q169" s="1287"/>
    </row>
    <row r="170" spans="1:32" ht="12" customHeight="1">
      <c r="B170" s="168" t="s">
        <v>793</v>
      </c>
      <c r="C170" s="173" t="s">
        <v>2830</v>
      </c>
      <c r="D170" s="173"/>
      <c r="E170" s="173"/>
      <c r="F170" s="173"/>
      <c r="G170" s="173"/>
      <c r="H170" s="173"/>
      <c r="I170" s="173"/>
      <c r="J170" s="173"/>
      <c r="K170" s="173"/>
      <c r="L170" s="173"/>
      <c r="M170" s="173"/>
      <c r="O170" s="192" t="s">
        <v>793</v>
      </c>
      <c r="P170" s="1080" t="s">
        <v>3452</v>
      </c>
      <c r="Q170" s="1287"/>
    </row>
    <row r="171" spans="1:32" ht="12" customHeight="1">
      <c r="B171" s="168"/>
      <c r="C171" s="173" t="s">
        <v>2818</v>
      </c>
      <c r="D171" s="173"/>
      <c r="E171" s="557" t="s">
        <v>1850</v>
      </c>
      <c r="F171" s="173" t="s">
        <v>2831</v>
      </c>
      <c r="G171" s="173"/>
      <c r="H171" s="173"/>
      <c r="I171" s="173"/>
      <c r="J171" s="173"/>
      <c r="K171" s="173"/>
      <c r="L171" s="173"/>
      <c r="M171" s="173"/>
      <c r="O171" s="557" t="s">
        <v>1850</v>
      </c>
      <c r="P171" s="1080" t="s">
        <v>3452</v>
      </c>
      <c r="Q171" s="1287"/>
    </row>
    <row r="172" spans="1:32" ht="12" customHeight="1">
      <c r="B172" s="168"/>
      <c r="C172" s="173"/>
      <c r="D172" s="173"/>
      <c r="E172" s="557" t="s">
        <v>1851</v>
      </c>
      <c r="F172" s="173" t="s">
        <v>2832</v>
      </c>
      <c r="G172" s="173"/>
      <c r="H172" s="173"/>
      <c r="I172" s="173"/>
      <c r="J172" s="173"/>
      <c r="K172" s="173"/>
      <c r="L172" s="173"/>
      <c r="M172" s="173"/>
      <c r="O172" s="557" t="s">
        <v>1851</v>
      </c>
      <c r="P172" s="1080" t="s">
        <v>3452</v>
      </c>
      <c r="Q172" s="1287"/>
    </row>
    <row r="173" spans="1:32" s="158" customFormat="1" ht="21.75" customHeight="1">
      <c r="B173" s="168"/>
      <c r="C173" s="173"/>
      <c r="D173" s="173"/>
      <c r="E173" s="192" t="s">
        <v>1852</v>
      </c>
      <c r="F173" s="1825" t="s">
        <v>2833</v>
      </c>
      <c r="G173" s="1825"/>
      <c r="H173" s="1825"/>
      <c r="I173" s="1825"/>
      <c r="J173" s="1825"/>
      <c r="K173" s="1825"/>
      <c r="L173" s="1825"/>
      <c r="M173" s="1825"/>
      <c r="N173" s="1825"/>
      <c r="O173" s="192" t="s">
        <v>1852</v>
      </c>
      <c r="P173" s="1092" t="s">
        <v>3452</v>
      </c>
      <c r="Q173" s="1290"/>
      <c r="AE173" s="597"/>
      <c r="AF173" s="597"/>
    </row>
    <row r="174" spans="1:32" ht="12" customHeight="1">
      <c r="B174" s="168"/>
      <c r="C174" s="173"/>
      <c r="D174" s="173"/>
      <c r="E174" s="557" t="s">
        <v>2511</v>
      </c>
      <c r="F174" s="173" t="s">
        <v>2834</v>
      </c>
      <c r="G174" s="173"/>
      <c r="H174" s="173"/>
      <c r="I174" s="173"/>
      <c r="J174" s="173"/>
      <c r="K174" s="173"/>
      <c r="L174" s="173"/>
      <c r="M174" s="173"/>
      <c r="O174" s="557" t="s">
        <v>2511</v>
      </c>
      <c r="P174" s="1080" t="s">
        <v>3452</v>
      </c>
      <c r="Q174" s="1287"/>
    </row>
    <row r="175" spans="1:32" s="158" customFormat="1" ht="21.75" customHeight="1">
      <c r="B175" s="168"/>
      <c r="C175" s="173"/>
      <c r="D175" s="173"/>
      <c r="E175" s="192" t="s">
        <v>1648</v>
      </c>
      <c r="F175" s="1825" t="s">
        <v>2835</v>
      </c>
      <c r="G175" s="1825"/>
      <c r="H175" s="1825"/>
      <c r="I175" s="1825"/>
      <c r="J175" s="1825"/>
      <c r="K175" s="1825"/>
      <c r="L175" s="1825"/>
      <c r="M175" s="1825"/>
      <c r="N175" s="1825"/>
      <c r="O175" s="192" t="s">
        <v>1648</v>
      </c>
      <c r="P175" s="1092"/>
      <c r="Q175" s="1290"/>
      <c r="AE175" s="597"/>
      <c r="AF175" s="597"/>
    </row>
    <row r="176" spans="1:32" ht="21.75" customHeight="1">
      <c r="B176" s="168" t="s">
        <v>2245</v>
      </c>
      <c r="C176" s="1825" t="s">
        <v>2836</v>
      </c>
      <c r="D176" s="1825"/>
      <c r="E176" s="1825"/>
      <c r="F176" s="1825"/>
      <c r="G176" s="1825"/>
      <c r="H176" s="1825"/>
      <c r="I176" s="1825"/>
      <c r="J176" s="1825"/>
      <c r="K176" s="1825"/>
      <c r="L176" s="1825"/>
      <c r="M176" s="1825"/>
      <c r="N176" s="1825"/>
      <c r="O176" s="192" t="s">
        <v>2245</v>
      </c>
      <c r="P176" s="1080" t="s">
        <v>3452</v>
      </c>
      <c r="Q176" s="1287"/>
    </row>
    <row r="177" spans="1:31" ht="12" customHeight="1">
      <c r="B177" s="168" t="s">
        <v>1848</v>
      </c>
      <c r="C177" s="173" t="s">
        <v>2527</v>
      </c>
      <c r="D177" s="173"/>
      <c r="E177" s="173"/>
      <c r="F177" s="173"/>
      <c r="G177" s="173"/>
      <c r="H177" s="173"/>
      <c r="I177" s="173"/>
      <c r="J177" s="173"/>
      <c r="K177" s="173"/>
      <c r="L177" s="173"/>
      <c r="M177" s="173"/>
      <c r="O177" s="192" t="s">
        <v>1848</v>
      </c>
      <c r="P177" s="1080" t="s">
        <v>3452</v>
      </c>
      <c r="Q177" s="1287"/>
    </row>
    <row r="178" spans="1:31" ht="12" customHeight="1">
      <c r="B178" s="167" t="s">
        <v>1987</v>
      </c>
      <c r="D178" s="167"/>
      <c r="E178" s="167"/>
      <c r="F178" s="167"/>
      <c r="G178" s="167"/>
      <c r="H178" s="48"/>
      <c r="I178" s="1186"/>
      <c r="J178" s="1186"/>
      <c r="K178" s="1186"/>
      <c r="L178" s="1169"/>
      <c r="M178" s="1169"/>
      <c r="N178" s="1169"/>
      <c r="O178" s="1169"/>
      <c r="P178" s="1169"/>
      <c r="Q178" s="60"/>
    </row>
    <row r="179" spans="1:31" ht="11.45" customHeight="1">
      <c r="A179" s="1830" t="s">
        <v>3531</v>
      </c>
      <c r="B179" s="1831"/>
      <c r="C179" s="1831"/>
      <c r="D179" s="1831"/>
      <c r="E179" s="1831"/>
      <c r="F179" s="1831"/>
      <c r="G179" s="1831"/>
      <c r="H179" s="1831"/>
      <c r="I179" s="1831"/>
      <c r="J179" s="1831"/>
      <c r="K179" s="1831"/>
      <c r="L179" s="1831"/>
      <c r="M179" s="1831"/>
      <c r="N179" s="1831"/>
      <c r="O179" s="1831"/>
      <c r="P179" s="1831"/>
      <c r="Q179" s="1832"/>
      <c r="U179" s="162"/>
      <c r="V179" s="162"/>
      <c r="W179" s="162"/>
      <c r="X179" s="162"/>
      <c r="Y179" s="162"/>
      <c r="Z179" s="162"/>
      <c r="AA179" s="162"/>
      <c r="AB179" s="162"/>
      <c r="AC179" s="162"/>
      <c r="AD179" s="162"/>
      <c r="AE179" s="596"/>
    </row>
    <row r="180" spans="1:31" ht="12" customHeight="1">
      <c r="B180" s="163" t="s">
        <v>1988</v>
      </c>
      <c r="C180" s="164"/>
      <c r="D180" s="1176"/>
      <c r="E180" s="1176"/>
      <c r="F180" s="1176"/>
      <c r="G180" s="1176"/>
      <c r="H180" s="1176"/>
      <c r="I180" s="1176"/>
      <c r="J180" s="1176"/>
      <c r="K180" s="1176"/>
      <c r="L180" s="1176"/>
      <c r="M180" s="1176"/>
      <c r="N180" s="1176"/>
      <c r="O180" s="1176"/>
      <c r="P180" s="1176"/>
      <c r="Q180" s="1176"/>
    </row>
    <row r="181" spans="1:31" ht="11.45" customHeight="1">
      <c r="A181" s="1833"/>
      <c r="B181" s="1834"/>
      <c r="C181" s="1834"/>
      <c r="D181" s="1834"/>
      <c r="E181" s="1834"/>
      <c r="F181" s="1834"/>
      <c r="G181" s="1834"/>
      <c r="H181" s="1834"/>
      <c r="I181" s="1834"/>
      <c r="J181" s="1834"/>
      <c r="K181" s="1834"/>
      <c r="L181" s="1834"/>
      <c r="M181" s="1834"/>
      <c r="N181" s="1834"/>
      <c r="O181" s="1834"/>
      <c r="P181" s="1834"/>
      <c r="Q181" s="1835"/>
    </row>
    <row r="182" spans="1:31" ht="3" customHeight="1">
      <c r="A182" s="1169"/>
      <c r="B182" s="1186"/>
      <c r="C182" s="1176"/>
      <c r="D182" s="1176"/>
      <c r="E182" s="1176"/>
      <c r="F182" s="1176"/>
      <c r="G182" s="1176"/>
      <c r="H182" s="1176"/>
      <c r="I182" s="1176"/>
      <c r="J182" s="1176"/>
      <c r="K182" s="1176"/>
      <c r="L182" s="1176"/>
      <c r="M182" s="1176"/>
      <c r="N182" s="1176"/>
      <c r="O182" s="1176"/>
      <c r="P182" s="1176"/>
      <c r="Q182" s="1169"/>
    </row>
    <row r="183" spans="1:31" ht="13.9" customHeight="1">
      <c r="A183" s="1178">
        <v>11</v>
      </c>
      <c r="B183" s="1178" t="s">
        <v>2847</v>
      </c>
      <c r="C183" s="1178"/>
      <c r="D183" s="1176"/>
      <c r="E183" s="174"/>
      <c r="F183" s="174"/>
      <c r="G183" s="1176"/>
      <c r="J183" s="556"/>
      <c r="K183" s="645"/>
      <c r="L183" s="645"/>
      <c r="M183" s="645"/>
      <c r="N183" s="645"/>
      <c r="O183" s="157" t="s">
        <v>1989</v>
      </c>
      <c r="P183" s="1828"/>
      <c r="Q183" s="1829"/>
    </row>
    <row r="184" spans="1:31" ht="12" customHeight="1">
      <c r="A184" s="165"/>
      <c r="B184" s="55" t="s">
        <v>2110</v>
      </c>
      <c r="C184" s="1825" t="s">
        <v>100</v>
      </c>
      <c r="D184" s="1825"/>
      <c r="E184" s="1825"/>
      <c r="F184" s="1825"/>
      <c r="G184" s="1825"/>
      <c r="H184" s="78" t="s">
        <v>1850</v>
      </c>
      <c r="I184" s="62" t="s">
        <v>158</v>
      </c>
      <c r="K184" s="1839" t="s">
        <v>1963</v>
      </c>
      <c r="L184" s="1840"/>
      <c r="M184" s="1840"/>
      <c r="N184" s="1841"/>
      <c r="O184" s="78" t="s">
        <v>1850</v>
      </c>
      <c r="P184" s="1080" t="s">
        <v>3425</v>
      </c>
      <c r="Q184" s="1287"/>
    </row>
    <row r="185" spans="1:31" ht="12" customHeight="1">
      <c r="A185" s="165"/>
      <c r="B185" s="1186"/>
      <c r="C185" s="121"/>
      <c r="D185" s="121"/>
      <c r="E185" s="121"/>
      <c r="F185" s="121"/>
      <c r="H185" s="78" t="s">
        <v>1851</v>
      </c>
      <c r="I185" s="62" t="s">
        <v>1695</v>
      </c>
      <c r="K185" s="1819" t="s">
        <v>3487</v>
      </c>
      <c r="L185" s="1820"/>
      <c r="M185" s="1820"/>
      <c r="N185" s="1821"/>
      <c r="O185" s="78" t="s">
        <v>1851</v>
      </c>
      <c r="P185" s="1080" t="s">
        <v>3452</v>
      </c>
      <c r="Q185" s="1287"/>
    </row>
    <row r="186" spans="1:31" ht="12" customHeight="1">
      <c r="B186" s="167" t="s">
        <v>1987</v>
      </c>
      <c r="D186" s="167"/>
      <c r="E186" s="167"/>
      <c r="F186" s="167"/>
      <c r="G186" s="167"/>
      <c r="J186" s="1186"/>
      <c r="K186" s="1186"/>
      <c r="L186" s="1169"/>
      <c r="M186" s="1169"/>
      <c r="N186" s="1169"/>
      <c r="O186" s="1169"/>
      <c r="P186" s="1169"/>
      <c r="Q186" s="60"/>
    </row>
    <row r="187" spans="1:31" ht="11.45" customHeight="1">
      <c r="A187" s="1830" t="s">
        <v>3532</v>
      </c>
      <c r="B187" s="1831"/>
      <c r="C187" s="1831"/>
      <c r="D187" s="1831"/>
      <c r="E187" s="1831"/>
      <c r="F187" s="1831"/>
      <c r="G187" s="1831"/>
      <c r="H187" s="1831"/>
      <c r="I187" s="1831"/>
      <c r="J187" s="1831"/>
      <c r="K187" s="1831"/>
      <c r="L187" s="1831"/>
      <c r="M187" s="1831"/>
      <c r="N187" s="1831"/>
      <c r="O187" s="1831"/>
      <c r="P187" s="1831"/>
      <c r="Q187" s="1832"/>
      <c r="U187" s="162"/>
      <c r="V187" s="162"/>
      <c r="W187" s="162"/>
      <c r="X187" s="162"/>
      <c r="Y187" s="162"/>
      <c r="Z187" s="162"/>
      <c r="AA187" s="162"/>
      <c r="AB187" s="162"/>
      <c r="AC187" s="162"/>
      <c r="AD187" s="162"/>
      <c r="AE187" s="596"/>
    </row>
    <row r="188" spans="1:31" ht="12" customHeight="1">
      <c r="B188" s="163" t="s">
        <v>1988</v>
      </c>
      <c r="C188" s="164"/>
      <c r="D188" s="1176"/>
      <c r="E188" s="1176"/>
      <c r="F188" s="1176"/>
      <c r="G188" s="1176"/>
      <c r="H188" s="1176"/>
      <c r="I188" s="1176"/>
      <c r="J188" s="1176"/>
      <c r="K188" s="1176"/>
      <c r="L188" s="1176"/>
      <c r="M188" s="1176"/>
      <c r="N188" s="1176"/>
      <c r="O188" s="1176"/>
      <c r="P188" s="1176"/>
      <c r="Q188" s="1176"/>
    </row>
    <row r="189" spans="1:31" ht="11.45" customHeight="1">
      <c r="A189" s="1833"/>
      <c r="B189" s="1834"/>
      <c r="C189" s="1834"/>
      <c r="D189" s="1834"/>
      <c r="E189" s="1834"/>
      <c r="F189" s="1834"/>
      <c r="G189" s="1834"/>
      <c r="H189" s="1834"/>
      <c r="I189" s="1834"/>
      <c r="J189" s="1834"/>
      <c r="K189" s="1834"/>
      <c r="L189" s="1834"/>
      <c r="M189" s="1834"/>
      <c r="N189" s="1834"/>
      <c r="O189" s="1834"/>
      <c r="P189" s="1834"/>
      <c r="Q189" s="1835"/>
    </row>
    <row r="190" spans="1:31" ht="4.1500000000000004" customHeight="1">
      <c r="B190" s="1186"/>
      <c r="C190" s="1176"/>
      <c r="D190" s="1176"/>
      <c r="E190" s="1176"/>
      <c r="F190" s="1176"/>
      <c r="G190" s="1176"/>
      <c r="H190" s="1176"/>
      <c r="I190" s="1176"/>
      <c r="J190" s="1176"/>
      <c r="K190" s="1176"/>
      <c r="L190" s="1176"/>
      <c r="M190" s="1176"/>
      <c r="Q190" s="60"/>
    </row>
    <row r="191" spans="1:31" ht="13.9" customHeight="1">
      <c r="A191" s="1178">
        <v>12</v>
      </c>
      <c r="B191" s="5" t="s">
        <v>2848</v>
      </c>
      <c r="C191" s="5"/>
      <c r="D191" s="101"/>
      <c r="E191" s="101"/>
      <c r="F191" s="101"/>
      <c r="G191" s="1176"/>
      <c r="H191" s="1176"/>
      <c r="I191" s="1176"/>
      <c r="J191" s="1176"/>
      <c r="K191" s="1176"/>
      <c r="L191" s="1176"/>
      <c r="M191" s="1176"/>
      <c r="O191" s="157" t="s">
        <v>1989</v>
      </c>
      <c r="P191" s="1828"/>
      <c r="Q191" s="1829"/>
    </row>
    <row r="192" spans="1:31" ht="4.1500000000000004" customHeight="1"/>
    <row r="193" spans="1:31" ht="11.45" customHeight="1">
      <c r="B193" s="168" t="s">
        <v>2110</v>
      </c>
      <c r="C193" s="723" t="s">
        <v>1850</v>
      </c>
      <c r="D193" s="498" t="s">
        <v>542</v>
      </c>
      <c r="E193" s="498"/>
      <c r="F193" s="498"/>
      <c r="G193" s="498"/>
      <c r="H193" s="498"/>
      <c r="I193" s="498"/>
      <c r="J193" s="498"/>
      <c r="K193" s="498"/>
      <c r="L193" s="498"/>
      <c r="M193" s="498"/>
      <c r="N193" s="498"/>
      <c r="O193" s="192" t="s">
        <v>1580</v>
      </c>
      <c r="P193" s="1080" t="s">
        <v>3425</v>
      </c>
      <c r="Q193" s="1287"/>
    </row>
    <row r="194" spans="1:31" ht="11.45" customHeight="1">
      <c r="B194" s="168"/>
      <c r="C194" s="723" t="s">
        <v>1851</v>
      </c>
      <c r="D194" s="498" t="s">
        <v>1557</v>
      </c>
      <c r="E194" s="498"/>
      <c r="F194" s="498"/>
      <c r="G194" s="498"/>
      <c r="H194" s="498"/>
      <c r="I194" s="498"/>
      <c r="J194" s="498"/>
      <c r="K194" s="498"/>
      <c r="L194" s="498"/>
      <c r="M194" s="498"/>
      <c r="N194" s="498"/>
      <c r="O194" s="192" t="s">
        <v>1851</v>
      </c>
      <c r="P194" s="1080" t="s">
        <v>3425</v>
      </c>
      <c r="Q194" s="1287"/>
    </row>
    <row r="195" spans="1:31" ht="11.45" customHeight="1">
      <c r="A195" s="165"/>
      <c r="B195" s="168" t="s">
        <v>2113</v>
      </c>
      <c r="C195" s="1825" t="s">
        <v>1970</v>
      </c>
      <c r="D195" s="1825"/>
      <c r="E195" s="1825"/>
      <c r="F195" s="1825"/>
      <c r="G195" s="1825"/>
      <c r="H195" s="78" t="s">
        <v>1850</v>
      </c>
      <c r="I195" s="62" t="s">
        <v>671</v>
      </c>
      <c r="K195" s="1839" t="s">
        <v>3427</v>
      </c>
      <c r="L195" s="1840"/>
      <c r="M195" s="1840"/>
      <c r="N195" s="1841"/>
      <c r="O195" s="78" t="s">
        <v>1535</v>
      </c>
      <c r="P195" s="1080" t="s">
        <v>3452</v>
      </c>
      <c r="Q195" s="1287"/>
    </row>
    <row r="196" spans="1:31" ht="11.45" customHeight="1">
      <c r="A196" s="165"/>
      <c r="B196" s="1182"/>
      <c r="C196" s="1825"/>
      <c r="D196" s="1825"/>
      <c r="E196" s="1825"/>
      <c r="F196" s="1825"/>
      <c r="G196" s="1825"/>
      <c r="H196" s="78" t="s">
        <v>1851</v>
      </c>
      <c r="I196" s="62" t="s">
        <v>119</v>
      </c>
      <c r="K196" s="1819" t="s">
        <v>3427</v>
      </c>
      <c r="L196" s="1820"/>
      <c r="M196" s="1820"/>
      <c r="N196" s="1821"/>
      <c r="O196" s="78" t="s">
        <v>1851</v>
      </c>
      <c r="P196" s="1080" t="s">
        <v>3452</v>
      </c>
      <c r="Q196" s="1287"/>
    </row>
    <row r="197" spans="1:31" ht="11.25" customHeight="1">
      <c r="B197" s="167" t="s">
        <v>1987</v>
      </c>
      <c r="D197" s="167"/>
      <c r="E197" s="167"/>
      <c r="F197" s="167"/>
      <c r="G197" s="167"/>
      <c r="H197" s="48"/>
      <c r="I197" s="1186"/>
      <c r="J197" s="1186"/>
      <c r="K197" s="1186"/>
      <c r="L197" s="1169"/>
      <c r="M197" s="1169"/>
      <c r="N197" s="1169"/>
      <c r="O197" s="1169"/>
      <c r="P197" s="1169"/>
      <c r="Q197" s="60"/>
    </row>
    <row r="198" spans="1:31" ht="11.45" customHeight="1">
      <c r="A198" s="1830" t="s">
        <v>3533</v>
      </c>
      <c r="B198" s="1831"/>
      <c r="C198" s="1831"/>
      <c r="D198" s="1831"/>
      <c r="E198" s="1831"/>
      <c r="F198" s="1831"/>
      <c r="G198" s="1831"/>
      <c r="H198" s="1831"/>
      <c r="I198" s="1831"/>
      <c r="J198" s="1831"/>
      <c r="K198" s="1831"/>
      <c r="L198" s="1831"/>
      <c r="M198" s="1831"/>
      <c r="N198" s="1831"/>
      <c r="O198" s="1831"/>
      <c r="P198" s="1831"/>
      <c r="Q198" s="1832"/>
      <c r="U198" s="162"/>
      <c r="V198" s="162"/>
      <c r="W198" s="162"/>
      <c r="X198" s="162"/>
      <c r="Y198" s="162"/>
      <c r="Z198" s="162"/>
      <c r="AA198" s="162"/>
      <c r="AB198" s="162"/>
      <c r="AC198" s="162"/>
      <c r="AD198" s="162"/>
      <c r="AE198" s="596"/>
    </row>
    <row r="199" spans="1:31" ht="11.25" customHeight="1">
      <c r="B199" s="163" t="s">
        <v>1988</v>
      </c>
      <c r="C199" s="164"/>
      <c r="D199" s="1176"/>
      <c r="E199" s="1176"/>
      <c r="F199" s="1176"/>
      <c r="G199" s="1176"/>
      <c r="H199" s="1176"/>
      <c r="I199" s="1176"/>
      <c r="J199" s="1176"/>
      <c r="K199" s="1176"/>
      <c r="L199" s="1176"/>
      <c r="M199" s="1176"/>
      <c r="N199" s="1176"/>
      <c r="O199" s="1176"/>
      <c r="P199" s="1176"/>
      <c r="Q199" s="1176"/>
    </row>
    <row r="200" spans="1:31" ht="11.45" customHeight="1">
      <c r="A200" s="1833"/>
      <c r="B200" s="1834"/>
      <c r="C200" s="1834"/>
      <c r="D200" s="1834"/>
      <c r="E200" s="1834"/>
      <c r="F200" s="1834"/>
      <c r="G200" s="1834"/>
      <c r="H200" s="1834"/>
      <c r="I200" s="1834"/>
      <c r="J200" s="1834"/>
      <c r="K200" s="1834"/>
      <c r="L200" s="1834"/>
      <c r="M200" s="1834"/>
      <c r="N200" s="1834"/>
      <c r="O200" s="1834"/>
      <c r="P200" s="1834"/>
      <c r="Q200" s="1835"/>
    </row>
    <row r="201" spans="1:31" ht="3" customHeight="1">
      <c r="A201" s="1169"/>
      <c r="B201" s="1186"/>
      <c r="C201" s="1176"/>
      <c r="D201" s="1176"/>
      <c r="E201" s="1176"/>
      <c r="F201" s="1176"/>
      <c r="G201" s="1176"/>
      <c r="H201" s="1176"/>
      <c r="I201" s="1176"/>
      <c r="J201" s="1176"/>
      <c r="K201" s="1176"/>
      <c r="L201" s="1176"/>
      <c r="M201" s="1176"/>
      <c r="Q201" s="1169"/>
    </row>
    <row r="202" spans="1:31" ht="13.9" customHeight="1">
      <c r="A202" s="1178">
        <v>13</v>
      </c>
      <c r="B202" s="5" t="s">
        <v>2849</v>
      </c>
      <c r="C202" s="5"/>
      <c r="D202" s="101"/>
      <c r="E202" s="101"/>
      <c r="F202" s="101"/>
      <c r="G202" s="101"/>
      <c r="H202" s="1176"/>
      <c r="I202" s="1176"/>
      <c r="J202" s="1176"/>
      <c r="K202" s="1176"/>
      <c r="L202" s="1176"/>
      <c r="M202" s="1176"/>
      <c r="O202" s="157" t="s">
        <v>1989</v>
      </c>
      <c r="P202" s="1828"/>
      <c r="Q202" s="1829"/>
    </row>
    <row r="203" spans="1:31" ht="10.9" customHeight="1">
      <c r="B203" s="171" t="s">
        <v>150</v>
      </c>
    </row>
    <row r="204" spans="1:31" ht="11.45" customHeight="1">
      <c r="B204" s="55" t="s">
        <v>2110</v>
      </c>
      <c r="C204" s="62" t="s">
        <v>3091</v>
      </c>
      <c r="D204" s="50"/>
      <c r="E204" s="62"/>
      <c r="F204" s="62"/>
      <c r="G204" s="62"/>
      <c r="H204" s="62"/>
      <c r="I204" s="50"/>
      <c r="J204" s="50"/>
      <c r="K204" s="50"/>
      <c r="L204" s="173"/>
      <c r="M204" s="173"/>
      <c r="O204" s="192" t="s">
        <v>2110</v>
      </c>
      <c r="P204" s="1080" t="s">
        <v>3452</v>
      </c>
      <c r="Q204" s="1287"/>
    </row>
    <row r="205" spans="1:31" ht="11.45" customHeight="1">
      <c r="B205" s="55"/>
      <c r="C205" s="62"/>
      <c r="D205" s="44" t="s">
        <v>3327</v>
      </c>
      <c r="E205" s="62"/>
      <c r="F205" s="62"/>
      <c r="G205" s="1097">
        <v>41715</v>
      </c>
      <c r="H205" s="62"/>
      <c r="I205" s="44" t="s">
        <v>3328</v>
      </c>
      <c r="J205" s="50"/>
      <c r="K205" s="1097">
        <v>41732</v>
      </c>
      <c r="M205" s="173"/>
    </row>
    <row r="206" spans="1:31" ht="11.45" customHeight="1">
      <c r="B206" s="55"/>
      <c r="C206" s="62"/>
      <c r="D206" s="65" t="s">
        <v>3329</v>
      </c>
      <c r="E206" s="62"/>
      <c r="F206" s="62"/>
      <c r="G206" s="1822" t="s">
        <v>3504</v>
      </c>
      <c r="H206" s="1823"/>
      <c r="I206" s="1823"/>
      <c r="J206" s="1823"/>
      <c r="K206" s="1824"/>
      <c r="L206" s="62"/>
      <c r="M206" s="62"/>
      <c r="N206" s="62"/>
      <c r="O206" s="62"/>
      <c r="P206" s="62"/>
    </row>
    <row r="207" spans="1:31" ht="11.45" customHeight="1">
      <c r="B207" s="55" t="s">
        <v>2113</v>
      </c>
      <c r="C207" s="62" t="s">
        <v>3092</v>
      </c>
      <c r="D207" s="62"/>
      <c r="E207" s="62"/>
      <c r="F207" s="62"/>
      <c r="G207" s="62"/>
      <c r="H207" s="62"/>
      <c r="I207" s="50"/>
      <c r="J207" s="50"/>
      <c r="K207" s="50"/>
      <c r="L207" s="166"/>
      <c r="M207" s="166"/>
      <c r="O207" s="192" t="s">
        <v>2113</v>
      </c>
      <c r="P207" s="1080" t="s">
        <v>3452</v>
      </c>
      <c r="Q207" s="1287"/>
    </row>
    <row r="208" spans="1:31" ht="11.45" customHeight="1">
      <c r="B208" s="55" t="s">
        <v>793</v>
      </c>
      <c r="C208" s="62" t="s">
        <v>3093</v>
      </c>
      <c r="D208" s="62"/>
      <c r="E208" s="62"/>
      <c r="F208" s="62"/>
      <c r="G208" s="62"/>
      <c r="H208" s="62"/>
      <c r="I208" s="50"/>
      <c r="J208" s="50"/>
      <c r="K208" s="50"/>
      <c r="L208" s="166"/>
      <c r="M208" s="166"/>
      <c r="O208" s="192" t="s">
        <v>793</v>
      </c>
      <c r="P208" s="1080" t="s">
        <v>3452</v>
      </c>
      <c r="Q208" s="1287"/>
    </row>
    <row r="209" spans="1:32" s="175" customFormat="1" ht="11.45" customHeight="1">
      <c r="B209" s="55" t="s">
        <v>2245</v>
      </c>
      <c r="C209" s="62" t="s">
        <v>3324</v>
      </c>
      <c r="D209" s="62"/>
      <c r="E209" s="62"/>
      <c r="F209" s="62"/>
      <c r="G209" s="62"/>
      <c r="H209" s="62"/>
      <c r="I209" s="111"/>
      <c r="J209" s="111"/>
      <c r="K209" s="111"/>
      <c r="L209" s="173"/>
      <c r="M209" s="173"/>
      <c r="N209" s="43"/>
      <c r="O209" s="594" t="s">
        <v>2245</v>
      </c>
      <c r="P209" s="1080" t="s">
        <v>3452</v>
      </c>
      <c r="Q209" s="1287"/>
      <c r="AE209" s="598"/>
      <c r="AF209" s="598"/>
    </row>
    <row r="210" spans="1:32" s="175" customFormat="1" ht="11.45" customHeight="1">
      <c r="B210" s="55" t="s">
        <v>1848</v>
      </c>
      <c r="C210" s="62" t="s">
        <v>151</v>
      </c>
      <c r="D210" s="62"/>
      <c r="E210" s="62"/>
      <c r="F210" s="62"/>
      <c r="G210" s="62"/>
      <c r="H210" s="62"/>
      <c r="I210" s="111"/>
      <c r="J210" s="111"/>
      <c r="K210" s="111"/>
      <c r="L210" s="111"/>
      <c r="M210" s="111"/>
      <c r="O210" s="594" t="s">
        <v>1848</v>
      </c>
      <c r="P210" s="1080" t="s">
        <v>3452</v>
      </c>
      <c r="Q210" s="1287"/>
      <c r="AE210" s="598"/>
      <c r="AF210" s="598"/>
    </row>
    <row r="211" spans="1:32">
      <c r="B211" s="167" t="s">
        <v>1987</v>
      </c>
      <c r="D211" s="167"/>
      <c r="E211" s="167"/>
      <c r="F211" s="167"/>
      <c r="G211" s="167"/>
      <c r="H211" s="48"/>
      <c r="I211" s="1186"/>
      <c r="J211" s="1186"/>
      <c r="K211" s="1186"/>
      <c r="L211" s="1169"/>
      <c r="M211" s="1169"/>
      <c r="N211" s="1169"/>
      <c r="O211" s="1169"/>
      <c r="P211" s="1169"/>
      <c r="Q211" s="60"/>
    </row>
    <row r="212" spans="1:32" ht="15.75">
      <c r="A212" s="1830" t="s">
        <v>3516</v>
      </c>
      <c r="B212" s="1831"/>
      <c r="C212" s="1831"/>
      <c r="D212" s="1831"/>
      <c r="E212" s="1831"/>
      <c r="F212" s="1831"/>
      <c r="G212" s="1831"/>
      <c r="H212" s="1831"/>
      <c r="I212" s="1831"/>
      <c r="J212" s="1831"/>
      <c r="K212" s="1831"/>
      <c r="L212" s="1831"/>
      <c r="M212" s="1831"/>
      <c r="N212" s="1831"/>
      <c r="O212" s="1831"/>
      <c r="P212" s="1831"/>
      <c r="Q212" s="1832"/>
      <c r="R212" s="563" t="s">
        <v>1326</v>
      </c>
      <c r="S212" s="563"/>
      <c r="U212" s="162"/>
      <c r="V212" s="162"/>
      <c r="W212" s="162"/>
      <c r="X212" s="162"/>
      <c r="Y212" s="162"/>
      <c r="Z212" s="162"/>
      <c r="AA212" s="162"/>
      <c r="AB212" s="162"/>
      <c r="AC212" s="162"/>
      <c r="AD212" s="162"/>
      <c r="AE212" s="596"/>
    </row>
    <row r="213" spans="1:32" s="31" customFormat="1" ht="3" customHeight="1">
      <c r="C213" s="137"/>
      <c r="D213" s="137"/>
      <c r="R213" s="563"/>
      <c r="S213" s="563"/>
      <c r="AE213" s="137"/>
      <c r="AF213" s="137"/>
    </row>
    <row r="214" spans="1:32" ht="11.25" customHeight="1">
      <c r="B214" s="163" t="s">
        <v>1988</v>
      </c>
      <c r="C214" s="164"/>
      <c r="D214" s="1176"/>
      <c r="E214" s="1176"/>
      <c r="F214" s="1176"/>
      <c r="G214" s="1176"/>
      <c r="H214" s="1176"/>
      <c r="I214" s="1176"/>
      <c r="J214" s="1176"/>
      <c r="K214" s="1176"/>
      <c r="L214" s="1176"/>
      <c r="M214" s="1176"/>
      <c r="N214" s="1176"/>
      <c r="O214" s="1176"/>
      <c r="P214" s="1176"/>
      <c r="Q214" s="1176"/>
    </row>
    <row r="215" spans="1:32" ht="13.15" customHeight="1">
      <c r="A215" s="1833"/>
      <c r="B215" s="1834"/>
      <c r="C215" s="1834"/>
      <c r="D215" s="1834"/>
      <c r="E215" s="1834"/>
      <c r="F215" s="1834"/>
      <c r="G215" s="1834"/>
      <c r="H215" s="1834"/>
      <c r="I215" s="1834"/>
      <c r="J215" s="1834"/>
      <c r="K215" s="1834"/>
      <c r="L215" s="1834"/>
      <c r="M215" s="1834"/>
      <c r="N215" s="1834"/>
      <c r="O215" s="1834"/>
      <c r="P215" s="1834"/>
      <c r="Q215" s="1835"/>
    </row>
    <row r="216" spans="1:32" ht="3" customHeight="1">
      <c r="A216" s="1169"/>
      <c r="B216" s="1186"/>
      <c r="C216" s="1176"/>
      <c r="D216" s="1176"/>
      <c r="E216" s="1176"/>
      <c r="F216" s="1176"/>
      <c r="G216" s="1176"/>
      <c r="H216" s="1176"/>
      <c r="I216" s="1176"/>
      <c r="J216" s="1176"/>
      <c r="K216" s="1176"/>
      <c r="L216" s="1176"/>
      <c r="M216" s="1176"/>
      <c r="Q216" s="1169"/>
    </row>
    <row r="217" spans="1:32" ht="13.9" customHeight="1">
      <c r="A217" s="1178">
        <v>14</v>
      </c>
      <c r="B217" s="1178" t="s">
        <v>2850</v>
      </c>
      <c r="C217" s="132"/>
      <c r="D217" s="1176"/>
      <c r="E217" s="1176"/>
      <c r="F217" s="1176"/>
      <c r="G217" s="1176"/>
      <c r="H217" s="1176"/>
      <c r="I217" s="1176"/>
      <c r="J217" s="1176"/>
      <c r="K217" s="1176"/>
      <c r="L217" s="1176"/>
      <c r="M217" s="1176"/>
      <c r="O217" s="157" t="s">
        <v>1989</v>
      </c>
      <c r="P217" s="1828"/>
      <c r="Q217" s="1829"/>
    </row>
    <row r="218" spans="1:32" s="31" customFormat="1" ht="11.45" customHeight="1">
      <c r="B218" s="171" t="s">
        <v>1258</v>
      </c>
      <c r="N218" s="143"/>
      <c r="P218" s="1080" t="s">
        <v>3425</v>
      </c>
      <c r="Q218" s="1287"/>
      <c r="AE218" s="137"/>
      <c r="AF218" s="137"/>
    </row>
    <row r="219" spans="1:32" ht="12" customHeight="1">
      <c r="B219" s="55" t="s">
        <v>2110</v>
      </c>
      <c r="C219" s="101" t="s">
        <v>1462</v>
      </c>
      <c r="D219" s="50"/>
      <c r="E219" s="50"/>
      <c r="F219" s="50"/>
      <c r="G219" s="50"/>
      <c r="H219" s="50"/>
      <c r="I219" s="50"/>
      <c r="J219" s="50"/>
      <c r="K219" s="50"/>
      <c r="L219" s="50"/>
      <c r="M219" s="50"/>
    </row>
    <row r="220" spans="1:32" ht="11.45" customHeight="1">
      <c r="B220" s="55"/>
      <c r="C220" s="78" t="s">
        <v>1850</v>
      </c>
      <c r="D220" s="62" t="s">
        <v>2057</v>
      </c>
      <c r="E220" s="62"/>
      <c r="F220" s="62"/>
      <c r="G220" s="62"/>
      <c r="H220" s="62"/>
      <c r="I220" s="50"/>
      <c r="K220" s="78" t="s">
        <v>1580</v>
      </c>
      <c r="L220" s="1822" t="s">
        <v>3488</v>
      </c>
      <c r="M220" s="1824"/>
      <c r="Q220" s="1287"/>
    </row>
    <row r="221" spans="1:32" ht="11.45" customHeight="1">
      <c r="B221" s="55"/>
      <c r="C221" s="78" t="s">
        <v>1851</v>
      </c>
      <c r="D221" s="38" t="s">
        <v>2960</v>
      </c>
      <c r="E221" s="38"/>
      <c r="F221" s="38"/>
      <c r="G221" s="38"/>
      <c r="H221" s="38"/>
      <c r="I221" s="50"/>
      <c r="K221" s="78" t="s">
        <v>1581</v>
      </c>
      <c r="L221" s="1930" t="s">
        <v>3489</v>
      </c>
      <c r="M221" s="1931"/>
      <c r="N221" s="1932" t="s">
        <v>2961</v>
      </c>
      <c r="O221" s="1933"/>
      <c r="P221" s="1934"/>
      <c r="Q221" s="1287"/>
    </row>
    <row r="222" spans="1:32" ht="11.45" customHeight="1">
      <c r="B222" s="55"/>
      <c r="C222" s="78" t="s">
        <v>1852</v>
      </c>
      <c r="D222" s="38" t="s">
        <v>586</v>
      </c>
      <c r="E222" s="38"/>
      <c r="F222" s="38"/>
      <c r="G222" s="38"/>
      <c r="H222" s="38"/>
      <c r="I222" s="50"/>
      <c r="K222" s="78" t="s">
        <v>1582</v>
      </c>
      <c r="L222" s="1822" t="s">
        <v>3490</v>
      </c>
      <c r="M222" s="1823"/>
      <c r="N222" s="1935"/>
      <c r="Q222" s="1287"/>
      <c r="R222" s="50"/>
    </row>
    <row r="223" spans="1:32" ht="3" customHeight="1">
      <c r="B223" s="55"/>
      <c r="C223" s="78"/>
      <c r="D223" s="62"/>
      <c r="E223" s="62"/>
      <c r="F223" s="62"/>
      <c r="G223" s="62"/>
      <c r="H223" s="62"/>
      <c r="I223" s="50"/>
      <c r="J223" s="40"/>
      <c r="K223" s="50"/>
      <c r="L223" s="40"/>
      <c r="M223" s="40"/>
    </row>
    <row r="224" spans="1:32" ht="12" customHeight="1">
      <c r="B224" s="55" t="s">
        <v>2113</v>
      </c>
      <c r="C224" s="261" t="s">
        <v>2671</v>
      </c>
      <c r="D224" s="62"/>
      <c r="E224" s="62"/>
      <c r="F224" s="62"/>
      <c r="G224" s="62"/>
      <c r="H224" s="62"/>
      <c r="I224" s="62"/>
      <c r="J224" s="62"/>
      <c r="K224" s="50"/>
      <c r="L224" s="50"/>
      <c r="M224" s="50"/>
      <c r="N224" s="50"/>
      <c r="O224" s="594" t="s">
        <v>2113</v>
      </c>
      <c r="P224" s="1080" t="s">
        <v>3485</v>
      </c>
      <c r="Q224" s="1287"/>
    </row>
    <row r="225" spans="1:32" ht="10.9" customHeight="1">
      <c r="B225" s="55"/>
      <c r="C225" s="62" t="s">
        <v>2670</v>
      </c>
      <c r="D225" s="62"/>
      <c r="E225" s="62"/>
      <c r="F225" s="62"/>
      <c r="G225" s="62"/>
      <c r="H225" s="62"/>
      <c r="I225" s="62"/>
      <c r="J225" s="62"/>
      <c r="K225" s="50"/>
      <c r="L225" s="50"/>
      <c r="M225" s="50"/>
      <c r="N225" s="50"/>
      <c r="O225" s="50"/>
      <c r="P225" s="1826" t="s">
        <v>3</v>
      </c>
      <c r="Q225" s="1826"/>
    </row>
    <row r="226" spans="1:32" ht="10.9" customHeight="1">
      <c r="B226" s="55"/>
      <c r="D226" s="62" t="s">
        <v>2</v>
      </c>
      <c r="E226" s="62"/>
      <c r="F226" s="62"/>
      <c r="G226" s="62"/>
      <c r="I226" s="360" t="s">
        <v>819</v>
      </c>
      <c r="J226" s="361" t="s">
        <v>820</v>
      </c>
      <c r="L226" s="62" t="s">
        <v>2962</v>
      </c>
      <c r="M226" s="50"/>
      <c r="N226" s="50"/>
      <c r="O226" s="360"/>
      <c r="P226" s="362" t="s">
        <v>819</v>
      </c>
      <c r="Q226" s="361" t="s">
        <v>820</v>
      </c>
    </row>
    <row r="227" spans="1:32" s="51" customFormat="1" ht="11.45" customHeight="1">
      <c r="A227" s="111"/>
      <c r="B227" s="61"/>
      <c r="C227" s="78" t="s">
        <v>1850</v>
      </c>
      <c r="D227" s="1948" t="s">
        <v>3491</v>
      </c>
      <c r="E227" s="1949"/>
      <c r="F227" s="1949"/>
      <c r="G227" s="1949"/>
      <c r="H227" s="1950"/>
      <c r="I227" s="1296"/>
      <c r="J227" s="1297"/>
      <c r="K227" s="78" t="s">
        <v>1852</v>
      </c>
      <c r="L227" s="1948"/>
      <c r="M227" s="1949"/>
      <c r="N227" s="1949"/>
      <c r="O227" s="1950"/>
      <c r="P227" s="1293"/>
      <c r="Q227" s="1297"/>
      <c r="AE227" s="64"/>
      <c r="AF227" s="64"/>
    </row>
    <row r="228" spans="1:32" s="51" customFormat="1" ht="11.45" customHeight="1">
      <c r="A228" s="111"/>
      <c r="B228" s="61"/>
      <c r="C228" s="78" t="s">
        <v>1851</v>
      </c>
      <c r="D228" s="1927" t="s">
        <v>3492</v>
      </c>
      <c r="E228" s="1928"/>
      <c r="F228" s="1928"/>
      <c r="G228" s="1928"/>
      <c r="H228" s="1929"/>
      <c r="I228" s="1298"/>
      <c r="J228" s="1299"/>
      <c r="K228" s="78" t="s">
        <v>2511</v>
      </c>
      <c r="L228" s="1927"/>
      <c r="M228" s="1928"/>
      <c r="N228" s="1928"/>
      <c r="O228" s="1929"/>
      <c r="P228" s="1295"/>
      <c r="Q228" s="1299"/>
      <c r="AE228" s="64"/>
      <c r="AF228" s="64"/>
    </row>
    <row r="229" spans="1:32" ht="3.6" customHeight="1">
      <c r="B229" s="44"/>
      <c r="C229" s="50"/>
      <c r="D229" s="50"/>
      <c r="E229" s="50"/>
      <c r="F229" s="50"/>
      <c r="G229" s="50"/>
      <c r="H229" s="50"/>
      <c r="I229" s="50"/>
      <c r="J229" s="50"/>
      <c r="K229" s="50"/>
      <c r="L229" s="50"/>
      <c r="M229" s="50"/>
      <c r="N229" s="50"/>
      <c r="O229" s="50"/>
      <c r="P229" s="50"/>
      <c r="Q229" s="50"/>
    </row>
    <row r="230" spans="1:32" ht="12" customHeight="1">
      <c r="B230" s="55" t="s">
        <v>793</v>
      </c>
      <c r="C230" s="261" t="s">
        <v>1463</v>
      </c>
      <c r="D230" s="62"/>
      <c r="E230" s="62"/>
      <c r="F230" s="62"/>
      <c r="G230" s="62"/>
      <c r="H230" s="62"/>
      <c r="I230" s="62"/>
      <c r="J230" s="62"/>
      <c r="K230" s="50"/>
      <c r="L230" s="62"/>
      <c r="M230" s="62"/>
      <c r="O230" s="594" t="s">
        <v>793</v>
      </c>
      <c r="P230" s="1080" t="s">
        <v>3485</v>
      </c>
      <c r="Q230" s="1287"/>
    </row>
    <row r="231" spans="1:32" ht="11.45" customHeight="1">
      <c r="B231" s="55"/>
      <c r="C231" s="78" t="s">
        <v>1850</v>
      </c>
      <c r="D231" s="62" t="s">
        <v>159</v>
      </c>
      <c r="E231" s="62"/>
      <c r="F231" s="62"/>
      <c r="G231" s="62"/>
      <c r="H231" s="62"/>
      <c r="I231" s="50"/>
      <c r="J231" s="40"/>
      <c r="K231" s="50"/>
      <c r="L231" s="40"/>
      <c r="M231" s="40"/>
      <c r="O231" s="78" t="s">
        <v>1850</v>
      </c>
      <c r="P231" s="1080" t="s">
        <v>3452</v>
      </c>
      <c r="Q231" s="1287"/>
    </row>
    <row r="232" spans="1:32" ht="11.45" customHeight="1">
      <c r="C232" s="78" t="s">
        <v>1851</v>
      </c>
      <c r="D232" s="38" t="s">
        <v>3094</v>
      </c>
      <c r="E232" s="38"/>
      <c r="F232" s="38"/>
      <c r="G232" s="38"/>
      <c r="H232" s="38"/>
      <c r="I232" s="50"/>
      <c r="J232" s="40"/>
      <c r="K232" s="50"/>
      <c r="L232" s="40"/>
      <c r="M232" s="40"/>
      <c r="O232" s="78" t="s">
        <v>1851</v>
      </c>
      <c r="P232" s="1080" t="s">
        <v>3452</v>
      </c>
      <c r="Q232" s="1287"/>
    </row>
    <row r="233" spans="1:32" ht="11.45" customHeight="1">
      <c r="C233" s="78" t="s">
        <v>1852</v>
      </c>
      <c r="D233" s="38" t="s">
        <v>3095</v>
      </c>
      <c r="E233" s="38"/>
      <c r="F233" s="38"/>
      <c r="G233" s="38"/>
      <c r="H233" s="38"/>
      <c r="I233" s="50"/>
      <c r="J233" s="40"/>
      <c r="K233" s="50"/>
      <c r="L233" s="40"/>
      <c r="M233" s="40"/>
      <c r="O233" s="78" t="s">
        <v>1852</v>
      </c>
      <c r="P233" s="1080" t="s">
        <v>3452</v>
      </c>
      <c r="Q233" s="1287"/>
    </row>
    <row r="234" spans="1:32" ht="11.45" customHeight="1">
      <c r="B234" s="55"/>
      <c r="C234" s="78" t="s">
        <v>2511</v>
      </c>
      <c r="D234" s="38" t="s">
        <v>3096</v>
      </c>
      <c r="E234" s="38"/>
      <c r="F234" s="38"/>
      <c r="G234" s="38"/>
      <c r="H234" s="38"/>
      <c r="I234" s="50"/>
      <c r="J234" s="40"/>
      <c r="K234" s="50"/>
      <c r="L234" s="40"/>
      <c r="M234" s="40"/>
      <c r="O234" s="78" t="s">
        <v>2511</v>
      </c>
      <c r="P234" s="1080" t="s">
        <v>3452</v>
      </c>
      <c r="Q234" s="1287"/>
    </row>
    <row r="235" spans="1:32" ht="11.45" customHeight="1">
      <c r="B235" s="55"/>
      <c r="C235" s="78" t="s">
        <v>1648</v>
      </c>
      <c r="D235" s="38" t="s">
        <v>3097</v>
      </c>
      <c r="E235" s="38"/>
      <c r="F235" s="38"/>
      <c r="G235" s="38"/>
      <c r="H235" s="38"/>
      <c r="I235" s="50"/>
      <c r="J235" s="40"/>
      <c r="K235" s="50"/>
      <c r="L235" s="40"/>
      <c r="M235" s="40"/>
      <c r="O235" s="78" t="s">
        <v>1648</v>
      </c>
      <c r="P235" s="1080" t="s">
        <v>3452</v>
      </c>
      <c r="Q235" s="1287"/>
    </row>
    <row r="236" spans="1:32" ht="11.45" customHeight="1">
      <c r="B236" s="55"/>
      <c r="C236" s="594" t="s">
        <v>1649</v>
      </c>
      <c r="D236" s="62" t="s">
        <v>821</v>
      </c>
      <c r="E236" s="62"/>
      <c r="F236" s="62"/>
      <c r="G236" s="62"/>
      <c r="H236" s="62"/>
      <c r="I236" s="50"/>
      <c r="J236" s="40"/>
      <c r="K236" s="50"/>
      <c r="L236" s="40"/>
      <c r="M236" s="40"/>
      <c r="O236" s="594" t="s">
        <v>3080</v>
      </c>
      <c r="P236" s="1080" t="s">
        <v>3452</v>
      </c>
      <c r="Q236" s="1287"/>
    </row>
    <row r="237" spans="1:32" ht="11.45" customHeight="1">
      <c r="B237" s="55"/>
      <c r="C237" s="78"/>
      <c r="D237" s="62" t="s">
        <v>1583</v>
      </c>
      <c r="E237" s="62"/>
      <c r="F237" s="62"/>
      <c r="G237" s="62"/>
      <c r="H237" s="62"/>
      <c r="I237" s="50"/>
      <c r="J237" s="40"/>
      <c r="K237" s="50"/>
      <c r="L237" s="40"/>
      <c r="M237" s="40"/>
      <c r="O237" s="594" t="s">
        <v>3081</v>
      </c>
      <c r="P237" s="1080"/>
      <c r="Q237" s="1287"/>
    </row>
    <row r="238" spans="1:32" ht="3" customHeight="1">
      <c r="B238" s="55"/>
      <c r="C238" s="78"/>
      <c r="D238" s="62"/>
      <c r="E238" s="62"/>
      <c r="F238" s="62"/>
      <c r="G238" s="62"/>
      <c r="H238" s="62"/>
      <c r="I238" s="50"/>
      <c r="J238" s="40"/>
      <c r="K238" s="50"/>
      <c r="L238" s="40"/>
      <c r="M238" s="40"/>
    </row>
    <row r="239" spans="1:32" ht="12" customHeight="1">
      <c r="B239" s="55" t="s">
        <v>2245</v>
      </c>
      <c r="C239" s="261" t="s">
        <v>2884</v>
      </c>
      <c r="D239" s="62"/>
      <c r="E239" s="62"/>
      <c r="F239" s="62"/>
      <c r="G239" s="62"/>
      <c r="H239" s="62"/>
      <c r="I239" s="62"/>
      <c r="J239" s="62"/>
      <c r="K239" s="50"/>
      <c r="L239" s="62"/>
      <c r="M239" s="62"/>
      <c r="O239" s="594" t="s">
        <v>2245</v>
      </c>
      <c r="P239" s="1080" t="s">
        <v>3485</v>
      </c>
      <c r="Q239" s="1287"/>
    </row>
    <row r="240" spans="1:32" ht="11.45" customHeight="1">
      <c r="B240" s="55"/>
      <c r="C240" s="78" t="s">
        <v>1850</v>
      </c>
      <c r="D240" s="47" t="s">
        <v>1327</v>
      </c>
      <c r="E240" s="50"/>
      <c r="F240" s="50"/>
      <c r="G240" s="47"/>
      <c r="H240" s="38"/>
      <c r="I240" s="50"/>
      <c r="J240" s="38"/>
      <c r="K240" s="50"/>
      <c r="L240" s="38"/>
      <c r="M240" s="38"/>
      <c r="O240" s="78" t="s">
        <v>1850</v>
      </c>
      <c r="P240" s="1080" t="s">
        <v>3452</v>
      </c>
      <c r="Q240" s="1287"/>
    </row>
    <row r="241" spans="1:32" ht="11.45" customHeight="1">
      <c r="B241" s="55"/>
      <c r="C241" s="78" t="s">
        <v>1851</v>
      </c>
      <c r="D241" s="47" t="s">
        <v>152</v>
      </c>
      <c r="E241" s="50"/>
      <c r="F241" s="50"/>
      <c r="G241" s="38"/>
      <c r="H241" s="38"/>
      <c r="I241" s="50"/>
      <c r="J241" s="38"/>
      <c r="K241" s="50"/>
      <c r="L241" s="38"/>
      <c r="M241" s="38"/>
      <c r="O241" s="78" t="s">
        <v>1851</v>
      </c>
      <c r="P241" s="1080" t="s">
        <v>3452</v>
      </c>
      <c r="Q241" s="1287"/>
    </row>
    <row r="242" spans="1:32" ht="11.45" customHeight="1">
      <c r="B242" s="55"/>
      <c r="C242" s="78" t="s">
        <v>1852</v>
      </c>
      <c r="D242" s="38" t="s">
        <v>1744</v>
      </c>
      <c r="E242" s="50"/>
      <c r="F242" s="50"/>
      <c r="G242" s="38"/>
      <c r="H242" s="38"/>
      <c r="I242" s="50"/>
      <c r="J242" s="38"/>
      <c r="K242" s="50"/>
      <c r="L242" s="38"/>
      <c r="M242" s="38"/>
      <c r="O242" s="78" t="s">
        <v>2517</v>
      </c>
      <c r="P242" s="1080" t="s">
        <v>3452</v>
      </c>
      <c r="Q242" s="1287"/>
    </row>
    <row r="243" spans="1:32" ht="11.45" customHeight="1">
      <c r="B243" s="44"/>
      <c r="C243" s="50"/>
      <c r="D243" s="38" t="s">
        <v>1365</v>
      </c>
      <c r="E243" s="50"/>
      <c r="F243" s="50"/>
      <c r="G243" s="38"/>
      <c r="H243" s="38"/>
      <c r="I243" s="50"/>
      <c r="J243" s="38"/>
      <c r="K243" s="50"/>
      <c r="L243" s="38"/>
      <c r="M243" s="38"/>
      <c r="O243" s="78" t="s">
        <v>2518</v>
      </c>
      <c r="P243" s="1080"/>
      <c r="Q243" s="1287"/>
    </row>
    <row r="244" spans="1:32" ht="11.25" customHeight="1">
      <c r="B244" s="167" t="s">
        <v>1987</v>
      </c>
      <c r="D244" s="167"/>
      <c r="E244" s="167"/>
      <c r="F244" s="167"/>
      <c r="G244" s="167"/>
      <c r="H244" s="48"/>
      <c r="I244" s="1186"/>
      <c r="J244" s="1186"/>
      <c r="K244" s="1186"/>
      <c r="L244" s="1169"/>
      <c r="M244" s="1169"/>
      <c r="N244" s="1169"/>
      <c r="O244" s="1169"/>
      <c r="P244" s="1169"/>
      <c r="Q244" s="60"/>
    </row>
    <row r="245" spans="1:32" ht="11.45" customHeight="1">
      <c r="A245" s="1830" t="s">
        <v>3534</v>
      </c>
      <c r="B245" s="1831"/>
      <c r="C245" s="1831"/>
      <c r="D245" s="1831"/>
      <c r="E245" s="1831"/>
      <c r="F245" s="1831"/>
      <c r="G245" s="1831"/>
      <c r="H245" s="1831"/>
      <c r="I245" s="1831"/>
      <c r="J245" s="1831"/>
      <c r="K245" s="1831"/>
      <c r="L245" s="1831"/>
      <c r="M245" s="1831"/>
      <c r="N245" s="1831"/>
      <c r="O245" s="1831"/>
      <c r="P245" s="1831"/>
      <c r="Q245" s="1832"/>
      <c r="R245" s="562" t="s">
        <v>1326</v>
      </c>
      <c r="S245" s="563"/>
      <c r="U245" s="162"/>
      <c r="V245" s="162"/>
      <c r="W245" s="162"/>
      <c r="X245" s="162"/>
      <c r="Y245" s="162"/>
      <c r="Z245" s="162"/>
      <c r="AA245" s="162"/>
      <c r="AB245" s="162"/>
      <c r="AC245" s="162"/>
      <c r="AD245" s="162"/>
      <c r="AE245" s="596"/>
    </row>
    <row r="246" spans="1:32" ht="11.25" customHeight="1">
      <c r="B246" s="163" t="s">
        <v>1988</v>
      </c>
      <c r="C246" s="164"/>
      <c r="D246" s="1176"/>
      <c r="E246" s="1176"/>
      <c r="F246" s="1176"/>
      <c r="G246" s="1176"/>
      <c r="H246" s="1176"/>
      <c r="I246" s="1176"/>
      <c r="J246" s="1176"/>
      <c r="K246" s="1176"/>
      <c r="L246" s="1176"/>
      <c r="M246" s="1176"/>
      <c r="N246" s="1176"/>
      <c r="O246" s="1176"/>
      <c r="P246" s="1176"/>
      <c r="Q246" s="1176"/>
    </row>
    <row r="247" spans="1:32" ht="13.15" customHeight="1">
      <c r="A247" s="1833"/>
      <c r="B247" s="1834"/>
      <c r="C247" s="1834"/>
      <c r="D247" s="1834"/>
      <c r="E247" s="1834"/>
      <c r="F247" s="1834"/>
      <c r="G247" s="1834"/>
      <c r="H247" s="1834"/>
      <c r="I247" s="1834"/>
      <c r="J247" s="1834"/>
      <c r="K247" s="1834"/>
      <c r="L247" s="1834"/>
      <c r="M247" s="1834"/>
      <c r="N247" s="1834"/>
      <c r="O247" s="1834"/>
      <c r="P247" s="1834"/>
      <c r="Q247" s="1835"/>
    </row>
    <row r="248" spans="1:32" ht="3" customHeight="1">
      <c r="A248" s="1169"/>
      <c r="B248" s="1186"/>
      <c r="C248" s="1176"/>
      <c r="D248" s="1176"/>
      <c r="E248" s="1176"/>
      <c r="F248" s="1176"/>
      <c r="G248" s="1176"/>
      <c r="H248" s="1176"/>
      <c r="I248" s="1176"/>
      <c r="J248" s="1176"/>
      <c r="K248" s="1176"/>
      <c r="L248" s="1176"/>
      <c r="M248" s="1176"/>
      <c r="Q248" s="1169"/>
    </row>
    <row r="249" spans="1:32" ht="13.9" customHeight="1">
      <c r="A249" s="1178">
        <v>15</v>
      </c>
      <c r="B249" s="5" t="s">
        <v>2851</v>
      </c>
      <c r="C249" s="5"/>
      <c r="D249" s="101"/>
      <c r="E249" s="101"/>
      <c r="F249" s="101"/>
      <c r="G249" s="101"/>
      <c r="H249" s="1176"/>
      <c r="I249" s="1176"/>
      <c r="J249" s="1176"/>
      <c r="K249" s="1176"/>
      <c r="L249" s="1176"/>
      <c r="M249" s="1176"/>
      <c r="O249" s="157" t="s">
        <v>1989</v>
      </c>
      <c r="P249" s="1828"/>
      <c r="Q249" s="1829"/>
    </row>
    <row r="250" spans="1:32" ht="4.9000000000000004" customHeight="1"/>
    <row r="251" spans="1:32" ht="11.45" customHeight="1">
      <c r="B251" s="55" t="s">
        <v>2110</v>
      </c>
      <c r="C251" s="62" t="s">
        <v>1342</v>
      </c>
      <c r="D251" s="50"/>
      <c r="E251" s="62"/>
      <c r="F251" s="62"/>
      <c r="G251" s="62"/>
      <c r="H251" s="62"/>
      <c r="I251" s="50"/>
      <c r="J251" s="50"/>
      <c r="K251" s="50"/>
      <c r="L251" s="594" t="s">
        <v>2110</v>
      </c>
      <c r="M251" s="1836" t="s">
        <v>1886</v>
      </c>
      <c r="N251" s="1837"/>
      <c r="O251" s="1838"/>
      <c r="P251" s="1899" t="s">
        <v>1886</v>
      </c>
      <c r="Q251" s="1900"/>
    </row>
    <row r="252" spans="1:32" ht="11.45" customHeight="1">
      <c r="B252" s="55" t="s">
        <v>2113</v>
      </c>
      <c r="C252" s="62" t="s">
        <v>3098</v>
      </c>
      <c r="D252" s="62"/>
      <c r="E252" s="62"/>
      <c r="F252" s="62"/>
      <c r="G252" s="62"/>
      <c r="H252" s="62"/>
      <c r="I252" s="50"/>
      <c r="J252" s="50"/>
      <c r="K252" s="50"/>
      <c r="L252" s="594" t="s">
        <v>2113</v>
      </c>
      <c r="M252" s="1924"/>
      <c r="N252" s="1925"/>
      <c r="O252" s="1926"/>
      <c r="P252" s="1941"/>
      <c r="Q252" s="1942"/>
    </row>
    <row r="253" spans="1:32" s="175" customFormat="1" ht="11.45" customHeight="1">
      <c r="B253" s="55" t="s">
        <v>793</v>
      </c>
      <c r="C253" s="62" t="s">
        <v>2071</v>
      </c>
      <c r="D253" s="62"/>
      <c r="E253" s="62"/>
      <c r="F253" s="62"/>
      <c r="G253" s="62"/>
      <c r="H253" s="62"/>
      <c r="I253" s="111"/>
      <c r="J253" s="111"/>
      <c r="K253" s="111"/>
      <c r="L253" s="594" t="s">
        <v>793</v>
      </c>
      <c r="M253" s="1836"/>
      <c r="N253" s="1837"/>
      <c r="O253" s="1838"/>
      <c r="P253" s="1899"/>
      <c r="Q253" s="1900"/>
      <c r="AE253" s="598"/>
      <c r="AF253" s="598"/>
    </row>
    <row r="254" spans="1:32" s="175" customFormat="1" ht="11.45" customHeight="1">
      <c r="B254" s="55" t="s">
        <v>2245</v>
      </c>
      <c r="C254" s="62" t="s">
        <v>2716</v>
      </c>
      <c r="D254" s="62"/>
      <c r="E254" s="62"/>
      <c r="F254" s="62"/>
      <c r="G254" s="62"/>
      <c r="H254" s="62"/>
      <c r="I254" s="111"/>
      <c r="J254" s="111"/>
      <c r="K254" s="111"/>
      <c r="L254" s="111"/>
      <c r="M254" s="111"/>
      <c r="O254" s="594" t="s">
        <v>2245</v>
      </c>
      <c r="P254" s="1080"/>
      <c r="Q254" s="1287"/>
      <c r="AE254" s="598"/>
      <c r="AF254" s="598"/>
    </row>
    <row r="255" spans="1:32" s="175" customFormat="1" ht="22.15" customHeight="1">
      <c r="B255" s="168" t="s">
        <v>1848</v>
      </c>
      <c r="C255" s="1825" t="s">
        <v>2997</v>
      </c>
      <c r="D255" s="1825"/>
      <c r="E255" s="1825"/>
      <c r="F255" s="1825"/>
      <c r="G255" s="1825"/>
      <c r="H255" s="1825"/>
      <c r="I255" s="1825"/>
      <c r="J255" s="1825"/>
      <c r="K255" s="1825"/>
      <c r="L255" s="1825"/>
      <c r="M255" s="1825"/>
      <c r="N255" s="1825"/>
      <c r="O255" s="192" t="s">
        <v>1848</v>
      </c>
      <c r="P255" s="1080"/>
      <c r="Q255" s="1287"/>
      <c r="AE255" s="598"/>
      <c r="AF255" s="598"/>
    </row>
    <row r="256" spans="1:32" ht="11.25" customHeight="1">
      <c r="B256" s="167" t="s">
        <v>1987</v>
      </c>
      <c r="D256" s="167"/>
      <c r="E256" s="167"/>
      <c r="F256" s="167"/>
      <c r="G256" s="167"/>
      <c r="H256" s="48"/>
      <c r="I256" s="1186"/>
      <c r="J256" s="1186"/>
      <c r="K256" s="1186"/>
      <c r="L256" s="1169"/>
      <c r="M256" s="1169"/>
      <c r="N256" s="1169"/>
      <c r="O256" s="1169"/>
      <c r="P256" s="1169"/>
      <c r="Q256" s="60"/>
    </row>
    <row r="257" spans="1:32" ht="13.15" customHeight="1">
      <c r="A257" s="1830"/>
      <c r="B257" s="1831"/>
      <c r="C257" s="1831"/>
      <c r="D257" s="1831"/>
      <c r="E257" s="1831"/>
      <c r="F257" s="1831"/>
      <c r="G257" s="1831"/>
      <c r="H257" s="1831"/>
      <c r="I257" s="1831"/>
      <c r="J257" s="1831"/>
      <c r="K257" s="1831"/>
      <c r="L257" s="1831"/>
      <c r="M257" s="1831"/>
      <c r="N257" s="1831"/>
      <c r="O257" s="1831"/>
      <c r="P257" s="1831"/>
      <c r="Q257" s="1832"/>
      <c r="R257" s="562" t="s">
        <v>1326</v>
      </c>
      <c r="S257" s="563"/>
      <c r="U257" s="162"/>
      <c r="V257" s="162"/>
      <c r="W257" s="162"/>
      <c r="X257" s="162"/>
      <c r="Y257" s="162"/>
      <c r="Z257" s="162"/>
      <c r="AA257" s="162"/>
      <c r="AB257" s="162"/>
      <c r="AC257" s="162"/>
      <c r="AD257" s="162"/>
      <c r="AE257" s="596"/>
    </row>
    <row r="258" spans="1:32" ht="10.9" customHeight="1">
      <c r="B258" s="163" t="s">
        <v>1988</v>
      </c>
      <c r="C258" s="164"/>
      <c r="D258" s="1176"/>
      <c r="E258" s="1176"/>
      <c r="F258" s="1176"/>
      <c r="G258" s="1176"/>
      <c r="H258" s="1176"/>
      <c r="I258" s="1176"/>
      <c r="J258" s="1176"/>
      <c r="K258" s="1176"/>
      <c r="L258" s="1176"/>
      <c r="M258" s="1176"/>
      <c r="N258" s="1176"/>
      <c r="O258" s="1176"/>
      <c r="P258" s="1176"/>
      <c r="Q258" s="1176"/>
    </row>
    <row r="259" spans="1:32" ht="13.15" customHeight="1">
      <c r="A259" s="1833"/>
      <c r="B259" s="1834"/>
      <c r="C259" s="1834"/>
      <c r="D259" s="1834"/>
      <c r="E259" s="1834"/>
      <c r="F259" s="1834"/>
      <c r="G259" s="1834"/>
      <c r="H259" s="1834"/>
      <c r="I259" s="1834"/>
      <c r="J259" s="1834"/>
      <c r="K259" s="1834"/>
      <c r="L259" s="1834"/>
      <c r="M259" s="1834"/>
      <c r="N259" s="1834"/>
      <c r="O259" s="1834"/>
      <c r="P259" s="1834"/>
      <c r="Q259" s="1835"/>
    </row>
    <row r="260" spans="1:32" ht="3" customHeight="1">
      <c r="A260" s="1169"/>
      <c r="B260" s="1186"/>
      <c r="C260" s="1176"/>
      <c r="D260" s="1176"/>
      <c r="E260" s="1176"/>
      <c r="F260" s="1176"/>
      <c r="G260" s="1176"/>
      <c r="H260" s="1176"/>
      <c r="I260" s="1176"/>
      <c r="J260" s="1176"/>
      <c r="K260" s="1176"/>
      <c r="L260" s="1176"/>
      <c r="M260" s="1176"/>
      <c r="Q260" s="1169"/>
    </row>
    <row r="261" spans="1:32" ht="13.9" customHeight="1">
      <c r="A261" s="1178">
        <v>16</v>
      </c>
      <c r="B261" s="5" t="s">
        <v>2852</v>
      </c>
      <c r="C261" s="5"/>
      <c r="D261" s="101"/>
      <c r="E261" s="101"/>
      <c r="F261" s="101"/>
      <c r="G261" s="101"/>
      <c r="H261" s="1176"/>
      <c r="I261" s="1176"/>
      <c r="J261" s="1176"/>
      <c r="K261" s="1176"/>
      <c r="L261" s="1176"/>
      <c r="M261" s="1176"/>
      <c r="O261" s="157" t="s">
        <v>1989</v>
      </c>
      <c r="P261" s="1828"/>
      <c r="Q261" s="1829"/>
    </row>
    <row r="262" spans="1:32" ht="3" customHeight="1"/>
    <row r="263" spans="1:32" s="509" customFormat="1" ht="23.25" customHeight="1">
      <c r="B263" s="168" t="s">
        <v>2110</v>
      </c>
      <c r="C263" s="1825" t="s">
        <v>3099</v>
      </c>
      <c r="D263" s="1825"/>
      <c r="E263" s="1825"/>
      <c r="F263" s="1825"/>
      <c r="G263" s="1825"/>
      <c r="H263" s="1825"/>
      <c r="I263" s="1825"/>
      <c r="J263" s="1825"/>
      <c r="K263" s="1825"/>
      <c r="L263" s="1825"/>
      <c r="M263" s="1825"/>
      <c r="N263" s="1825"/>
      <c r="O263" s="192" t="s">
        <v>2110</v>
      </c>
      <c r="P263" s="1092" t="s">
        <v>3452</v>
      </c>
      <c r="Q263" s="1290"/>
      <c r="AE263" s="599"/>
      <c r="AF263" s="599"/>
    </row>
    <row r="264" spans="1:32" s="175" customFormat="1" ht="11.45" customHeight="1">
      <c r="B264" s="55" t="s">
        <v>2113</v>
      </c>
      <c r="C264" s="62" t="s">
        <v>1489</v>
      </c>
      <c r="D264" s="62"/>
      <c r="E264" s="62"/>
      <c r="F264" s="62"/>
      <c r="G264" s="62"/>
      <c r="H264" s="62"/>
      <c r="I264" s="62"/>
      <c r="J264" s="62"/>
      <c r="K264" s="62"/>
      <c r="L264" s="62"/>
      <c r="M264" s="62"/>
      <c r="O264" s="594" t="s">
        <v>2113</v>
      </c>
      <c r="P264" s="1080" t="s">
        <v>3452</v>
      </c>
      <c r="Q264" s="1287"/>
      <c r="AE264" s="598"/>
      <c r="AF264" s="598"/>
    </row>
    <row r="265" spans="1:32" ht="11.25" customHeight="1">
      <c r="B265" s="167" t="s">
        <v>1987</v>
      </c>
      <c r="D265" s="167"/>
      <c r="E265" s="167"/>
      <c r="F265" s="167"/>
      <c r="G265" s="167"/>
      <c r="H265" s="48"/>
      <c r="I265" s="1186"/>
      <c r="J265" s="1186"/>
      <c r="K265" s="1186"/>
      <c r="L265" s="1169"/>
      <c r="M265" s="1169"/>
      <c r="N265" s="1169"/>
      <c r="O265" s="1169"/>
      <c r="P265" s="1169"/>
      <c r="Q265" s="60"/>
    </row>
    <row r="266" spans="1:32" ht="13.15" customHeight="1">
      <c r="A266" s="1830" t="s">
        <v>3535</v>
      </c>
      <c r="B266" s="1831"/>
      <c r="C266" s="1831"/>
      <c r="D266" s="1831"/>
      <c r="E266" s="1831"/>
      <c r="F266" s="1831"/>
      <c r="G266" s="1831"/>
      <c r="H266" s="1831"/>
      <c r="I266" s="1831"/>
      <c r="J266" s="1831"/>
      <c r="K266" s="1831"/>
      <c r="L266" s="1831"/>
      <c r="M266" s="1831"/>
      <c r="N266" s="1831"/>
      <c r="O266" s="1831"/>
      <c r="P266" s="1831"/>
      <c r="Q266" s="1832"/>
      <c r="R266" s="562" t="s">
        <v>1326</v>
      </c>
      <c r="S266" s="563"/>
      <c r="U266" s="162"/>
      <c r="V266" s="162"/>
      <c r="W266" s="162"/>
      <c r="X266" s="162"/>
      <c r="Y266" s="162"/>
      <c r="Z266" s="162"/>
      <c r="AA266" s="162"/>
      <c r="AB266" s="162"/>
      <c r="AC266" s="162"/>
      <c r="AD266" s="162"/>
      <c r="AE266" s="596"/>
    </row>
    <row r="267" spans="1:32" ht="11.25" customHeight="1">
      <c r="B267" s="163" t="s">
        <v>1988</v>
      </c>
      <c r="C267" s="164"/>
      <c r="D267" s="1176"/>
      <c r="E267" s="1176"/>
      <c r="F267" s="1176"/>
      <c r="G267" s="1176"/>
      <c r="H267" s="1176"/>
      <c r="I267" s="1176"/>
      <c r="J267" s="1176"/>
      <c r="K267" s="1176"/>
      <c r="L267" s="1176"/>
      <c r="M267" s="1176"/>
      <c r="N267" s="1176"/>
      <c r="O267" s="1176"/>
      <c r="P267" s="1176"/>
      <c r="Q267" s="1176"/>
    </row>
    <row r="268" spans="1:32" ht="13.15" customHeight="1">
      <c r="A268" s="1833"/>
      <c r="B268" s="1834"/>
      <c r="C268" s="1834"/>
      <c r="D268" s="1834"/>
      <c r="E268" s="1834"/>
      <c r="F268" s="1834"/>
      <c r="G268" s="1834"/>
      <c r="H268" s="1834"/>
      <c r="I268" s="1834"/>
      <c r="J268" s="1834"/>
      <c r="K268" s="1834"/>
      <c r="L268" s="1834"/>
      <c r="M268" s="1834"/>
      <c r="N268" s="1834"/>
      <c r="O268" s="1834"/>
      <c r="P268" s="1834"/>
      <c r="Q268" s="1835"/>
    </row>
    <row r="269" spans="1:32" ht="3" customHeight="1">
      <c r="A269" s="1169"/>
      <c r="B269" s="1186"/>
      <c r="C269" s="1176"/>
      <c r="D269" s="1176"/>
      <c r="E269" s="1176"/>
      <c r="F269" s="1176"/>
      <c r="G269" s="1176"/>
      <c r="H269" s="1176"/>
      <c r="I269" s="1176"/>
      <c r="J269" s="1176"/>
      <c r="K269" s="1176"/>
      <c r="L269" s="1176"/>
      <c r="M269" s="1176"/>
      <c r="N269" s="1176"/>
      <c r="O269" s="1176"/>
      <c r="P269" s="157"/>
      <c r="Q269" s="60"/>
    </row>
    <row r="270" spans="1:32" ht="13.9" customHeight="1">
      <c r="A270" s="1178">
        <v>17</v>
      </c>
      <c r="B270" s="1178" t="s">
        <v>2853</v>
      </c>
      <c r="C270" s="1178"/>
      <c r="D270" s="1176"/>
      <c r="E270" s="1176"/>
      <c r="F270" s="1176"/>
      <c r="G270" s="1176"/>
      <c r="H270" s="1176"/>
      <c r="I270" s="1176"/>
      <c r="J270" s="1176"/>
      <c r="K270" s="1176"/>
      <c r="L270" s="1176"/>
      <c r="M270" s="1176"/>
      <c r="O270" s="157" t="s">
        <v>1989</v>
      </c>
      <c r="P270" s="1828"/>
      <c r="Q270" s="1829"/>
    </row>
    <row r="271" spans="1:32" ht="3" customHeight="1"/>
    <row r="272" spans="1:32" s="509" customFormat="1" ht="24" customHeight="1">
      <c r="B272" s="168" t="s">
        <v>2110</v>
      </c>
      <c r="C272" s="1936" t="s">
        <v>3100</v>
      </c>
      <c r="D272" s="1627"/>
      <c r="E272" s="1627"/>
      <c r="F272" s="1627"/>
      <c r="G272" s="1627"/>
      <c r="H272" s="1627"/>
      <c r="I272" s="1627"/>
      <c r="J272" s="1627"/>
      <c r="K272" s="1627"/>
      <c r="L272" s="1627"/>
      <c r="M272" s="1627"/>
      <c r="N272" s="1627"/>
      <c r="O272" s="192" t="s">
        <v>2110</v>
      </c>
      <c r="P272" s="1080" t="s">
        <v>3485</v>
      </c>
      <c r="Q272" s="1287"/>
      <c r="AE272" s="599"/>
      <c r="AF272" s="599"/>
    </row>
    <row r="273" spans="1:32" s="509" customFormat="1" ht="24" customHeight="1">
      <c r="B273" s="168" t="s">
        <v>2113</v>
      </c>
      <c r="C273" s="1936" t="s">
        <v>3101</v>
      </c>
      <c r="D273" s="1627"/>
      <c r="E273" s="1627"/>
      <c r="F273" s="1627"/>
      <c r="G273" s="1627"/>
      <c r="H273" s="1627"/>
      <c r="I273" s="1627"/>
      <c r="J273" s="1627"/>
      <c r="K273" s="1627"/>
      <c r="L273" s="1627"/>
      <c r="M273" s="1627"/>
      <c r="N273" s="1627"/>
      <c r="O273" s="192" t="s">
        <v>2113</v>
      </c>
      <c r="P273" s="1080" t="s">
        <v>3485</v>
      </c>
      <c r="Q273" s="1287"/>
      <c r="AE273" s="599"/>
      <c r="AF273" s="599"/>
    </row>
    <row r="274" spans="1:32" ht="11.25" customHeight="1">
      <c r="B274" s="167" t="s">
        <v>1987</v>
      </c>
      <c r="D274" s="167"/>
      <c r="E274" s="167"/>
      <c r="F274" s="167"/>
      <c r="G274" s="167"/>
      <c r="H274" s="48"/>
      <c r="I274" s="1186"/>
      <c r="J274" s="1186"/>
      <c r="K274" s="1186"/>
      <c r="L274" s="1169"/>
      <c r="M274" s="1169"/>
      <c r="N274" s="1169"/>
      <c r="O274" s="1169"/>
      <c r="P274" s="1169"/>
      <c r="Q274" s="60"/>
    </row>
    <row r="275" spans="1:32" ht="13.15" customHeight="1">
      <c r="A275" s="1830" t="s">
        <v>3536</v>
      </c>
      <c r="B275" s="1831"/>
      <c r="C275" s="1831"/>
      <c r="D275" s="1831"/>
      <c r="E275" s="1831"/>
      <c r="F275" s="1831"/>
      <c r="G275" s="1831"/>
      <c r="H275" s="1831"/>
      <c r="I275" s="1831"/>
      <c r="J275" s="1831"/>
      <c r="K275" s="1831"/>
      <c r="L275" s="1831"/>
      <c r="M275" s="1831"/>
      <c r="N275" s="1831"/>
      <c r="O275" s="1831"/>
      <c r="P275" s="1831"/>
      <c r="Q275" s="1832"/>
      <c r="R275" s="562" t="s">
        <v>1326</v>
      </c>
      <c r="S275" s="563"/>
      <c r="U275" s="162"/>
      <c r="V275" s="162"/>
      <c r="W275" s="162"/>
      <c r="X275" s="162"/>
      <c r="Y275" s="162"/>
      <c r="Z275" s="162"/>
      <c r="AA275" s="162"/>
      <c r="AB275" s="162"/>
      <c r="AC275" s="162"/>
      <c r="AD275" s="162"/>
      <c r="AE275" s="596"/>
    </row>
    <row r="276" spans="1:32" ht="11.25" customHeight="1">
      <c r="B276" s="163" t="s">
        <v>1988</v>
      </c>
      <c r="C276" s="164"/>
      <c r="D276" s="1176"/>
      <c r="E276" s="1176"/>
      <c r="F276" s="1176"/>
      <c r="G276" s="1176"/>
      <c r="H276" s="1176"/>
      <c r="I276" s="1176"/>
      <c r="J276" s="1176"/>
      <c r="K276" s="1176"/>
      <c r="L276" s="1176"/>
      <c r="M276" s="1176"/>
      <c r="N276" s="1176"/>
      <c r="O276" s="1176"/>
      <c r="P276" s="1176"/>
      <c r="Q276" s="1176"/>
    </row>
    <row r="277" spans="1:32" ht="13.15" customHeight="1">
      <c r="A277" s="1833"/>
      <c r="B277" s="1834"/>
      <c r="C277" s="1834"/>
      <c r="D277" s="1834"/>
      <c r="E277" s="1834"/>
      <c r="F277" s="1834"/>
      <c r="G277" s="1834"/>
      <c r="H277" s="1834"/>
      <c r="I277" s="1834"/>
      <c r="J277" s="1834"/>
      <c r="K277" s="1834"/>
      <c r="L277" s="1834"/>
      <c r="M277" s="1834"/>
      <c r="N277" s="1834"/>
      <c r="O277" s="1834"/>
      <c r="P277" s="1834"/>
      <c r="Q277" s="1835"/>
    </row>
    <row r="278" spans="1:32" ht="5.45" customHeight="1">
      <c r="A278" s="1169"/>
      <c r="B278" s="1186"/>
      <c r="C278" s="1176"/>
      <c r="D278" s="1176"/>
      <c r="E278" s="1176"/>
      <c r="F278" s="1176"/>
      <c r="G278" s="1176"/>
      <c r="H278" s="1176"/>
      <c r="I278" s="1176"/>
      <c r="J278" s="1176"/>
      <c r="K278" s="1176"/>
      <c r="L278" s="1176"/>
      <c r="M278" s="1176"/>
      <c r="Q278" s="1169"/>
    </row>
    <row r="279" spans="1:32" ht="13.9" customHeight="1">
      <c r="A279" s="1178">
        <v>18</v>
      </c>
      <c r="B279" s="1178" t="s">
        <v>2854</v>
      </c>
      <c r="C279" s="176"/>
      <c r="D279" s="1180"/>
      <c r="E279" s="1176"/>
      <c r="F279" s="1176"/>
      <c r="G279" s="1176"/>
      <c r="H279" s="1176"/>
      <c r="I279" s="1176"/>
      <c r="J279" s="1176"/>
      <c r="K279" s="1176"/>
      <c r="L279" s="1176"/>
      <c r="M279" s="1176"/>
      <c r="O279" s="157" t="s">
        <v>1989</v>
      </c>
      <c r="P279" s="1828"/>
      <c r="Q279" s="1829"/>
    </row>
    <row r="280" spans="1:32" s="175" customFormat="1" ht="46.5" customHeight="1">
      <c r="B280" s="168" t="s">
        <v>2110</v>
      </c>
      <c r="C280" s="177" t="s">
        <v>1850</v>
      </c>
      <c r="D280" s="1936" t="s">
        <v>3102</v>
      </c>
      <c r="E280" s="1936"/>
      <c r="F280" s="1936"/>
      <c r="G280" s="1936"/>
      <c r="H280" s="1936"/>
      <c r="I280" s="1936"/>
      <c r="J280" s="1936"/>
      <c r="K280" s="1936"/>
      <c r="L280" s="1936"/>
      <c r="M280" s="1936"/>
      <c r="N280" s="1936"/>
      <c r="O280" s="192" t="s">
        <v>2965</v>
      </c>
      <c r="P280" s="1092" t="s">
        <v>3452</v>
      </c>
      <c r="Q280" s="1287"/>
      <c r="AE280" s="598"/>
      <c r="AF280" s="598"/>
    </row>
    <row r="281" spans="1:32" s="111" customFormat="1" ht="12.75" customHeight="1">
      <c r="B281" s="55"/>
      <c r="C281" s="78" t="s">
        <v>1851</v>
      </c>
      <c r="D281" s="1937" t="s">
        <v>3103</v>
      </c>
      <c r="E281" s="1937"/>
      <c r="F281" s="1937"/>
      <c r="G281" s="1937"/>
      <c r="H281" s="1937"/>
      <c r="I281" s="1937"/>
      <c r="J281" s="1937"/>
      <c r="K281" s="1937"/>
      <c r="L281" s="1937"/>
      <c r="M281" s="1937"/>
      <c r="N281" s="1937"/>
      <c r="O281" s="78" t="s">
        <v>1851</v>
      </c>
      <c r="P281" s="1080" t="s">
        <v>3452</v>
      </c>
      <c r="Q281" s="1287"/>
      <c r="AE281" s="600"/>
      <c r="AF281" s="600"/>
    </row>
    <row r="282" spans="1:32" s="111" customFormat="1" ht="22.5" customHeight="1">
      <c r="B282" s="168" t="s">
        <v>2113</v>
      </c>
      <c r="C282" s="177" t="s">
        <v>1850</v>
      </c>
      <c r="D282" s="1936" t="s">
        <v>2963</v>
      </c>
      <c r="E282" s="1936"/>
      <c r="F282" s="1936"/>
      <c r="G282" s="1936"/>
      <c r="H282" s="1936"/>
      <c r="I282" s="1936"/>
      <c r="J282" s="1936"/>
      <c r="K282" s="1936"/>
      <c r="L282" s="1936"/>
      <c r="M282" s="1936"/>
      <c r="N282" s="1936"/>
      <c r="O282" s="594" t="s">
        <v>2966</v>
      </c>
      <c r="P282" s="1080" t="s">
        <v>3452</v>
      </c>
      <c r="Q282" s="1287"/>
      <c r="AE282" s="600"/>
      <c r="AF282" s="600"/>
    </row>
    <row r="283" spans="1:32" s="111" customFormat="1" ht="12" customHeight="1">
      <c r="B283" s="168"/>
      <c r="C283" s="177" t="s">
        <v>1851</v>
      </c>
      <c r="D283" s="1936" t="s">
        <v>2964</v>
      </c>
      <c r="E283" s="1936"/>
      <c r="F283" s="1936"/>
      <c r="G283" s="1936"/>
      <c r="H283" s="1936"/>
      <c r="I283" s="1936"/>
      <c r="J283" s="1936"/>
      <c r="K283" s="1936"/>
      <c r="L283" s="1936"/>
      <c r="M283" s="1936"/>
      <c r="N283" s="1936"/>
      <c r="O283" s="594" t="s">
        <v>3104</v>
      </c>
      <c r="P283" s="1091" t="s">
        <v>3452</v>
      </c>
      <c r="Q283" s="1289"/>
      <c r="AE283" s="600"/>
      <c r="AF283" s="600"/>
    </row>
    <row r="284" spans="1:32" s="509" customFormat="1" ht="36" customHeight="1">
      <c r="B284" s="168" t="s">
        <v>793</v>
      </c>
      <c r="C284" s="177"/>
      <c r="D284" s="1936" t="s">
        <v>3219</v>
      </c>
      <c r="E284" s="1936"/>
      <c r="F284" s="1936"/>
      <c r="G284" s="1936"/>
      <c r="H284" s="1936"/>
      <c r="I284" s="1936"/>
      <c r="J284" s="1936"/>
      <c r="K284" s="1936"/>
      <c r="L284" s="1936"/>
      <c r="M284" s="1936"/>
      <c r="N284" s="1936"/>
      <c r="O284" s="192" t="s">
        <v>793</v>
      </c>
      <c r="P284" s="1092" t="s">
        <v>3452</v>
      </c>
      <c r="Q284" s="1290"/>
      <c r="AE284" s="599"/>
      <c r="AF284" s="599"/>
    </row>
    <row r="285" spans="1:32" ht="11.25" customHeight="1">
      <c r="B285" s="167" t="s">
        <v>1987</v>
      </c>
      <c r="D285" s="167"/>
      <c r="E285" s="167"/>
      <c r="F285" s="167"/>
      <c r="G285" s="167"/>
      <c r="H285" s="48"/>
      <c r="I285" s="1186"/>
      <c r="J285" s="1186"/>
      <c r="K285" s="1186"/>
      <c r="L285" s="1169"/>
      <c r="M285" s="1169"/>
      <c r="N285" s="1169"/>
      <c r="O285" s="1169"/>
      <c r="P285" s="1169"/>
      <c r="Q285" s="60"/>
    </row>
    <row r="286" spans="1:32" ht="11.45" customHeight="1">
      <c r="A286" s="1830" t="s">
        <v>3537</v>
      </c>
      <c r="B286" s="1831"/>
      <c r="C286" s="1831"/>
      <c r="D286" s="1831"/>
      <c r="E286" s="1831"/>
      <c r="F286" s="1831"/>
      <c r="G286" s="1831"/>
      <c r="H286" s="1831"/>
      <c r="I286" s="1831"/>
      <c r="J286" s="1831"/>
      <c r="K286" s="1831"/>
      <c r="L286" s="1831"/>
      <c r="M286" s="1831"/>
      <c r="N286" s="1831"/>
      <c r="O286" s="1831"/>
      <c r="P286" s="1831"/>
      <c r="Q286" s="1832"/>
      <c r="R286" s="562" t="s">
        <v>1326</v>
      </c>
      <c r="S286" s="563"/>
      <c r="U286" s="162"/>
      <c r="V286" s="162"/>
      <c r="W286" s="162"/>
      <c r="X286" s="162"/>
      <c r="Y286" s="162"/>
      <c r="Z286" s="162"/>
      <c r="AA286" s="162"/>
      <c r="AB286" s="162"/>
      <c r="AC286" s="162"/>
      <c r="AD286" s="162"/>
      <c r="AE286" s="596"/>
    </row>
    <row r="287" spans="1:32" ht="11.25" customHeight="1">
      <c r="B287" s="163" t="s">
        <v>1988</v>
      </c>
      <c r="C287" s="164"/>
      <c r="D287" s="1176"/>
      <c r="E287" s="1176"/>
      <c r="F287" s="1176"/>
      <c r="G287" s="1176"/>
      <c r="H287" s="1176"/>
      <c r="I287" s="1176"/>
      <c r="J287" s="1176"/>
      <c r="K287" s="1176"/>
      <c r="L287" s="1176"/>
      <c r="M287" s="1176"/>
      <c r="N287" s="1176"/>
      <c r="O287" s="1176"/>
      <c r="P287" s="1176"/>
      <c r="Q287" s="1176"/>
    </row>
    <row r="288" spans="1:32" ht="11.45" customHeight="1">
      <c r="A288" s="1943"/>
      <c r="B288" s="1944"/>
      <c r="C288" s="1944"/>
      <c r="D288" s="1944"/>
      <c r="E288" s="1944"/>
      <c r="F288" s="1944"/>
      <c r="G288" s="1944"/>
      <c r="H288" s="1944"/>
      <c r="I288" s="1944"/>
      <c r="J288" s="1944"/>
      <c r="K288" s="1944"/>
      <c r="L288" s="1944"/>
      <c r="M288" s="1944"/>
      <c r="N288" s="1944"/>
      <c r="O288" s="1944"/>
      <c r="P288" s="1944"/>
      <c r="Q288" s="1945"/>
    </row>
    <row r="289" spans="1:256 1523:1523" ht="13.9" customHeight="1">
      <c r="A289" s="1178">
        <v>19</v>
      </c>
      <c r="B289" s="11" t="s">
        <v>2855</v>
      </c>
      <c r="C289" s="11"/>
      <c r="D289" s="11"/>
      <c r="E289" s="11"/>
      <c r="F289" s="11"/>
      <c r="G289" s="11"/>
      <c r="H289" s="1176"/>
      <c r="I289" s="1176"/>
      <c r="J289" s="1176"/>
      <c r="K289" s="1176"/>
      <c r="L289" s="1176"/>
      <c r="M289" s="1176"/>
      <c r="O289" s="157" t="s">
        <v>1989</v>
      </c>
      <c r="P289" s="1946"/>
      <c r="Q289" s="1947"/>
    </row>
    <row r="290" spans="1:256 1523:1523" ht="11.45" customHeight="1">
      <c r="B290" s="171" t="s">
        <v>2392</v>
      </c>
      <c r="P290" s="1080" t="s">
        <v>3425</v>
      </c>
      <c r="Q290" s="1287"/>
    </row>
    <row r="291" spans="1:256 1523:1523" ht="12" customHeight="1">
      <c r="B291" s="173" t="s">
        <v>2347</v>
      </c>
      <c r="C291" s="173"/>
      <c r="D291" s="173"/>
      <c r="E291" s="173"/>
      <c r="F291" s="173"/>
      <c r="G291" s="173"/>
      <c r="H291" s="173"/>
      <c r="I291" s="173"/>
      <c r="J291" s="173"/>
      <c r="K291" s="173"/>
      <c r="L291" s="173"/>
      <c r="P291" s="1080" t="s">
        <v>3452</v>
      </c>
      <c r="Q291" s="1287"/>
    </row>
    <row r="292" spans="1:256 1523:1523" ht="11.45" customHeight="1">
      <c r="B292" s="168" t="s">
        <v>2110</v>
      </c>
      <c r="C292" s="226" t="s">
        <v>481</v>
      </c>
      <c r="D292" s="38"/>
      <c r="E292" s="38"/>
      <c r="F292" s="38"/>
      <c r="G292" s="38"/>
      <c r="H292" s="38"/>
      <c r="I292" s="38"/>
      <c r="J292" s="38"/>
      <c r="K292" s="38"/>
      <c r="L292" s="38"/>
      <c r="M292" s="38"/>
      <c r="N292" s="192"/>
    </row>
    <row r="293" spans="1:256 1523:1523" ht="22.5" customHeight="1">
      <c r="A293" s="170"/>
      <c r="C293" s="1936" t="s">
        <v>3273</v>
      </c>
      <c r="D293" s="1936"/>
      <c r="E293" s="1936"/>
      <c r="F293" s="1936"/>
      <c r="G293" s="1936"/>
      <c r="H293" s="1936"/>
      <c r="I293" s="1936"/>
      <c r="J293" s="1936"/>
      <c r="K293" s="1936"/>
      <c r="L293" s="1936"/>
      <c r="M293" s="1936"/>
      <c r="N293" s="1936"/>
      <c r="O293" s="192" t="s">
        <v>2110</v>
      </c>
      <c r="P293" s="1092"/>
      <c r="Q293" s="1290"/>
    </row>
    <row r="294" spans="1:256 1523:1523" ht="12.6" customHeight="1">
      <c r="B294" s="168" t="s">
        <v>2113</v>
      </c>
      <c r="C294" s="1971" t="s">
        <v>482</v>
      </c>
      <c r="D294" s="1971"/>
      <c r="E294" s="1971"/>
      <c r="F294" s="1971"/>
      <c r="G294" s="1971"/>
      <c r="H294" s="1971"/>
      <c r="I294" s="1971"/>
      <c r="J294" s="1971"/>
      <c r="K294" s="1971"/>
      <c r="L294" s="1971"/>
      <c r="M294" s="1971"/>
      <c r="O294" s="192" t="s">
        <v>2113</v>
      </c>
      <c r="P294" s="1169"/>
      <c r="Q294" s="60"/>
    </row>
    <row r="295" spans="1:256 1523:1523" ht="23.25" customHeight="1">
      <c r="A295" s="170"/>
      <c r="C295" s="259" t="s">
        <v>1850</v>
      </c>
      <c r="D295" s="260" t="s">
        <v>1191</v>
      </c>
      <c r="E295" s="158"/>
      <c r="F295" s="158"/>
      <c r="G295" s="1960" t="s">
        <v>1532</v>
      </c>
      <c r="H295" s="1961"/>
      <c r="I295" s="1961"/>
      <c r="J295" s="1961"/>
      <c r="K295" s="1961"/>
      <c r="L295" s="1961"/>
      <c r="M295" s="1961"/>
      <c r="N295" s="1962"/>
      <c r="O295" s="263" t="s">
        <v>1850</v>
      </c>
      <c r="P295" s="1092" t="s">
        <v>3452</v>
      </c>
      <c r="Q295" s="1290"/>
      <c r="BFO295" s="175" t="s">
        <v>2967</v>
      </c>
    </row>
    <row r="296" spans="1:256 1523:1523" ht="23.25" customHeight="1">
      <c r="A296" s="170"/>
      <c r="C296" s="259" t="s">
        <v>1851</v>
      </c>
      <c r="D296" s="1825" t="s">
        <v>1192</v>
      </c>
      <c r="E296" s="1974"/>
      <c r="F296" s="1975"/>
      <c r="G296" s="1927" t="s">
        <v>2837</v>
      </c>
      <c r="H296" s="1972"/>
      <c r="I296" s="1972"/>
      <c r="J296" s="1972"/>
      <c r="K296" s="1972"/>
      <c r="L296" s="1972"/>
      <c r="M296" s="1972"/>
      <c r="N296" s="1973"/>
      <c r="O296" s="263" t="s">
        <v>1851</v>
      </c>
      <c r="P296" s="1092" t="s">
        <v>3452</v>
      </c>
      <c r="Q296" s="1290"/>
    </row>
    <row r="297" spans="1:256 1523:1523" ht="3" customHeight="1">
      <c r="A297" s="1169"/>
      <c r="B297" s="1169"/>
      <c r="C297" s="1169"/>
      <c r="D297" s="1169"/>
      <c r="E297" s="1169"/>
      <c r="F297" s="1169"/>
      <c r="G297" s="1169"/>
      <c r="H297" s="1169"/>
      <c r="I297" s="1169"/>
      <c r="J297" s="1169"/>
      <c r="K297" s="1169"/>
      <c r="L297" s="1169"/>
      <c r="M297" s="1169"/>
      <c r="N297" s="1169"/>
      <c r="O297" s="1169"/>
      <c r="P297" s="1169"/>
      <c r="Q297" s="1169"/>
      <c r="R297" s="1169"/>
      <c r="S297" s="1169"/>
      <c r="T297" s="1169"/>
      <c r="U297" s="1169"/>
      <c r="V297" s="1169"/>
      <c r="W297" s="1169"/>
      <c r="X297" s="1169"/>
      <c r="Y297" s="1169"/>
      <c r="Z297" s="1169"/>
      <c r="AA297" s="1169"/>
      <c r="AB297" s="1169"/>
      <c r="AC297" s="1169"/>
      <c r="AD297" s="1169"/>
      <c r="AE297" s="60"/>
      <c r="AF297" s="60"/>
      <c r="AG297" s="1169"/>
      <c r="AH297" s="1169"/>
      <c r="AI297" s="1169"/>
      <c r="AJ297" s="1169"/>
      <c r="AK297" s="1169"/>
      <c r="AL297" s="1169"/>
      <c r="AM297" s="1169"/>
      <c r="AN297" s="1169"/>
      <c r="AO297" s="1169"/>
      <c r="AP297" s="1169"/>
      <c r="AQ297" s="1169"/>
      <c r="AR297" s="1169"/>
      <c r="AS297" s="1169"/>
      <c r="AT297" s="1169"/>
      <c r="AU297" s="1169"/>
      <c r="AV297" s="1169"/>
      <c r="AW297" s="1169"/>
      <c r="AX297" s="1169"/>
      <c r="AY297" s="1169"/>
      <c r="AZ297" s="1169"/>
      <c r="BA297" s="1169"/>
      <c r="BB297" s="1169"/>
      <c r="BC297" s="1169"/>
      <c r="BD297" s="1169"/>
      <c r="BE297" s="1169"/>
      <c r="BF297" s="1169"/>
      <c r="BG297" s="1169"/>
      <c r="BH297" s="1169"/>
      <c r="BI297" s="1169"/>
      <c r="BJ297" s="1169"/>
      <c r="BK297" s="1169"/>
      <c r="BL297" s="1169"/>
      <c r="BM297" s="1169"/>
      <c r="BN297" s="1169"/>
      <c r="BO297" s="1169"/>
      <c r="BP297" s="1169"/>
      <c r="BQ297" s="1169"/>
      <c r="BR297" s="1169"/>
      <c r="BS297" s="1169"/>
      <c r="BT297" s="1169"/>
      <c r="BU297" s="1169"/>
      <c r="BV297" s="1169"/>
      <c r="BW297" s="1169"/>
      <c r="BX297" s="1169"/>
      <c r="BY297" s="1169"/>
      <c r="BZ297" s="1169"/>
      <c r="CA297" s="1169"/>
      <c r="CB297" s="1169"/>
      <c r="CC297" s="1169"/>
      <c r="CD297" s="1169"/>
      <c r="CE297" s="1169"/>
      <c r="CF297" s="1169"/>
      <c r="CG297" s="1169"/>
      <c r="CH297" s="1169"/>
      <c r="CI297" s="1169"/>
      <c r="CJ297" s="1169"/>
      <c r="CK297" s="1169"/>
      <c r="CL297" s="1169"/>
      <c r="CM297" s="1169"/>
      <c r="CN297" s="1169"/>
      <c r="CO297" s="1169"/>
      <c r="CP297" s="1169"/>
      <c r="CQ297" s="1169"/>
      <c r="CR297" s="1169"/>
      <c r="CS297" s="1169"/>
      <c r="CT297" s="1169"/>
      <c r="CU297" s="1169"/>
      <c r="CV297" s="1169"/>
      <c r="CW297" s="1169"/>
      <c r="CX297" s="1169"/>
      <c r="CY297" s="1169"/>
      <c r="CZ297" s="1169"/>
      <c r="DA297" s="1169"/>
      <c r="DB297" s="1169"/>
      <c r="DC297" s="1169"/>
      <c r="DD297" s="1169"/>
      <c r="DE297" s="1169"/>
      <c r="DF297" s="1169"/>
      <c r="DG297" s="1169"/>
      <c r="DH297" s="1169"/>
      <c r="DI297" s="1169"/>
      <c r="DJ297" s="1169"/>
      <c r="DK297" s="1169"/>
      <c r="DL297" s="1169"/>
      <c r="DM297" s="1169"/>
      <c r="DN297" s="1169"/>
      <c r="DO297" s="1169"/>
      <c r="DP297" s="1169"/>
      <c r="DQ297" s="1169"/>
      <c r="DR297" s="1169"/>
      <c r="DS297" s="1169"/>
      <c r="DT297" s="1169"/>
      <c r="DU297" s="1169"/>
      <c r="DV297" s="1169"/>
      <c r="DW297" s="1169"/>
      <c r="DX297" s="1169"/>
      <c r="DY297" s="1169"/>
      <c r="DZ297" s="1169"/>
      <c r="EA297" s="1169"/>
      <c r="EB297" s="1169"/>
      <c r="EC297" s="1169"/>
      <c r="ED297" s="1169"/>
      <c r="EE297" s="1169"/>
      <c r="EF297" s="1169"/>
      <c r="EG297" s="1169"/>
      <c r="EH297" s="1169"/>
      <c r="EI297" s="1169"/>
      <c r="EJ297" s="1169"/>
      <c r="EK297" s="1169"/>
      <c r="EL297" s="1169"/>
      <c r="EM297" s="1169"/>
      <c r="EN297" s="1169"/>
      <c r="EO297" s="1169"/>
      <c r="EP297" s="1169"/>
      <c r="EQ297" s="1169"/>
      <c r="ER297" s="1169"/>
      <c r="ES297" s="1169"/>
      <c r="ET297" s="1169"/>
      <c r="EU297" s="1169"/>
      <c r="EV297" s="1169"/>
      <c r="EW297" s="1169"/>
      <c r="EX297" s="1169"/>
      <c r="EY297" s="1169"/>
      <c r="EZ297" s="1169"/>
      <c r="FA297" s="1169"/>
      <c r="FB297" s="1169"/>
      <c r="FC297" s="1169"/>
      <c r="FD297" s="1169"/>
      <c r="FE297" s="1169"/>
      <c r="FF297" s="1169"/>
      <c r="FG297" s="1169"/>
      <c r="FH297" s="1169"/>
      <c r="FI297" s="1169"/>
      <c r="FJ297" s="1169"/>
      <c r="FK297" s="1169"/>
      <c r="FL297" s="1169"/>
      <c r="FM297" s="1169"/>
      <c r="FN297" s="1169"/>
      <c r="FO297" s="1169"/>
      <c r="FP297" s="1169"/>
      <c r="FQ297" s="1169"/>
      <c r="FR297" s="1169"/>
      <c r="FS297" s="1169"/>
      <c r="FT297" s="1169"/>
      <c r="FU297" s="1169"/>
      <c r="FV297" s="1169"/>
      <c r="FW297" s="1169"/>
      <c r="FX297" s="1169"/>
      <c r="FY297" s="1169"/>
      <c r="FZ297" s="1169"/>
      <c r="GA297" s="1169"/>
      <c r="GB297" s="1169"/>
      <c r="GC297" s="1169"/>
      <c r="GD297" s="1169"/>
      <c r="GE297" s="1169"/>
      <c r="GF297" s="1169"/>
      <c r="GG297" s="1169"/>
      <c r="GH297" s="1169"/>
      <c r="GI297" s="1169"/>
      <c r="GJ297" s="1169"/>
      <c r="GK297" s="1169"/>
      <c r="GL297" s="1169"/>
      <c r="GM297" s="1169"/>
      <c r="GN297" s="1169"/>
      <c r="GO297" s="1169"/>
      <c r="GP297" s="1169"/>
      <c r="GQ297" s="1169"/>
      <c r="GR297" s="1169"/>
      <c r="GS297" s="1169"/>
      <c r="GT297" s="1169"/>
      <c r="GU297" s="1169"/>
      <c r="GV297" s="1169"/>
      <c r="GW297" s="1169"/>
      <c r="GX297" s="1169"/>
      <c r="GY297" s="1169"/>
      <c r="GZ297" s="1169"/>
      <c r="HA297" s="1169"/>
      <c r="HB297" s="1169"/>
      <c r="HC297" s="1169"/>
      <c r="HD297" s="1169"/>
      <c r="HE297" s="1169"/>
      <c r="HF297" s="1169"/>
      <c r="HG297" s="1169"/>
      <c r="HH297" s="1169"/>
      <c r="HI297" s="1169"/>
      <c r="HJ297" s="1169"/>
      <c r="HK297" s="1169"/>
      <c r="HL297" s="1169"/>
      <c r="HM297" s="1169"/>
      <c r="HN297" s="1169"/>
      <c r="HO297" s="1169"/>
      <c r="HP297" s="1169"/>
      <c r="HQ297" s="1169"/>
      <c r="HR297" s="1169"/>
      <c r="HS297" s="1169"/>
      <c r="HT297" s="1169"/>
      <c r="HU297" s="1169"/>
      <c r="HV297" s="1169"/>
      <c r="HW297" s="1169"/>
      <c r="HX297" s="1169"/>
      <c r="HY297" s="1169"/>
      <c r="HZ297" s="1169"/>
      <c r="IA297" s="1169"/>
      <c r="IB297" s="1169"/>
      <c r="IC297" s="1169"/>
      <c r="ID297" s="1169"/>
      <c r="IE297" s="1169"/>
      <c r="IF297" s="1169"/>
      <c r="IG297" s="1169"/>
      <c r="IH297" s="1169"/>
      <c r="II297" s="1169"/>
      <c r="IJ297" s="1169"/>
      <c r="IK297" s="1169"/>
      <c r="IL297" s="1169"/>
      <c r="IM297" s="1169"/>
      <c r="IN297" s="1169"/>
      <c r="IO297" s="1169"/>
      <c r="IP297" s="1169"/>
      <c r="IQ297" s="1169"/>
      <c r="IR297" s="1169"/>
      <c r="IS297" s="1169"/>
      <c r="IT297" s="1169"/>
      <c r="IU297" s="1169"/>
      <c r="IV297" s="1169"/>
    </row>
    <row r="298" spans="1:256 1523:1523" s="158" customFormat="1" ht="22.5" customHeight="1">
      <c r="B298" s="168" t="s">
        <v>793</v>
      </c>
      <c r="C298" s="1959" t="s">
        <v>2863</v>
      </c>
      <c r="D298" s="1959"/>
      <c r="E298" s="1959"/>
      <c r="F298" s="1959"/>
      <c r="G298" s="1959"/>
      <c r="H298" s="1959"/>
      <c r="I298" s="1959"/>
      <c r="J298" s="1959"/>
      <c r="K298" s="1959"/>
      <c r="L298" s="1959"/>
      <c r="M298" s="1959"/>
      <c r="N298" s="1959"/>
      <c r="O298" s="557" t="s">
        <v>793</v>
      </c>
      <c r="P298" s="1169"/>
      <c r="Q298" s="60"/>
      <c r="AE298" s="597"/>
      <c r="AF298" s="597"/>
    </row>
    <row r="299" spans="1:256 1523:1523" s="158" customFormat="1" ht="11.25" customHeight="1">
      <c r="A299" s="170"/>
      <c r="C299" s="259" t="s">
        <v>1850</v>
      </c>
      <c r="D299" s="1948"/>
      <c r="E299" s="1949"/>
      <c r="F299" s="1949"/>
      <c r="G299" s="1949"/>
      <c r="H299" s="1949"/>
      <c r="I299" s="1949"/>
      <c r="J299" s="1949"/>
      <c r="K299" s="1949"/>
      <c r="L299" s="1949"/>
      <c r="M299" s="1949"/>
      <c r="N299" s="1950"/>
      <c r="O299" s="263" t="s">
        <v>1850</v>
      </c>
      <c r="P299" s="1092"/>
      <c r="Q299" s="1290"/>
      <c r="AE299" s="597"/>
      <c r="AF299" s="597"/>
    </row>
    <row r="300" spans="1:256 1523:1523" s="158" customFormat="1" ht="11.25" customHeight="1">
      <c r="A300" s="170"/>
      <c r="C300" s="259" t="s">
        <v>1851</v>
      </c>
      <c r="D300" s="1927"/>
      <c r="E300" s="1928"/>
      <c r="F300" s="1928"/>
      <c r="G300" s="1928"/>
      <c r="H300" s="1928"/>
      <c r="I300" s="1928"/>
      <c r="J300" s="1928"/>
      <c r="K300" s="1928"/>
      <c r="L300" s="1928"/>
      <c r="M300" s="1928"/>
      <c r="N300" s="1929"/>
      <c r="O300" s="263" t="s">
        <v>1851</v>
      </c>
      <c r="P300" s="1092"/>
      <c r="Q300" s="1290"/>
      <c r="AE300" s="597"/>
      <c r="AF300" s="597"/>
    </row>
    <row r="301" spans="1:256 1523:1523" ht="3" customHeight="1">
      <c r="A301" s="1169"/>
      <c r="B301" s="1169"/>
      <c r="C301" s="1169"/>
      <c r="D301" s="1169"/>
      <c r="E301" s="1169"/>
      <c r="F301" s="1169"/>
      <c r="G301" s="1169"/>
      <c r="H301" s="1169"/>
      <c r="I301" s="1169"/>
      <c r="J301" s="1169"/>
      <c r="K301" s="1169"/>
      <c r="L301" s="1169"/>
      <c r="M301" s="1169"/>
      <c r="N301" s="1169"/>
      <c r="O301" s="1169"/>
      <c r="P301" s="1169"/>
      <c r="Q301" s="1169"/>
      <c r="R301" s="1169"/>
      <c r="S301" s="1169"/>
      <c r="T301" s="1169"/>
      <c r="U301" s="1169"/>
      <c r="V301" s="1169"/>
      <c r="W301" s="1169"/>
      <c r="X301" s="1169"/>
      <c r="Y301" s="1169"/>
      <c r="Z301" s="1169"/>
      <c r="AA301" s="1169"/>
      <c r="AB301" s="1169"/>
      <c r="AC301" s="1169"/>
      <c r="AD301" s="1169"/>
      <c r="AE301" s="60"/>
      <c r="AF301" s="60"/>
      <c r="AG301" s="1169"/>
      <c r="AH301" s="1169"/>
      <c r="AI301" s="1169"/>
      <c r="AJ301" s="1169"/>
      <c r="AK301" s="1169"/>
      <c r="AL301" s="1169"/>
      <c r="AM301" s="1169"/>
      <c r="AN301" s="1169"/>
      <c r="AO301" s="1169"/>
      <c r="AP301" s="1169"/>
      <c r="AQ301" s="1169"/>
      <c r="AR301" s="1169"/>
      <c r="AS301" s="1169"/>
      <c r="AT301" s="1169"/>
      <c r="AU301" s="1169"/>
      <c r="AV301" s="1169"/>
      <c r="AW301" s="1169"/>
      <c r="AX301" s="1169"/>
      <c r="AY301" s="1169"/>
      <c r="AZ301" s="1169"/>
      <c r="BA301" s="1169"/>
      <c r="BB301" s="1169"/>
      <c r="BC301" s="1169"/>
      <c r="BD301" s="1169"/>
      <c r="BE301" s="1169"/>
      <c r="BF301" s="1169"/>
      <c r="BG301" s="1169"/>
      <c r="BH301" s="1169"/>
      <c r="BI301" s="1169"/>
      <c r="BJ301" s="1169"/>
      <c r="BK301" s="1169"/>
      <c r="BL301" s="1169"/>
      <c r="BM301" s="1169"/>
      <c r="BN301" s="1169"/>
      <c r="BO301" s="1169"/>
      <c r="BP301" s="1169"/>
      <c r="BQ301" s="1169"/>
      <c r="BR301" s="1169"/>
      <c r="BS301" s="1169"/>
      <c r="BT301" s="1169"/>
      <c r="BU301" s="1169"/>
      <c r="BV301" s="1169"/>
      <c r="BW301" s="1169"/>
      <c r="BX301" s="1169"/>
      <c r="BY301" s="1169"/>
      <c r="BZ301" s="1169"/>
      <c r="CA301" s="1169"/>
      <c r="CB301" s="1169"/>
      <c r="CC301" s="1169"/>
      <c r="CD301" s="1169"/>
      <c r="CE301" s="1169"/>
      <c r="CF301" s="1169"/>
      <c r="CG301" s="1169"/>
      <c r="CH301" s="1169"/>
      <c r="CI301" s="1169"/>
      <c r="CJ301" s="1169"/>
      <c r="CK301" s="1169"/>
      <c r="CL301" s="1169"/>
      <c r="CM301" s="1169"/>
      <c r="CN301" s="1169"/>
      <c r="CO301" s="1169"/>
      <c r="CP301" s="1169"/>
      <c r="CQ301" s="1169"/>
      <c r="CR301" s="1169"/>
      <c r="CS301" s="1169"/>
      <c r="CT301" s="1169"/>
      <c r="CU301" s="1169"/>
      <c r="CV301" s="1169"/>
      <c r="CW301" s="1169"/>
      <c r="CX301" s="1169"/>
      <c r="CY301" s="1169"/>
      <c r="CZ301" s="1169"/>
      <c r="DA301" s="1169"/>
      <c r="DB301" s="1169"/>
      <c r="DC301" s="1169"/>
      <c r="DD301" s="1169"/>
      <c r="DE301" s="1169"/>
      <c r="DF301" s="1169"/>
      <c r="DG301" s="1169"/>
      <c r="DH301" s="1169"/>
      <c r="DI301" s="1169"/>
      <c r="DJ301" s="1169"/>
      <c r="DK301" s="1169"/>
      <c r="DL301" s="1169"/>
      <c r="DM301" s="1169"/>
      <c r="DN301" s="1169"/>
      <c r="DO301" s="1169"/>
      <c r="DP301" s="1169"/>
      <c r="DQ301" s="1169"/>
      <c r="DR301" s="1169"/>
      <c r="DS301" s="1169"/>
      <c r="DT301" s="1169"/>
      <c r="DU301" s="1169"/>
      <c r="DV301" s="1169"/>
      <c r="DW301" s="1169"/>
      <c r="DX301" s="1169"/>
      <c r="DY301" s="1169"/>
      <c r="DZ301" s="1169"/>
      <c r="EA301" s="1169"/>
      <c r="EB301" s="1169"/>
      <c r="EC301" s="1169"/>
      <c r="ED301" s="1169"/>
      <c r="EE301" s="1169"/>
      <c r="EF301" s="1169"/>
      <c r="EG301" s="1169"/>
      <c r="EH301" s="1169"/>
      <c r="EI301" s="1169"/>
      <c r="EJ301" s="1169"/>
      <c r="EK301" s="1169"/>
      <c r="EL301" s="1169"/>
      <c r="EM301" s="1169"/>
      <c r="EN301" s="1169"/>
      <c r="EO301" s="1169"/>
      <c r="EP301" s="1169"/>
      <c r="EQ301" s="1169"/>
      <c r="ER301" s="1169"/>
      <c r="ES301" s="1169"/>
      <c r="ET301" s="1169"/>
      <c r="EU301" s="1169"/>
      <c r="EV301" s="1169"/>
      <c r="EW301" s="1169"/>
      <c r="EX301" s="1169"/>
      <c r="EY301" s="1169"/>
      <c r="EZ301" s="1169"/>
      <c r="FA301" s="1169"/>
      <c r="FB301" s="1169"/>
      <c r="FC301" s="1169"/>
      <c r="FD301" s="1169"/>
      <c r="FE301" s="1169"/>
      <c r="FF301" s="1169"/>
      <c r="FG301" s="1169"/>
      <c r="FH301" s="1169"/>
      <c r="FI301" s="1169"/>
      <c r="FJ301" s="1169"/>
      <c r="FK301" s="1169"/>
      <c r="FL301" s="1169"/>
      <c r="FM301" s="1169"/>
      <c r="FN301" s="1169"/>
      <c r="FO301" s="1169"/>
      <c r="FP301" s="1169"/>
      <c r="FQ301" s="1169"/>
      <c r="FR301" s="1169"/>
      <c r="FS301" s="1169"/>
      <c r="FT301" s="1169"/>
      <c r="FU301" s="1169"/>
      <c r="FV301" s="1169"/>
      <c r="FW301" s="1169"/>
      <c r="FX301" s="1169"/>
      <c r="FY301" s="1169"/>
      <c r="FZ301" s="1169"/>
      <c r="GA301" s="1169"/>
      <c r="GB301" s="1169"/>
      <c r="GC301" s="1169"/>
      <c r="GD301" s="1169"/>
      <c r="GE301" s="1169"/>
      <c r="GF301" s="1169"/>
      <c r="GG301" s="1169"/>
      <c r="GH301" s="1169"/>
      <c r="GI301" s="1169"/>
      <c r="GJ301" s="1169"/>
      <c r="GK301" s="1169"/>
      <c r="GL301" s="1169"/>
      <c r="GM301" s="1169"/>
      <c r="GN301" s="1169"/>
      <c r="GO301" s="1169"/>
      <c r="GP301" s="1169"/>
      <c r="GQ301" s="1169"/>
      <c r="GR301" s="1169"/>
      <c r="GS301" s="1169"/>
      <c r="GT301" s="1169"/>
      <c r="GU301" s="1169"/>
      <c r="GV301" s="1169"/>
      <c r="GW301" s="1169"/>
      <c r="GX301" s="1169"/>
      <c r="GY301" s="1169"/>
      <c r="GZ301" s="1169"/>
      <c r="HA301" s="1169"/>
      <c r="HB301" s="1169"/>
      <c r="HC301" s="1169"/>
      <c r="HD301" s="1169"/>
      <c r="HE301" s="1169"/>
      <c r="HF301" s="1169"/>
      <c r="HG301" s="1169"/>
      <c r="HH301" s="1169"/>
      <c r="HI301" s="1169"/>
      <c r="HJ301" s="1169"/>
      <c r="HK301" s="1169"/>
      <c r="HL301" s="1169"/>
      <c r="HM301" s="1169"/>
      <c r="HN301" s="1169"/>
      <c r="HO301" s="1169"/>
      <c r="HP301" s="1169"/>
      <c r="HQ301" s="1169"/>
      <c r="HR301" s="1169"/>
      <c r="HS301" s="1169"/>
      <c r="HT301" s="1169"/>
      <c r="HU301" s="1169"/>
      <c r="HV301" s="1169"/>
      <c r="HW301" s="1169"/>
      <c r="HX301" s="1169"/>
      <c r="HY301" s="1169"/>
      <c r="HZ301" s="1169"/>
      <c r="IA301" s="1169"/>
      <c r="IB301" s="1169"/>
      <c r="IC301" s="1169"/>
      <c r="ID301" s="1169"/>
      <c r="IE301" s="1169"/>
      <c r="IF301" s="1169"/>
      <c r="IG301" s="1169"/>
      <c r="IH301" s="1169"/>
      <c r="II301" s="1169"/>
      <c r="IJ301" s="1169"/>
      <c r="IK301" s="1169"/>
      <c r="IL301" s="1169"/>
      <c r="IM301" s="1169"/>
      <c r="IN301" s="1169"/>
      <c r="IO301" s="1169"/>
      <c r="IP301" s="1169"/>
      <c r="IQ301" s="1169"/>
      <c r="IR301" s="1169"/>
      <c r="IS301" s="1169"/>
      <c r="IT301" s="1169"/>
      <c r="IU301" s="1169"/>
      <c r="IV301" s="1169"/>
    </row>
    <row r="302" spans="1:256 1523:1523" ht="11.25" customHeight="1">
      <c r="B302" s="167" t="s">
        <v>1987</v>
      </c>
      <c r="D302" s="167"/>
      <c r="E302" s="167"/>
      <c r="F302" s="167"/>
      <c r="G302" s="167"/>
      <c r="H302" s="48"/>
      <c r="I302" s="1186"/>
      <c r="J302" s="1186"/>
      <c r="K302" s="1186"/>
      <c r="L302" s="1169"/>
      <c r="M302" s="1169"/>
      <c r="N302" s="1169"/>
      <c r="O302" s="1169"/>
      <c r="P302" s="1169"/>
      <c r="Q302" s="60"/>
    </row>
    <row r="303" spans="1:256 1523:1523" ht="11.45" customHeight="1">
      <c r="A303" s="1830" t="s">
        <v>3538</v>
      </c>
      <c r="B303" s="1831"/>
      <c r="C303" s="1831"/>
      <c r="D303" s="1831"/>
      <c r="E303" s="1831"/>
      <c r="F303" s="1831"/>
      <c r="G303" s="1831"/>
      <c r="H303" s="1831"/>
      <c r="I303" s="1831"/>
      <c r="J303" s="1831"/>
      <c r="K303" s="1831"/>
      <c r="L303" s="1831"/>
      <c r="M303" s="1831"/>
      <c r="N303" s="1831"/>
      <c r="O303" s="1831"/>
      <c r="P303" s="1831"/>
      <c r="Q303" s="1832"/>
      <c r="R303" s="595" t="s">
        <v>1326</v>
      </c>
      <c r="S303" s="145"/>
      <c r="U303" s="162"/>
      <c r="V303" s="162"/>
      <c r="W303" s="162"/>
      <c r="X303" s="162"/>
      <c r="Y303" s="162"/>
      <c r="Z303" s="162"/>
      <c r="AA303" s="162"/>
      <c r="AB303" s="162"/>
      <c r="AC303" s="162"/>
      <c r="AD303" s="162"/>
      <c r="AE303" s="596"/>
    </row>
    <row r="304" spans="1:256 1523:1523" ht="11.25" customHeight="1">
      <c r="B304" s="163" t="s">
        <v>1988</v>
      </c>
      <c r="C304" s="164"/>
      <c r="D304" s="1176"/>
      <c r="E304" s="1176"/>
      <c r="F304" s="1176"/>
      <c r="G304" s="1176"/>
      <c r="H304" s="1176"/>
      <c r="I304" s="1176"/>
      <c r="J304" s="1176"/>
      <c r="K304" s="1176"/>
      <c r="L304" s="1176"/>
      <c r="M304" s="1176"/>
      <c r="N304" s="1176"/>
      <c r="O304" s="1176"/>
      <c r="P304" s="1176"/>
      <c r="Q304" s="1176"/>
    </row>
    <row r="305" spans="1:31" ht="11.45" customHeight="1">
      <c r="A305" s="1833"/>
      <c r="B305" s="1834"/>
      <c r="C305" s="1834"/>
      <c r="D305" s="1834"/>
      <c r="E305" s="1834"/>
      <c r="F305" s="1834"/>
      <c r="G305" s="1834"/>
      <c r="H305" s="1834"/>
      <c r="I305" s="1834"/>
      <c r="J305" s="1834"/>
      <c r="K305" s="1834"/>
      <c r="L305" s="1834"/>
      <c r="M305" s="1834"/>
      <c r="N305" s="1834"/>
      <c r="O305" s="1834"/>
      <c r="P305" s="1834"/>
      <c r="Q305" s="1835"/>
    </row>
    <row r="306" spans="1:31" ht="3" customHeight="1">
      <c r="A306" s="1169"/>
      <c r="B306" s="1186"/>
      <c r="C306" s="1176"/>
      <c r="D306" s="1176"/>
      <c r="E306" s="1176"/>
      <c r="F306" s="1176"/>
      <c r="G306" s="1176"/>
      <c r="H306" s="1176"/>
      <c r="I306" s="1176"/>
      <c r="J306" s="1176"/>
      <c r="K306" s="1176"/>
      <c r="L306" s="1176"/>
      <c r="M306" s="1176"/>
      <c r="N306" s="1176"/>
      <c r="O306" s="1176"/>
      <c r="P306" s="1176"/>
      <c r="Q306" s="1169"/>
    </row>
    <row r="307" spans="1:31" ht="13.9" customHeight="1">
      <c r="A307" s="1178">
        <v>20</v>
      </c>
      <c r="B307" s="1178" t="s">
        <v>3294</v>
      </c>
      <c r="C307" s="1178"/>
      <c r="D307" s="1176"/>
      <c r="E307" s="1176"/>
      <c r="F307" s="1176"/>
      <c r="G307" s="1176"/>
      <c r="H307" s="1176"/>
      <c r="O307" s="157" t="s">
        <v>1989</v>
      </c>
      <c r="P307" s="1828"/>
      <c r="Q307" s="1829"/>
    </row>
    <row r="308" spans="1:31" ht="11.45" customHeight="1">
      <c r="B308" s="65" t="s">
        <v>3295</v>
      </c>
      <c r="P308" s="1080" t="s">
        <v>3452</v>
      </c>
      <c r="Q308" s="1287"/>
    </row>
    <row r="309" spans="1:31" ht="11.45" customHeight="1">
      <c r="B309" s="171" t="s">
        <v>2493</v>
      </c>
      <c r="P309" s="1080" t="s">
        <v>3425</v>
      </c>
      <c r="Q309" s="1287"/>
    </row>
    <row r="310" spans="1:31" ht="11.45" customHeight="1">
      <c r="B310" s="65" t="s">
        <v>3296</v>
      </c>
      <c r="M310" s="1938" t="s">
        <v>3299</v>
      </c>
      <c r="N310" s="1939"/>
      <c r="O310" s="1940"/>
    </row>
    <row r="311" spans="1:31" ht="11.45" customHeight="1">
      <c r="B311" s="503" t="s">
        <v>2494</v>
      </c>
      <c r="M311" s="1976" t="s">
        <v>3298</v>
      </c>
      <c r="N311" s="1977"/>
      <c r="O311" s="1978"/>
    </row>
    <row r="312" spans="1:31" ht="11.25" customHeight="1">
      <c r="B312" s="167" t="s">
        <v>1987</v>
      </c>
      <c r="D312" s="167"/>
      <c r="E312" s="167"/>
      <c r="F312" s="167"/>
      <c r="G312" s="167"/>
      <c r="H312" s="48"/>
      <c r="I312" s="1186"/>
      <c r="J312" s="1186"/>
      <c r="K312" s="1186"/>
      <c r="L312" s="1169"/>
      <c r="M312" s="1169"/>
      <c r="N312" s="1169"/>
      <c r="O312" s="1169"/>
      <c r="P312" s="1169"/>
      <c r="Q312" s="60"/>
    </row>
    <row r="313" spans="1:31" ht="13.15" customHeight="1">
      <c r="A313" s="1830" t="s">
        <v>3539</v>
      </c>
      <c r="B313" s="1831"/>
      <c r="C313" s="1831"/>
      <c r="D313" s="1831"/>
      <c r="E313" s="1831"/>
      <c r="F313" s="1831"/>
      <c r="G313" s="1831"/>
      <c r="H313" s="1831"/>
      <c r="I313" s="1831"/>
      <c r="J313" s="1831"/>
      <c r="K313" s="1831"/>
      <c r="L313" s="1831"/>
      <c r="M313" s="1831"/>
      <c r="N313" s="1831"/>
      <c r="O313" s="1831"/>
      <c r="P313" s="1831"/>
      <c r="Q313" s="1832"/>
      <c r="R313" s="562" t="s">
        <v>1326</v>
      </c>
      <c r="S313" s="563"/>
      <c r="U313" s="162"/>
      <c r="V313" s="162"/>
      <c r="W313" s="162"/>
      <c r="X313" s="162"/>
      <c r="Y313" s="162"/>
      <c r="Z313" s="162"/>
      <c r="AA313" s="162"/>
      <c r="AB313" s="162"/>
      <c r="AC313" s="162"/>
      <c r="AD313" s="162"/>
      <c r="AE313" s="596"/>
    </row>
    <row r="314" spans="1:31" ht="11.25" customHeight="1">
      <c r="B314" s="163" t="s">
        <v>1988</v>
      </c>
      <c r="C314" s="164"/>
      <c r="D314" s="1176"/>
      <c r="E314" s="1176"/>
      <c r="F314" s="1176"/>
      <c r="G314" s="1176"/>
      <c r="H314" s="1176"/>
      <c r="I314" s="1176"/>
      <c r="J314" s="1176"/>
      <c r="K314" s="1176"/>
      <c r="L314" s="1176"/>
      <c r="M314" s="1176"/>
      <c r="N314" s="1176"/>
      <c r="O314" s="1176"/>
      <c r="P314" s="1176"/>
      <c r="Q314" s="1176"/>
    </row>
    <row r="315" spans="1:31" ht="13.15" customHeight="1">
      <c r="A315" s="1833"/>
      <c r="B315" s="1834"/>
      <c r="C315" s="1834"/>
      <c r="D315" s="1834"/>
      <c r="E315" s="1834"/>
      <c r="F315" s="1834"/>
      <c r="G315" s="1834"/>
      <c r="H315" s="1834"/>
      <c r="I315" s="1834"/>
      <c r="J315" s="1834"/>
      <c r="K315" s="1834"/>
      <c r="L315" s="1834"/>
      <c r="M315" s="1834"/>
      <c r="N315" s="1834"/>
      <c r="O315" s="1834"/>
      <c r="P315" s="1834"/>
      <c r="Q315" s="1835"/>
    </row>
    <row r="316" spans="1:31" ht="4.1500000000000004" customHeight="1">
      <c r="B316" s="1186"/>
      <c r="C316" s="1176"/>
      <c r="D316" s="1176"/>
      <c r="E316" s="1176"/>
      <c r="F316" s="1176"/>
      <c r="G316" s="1176"/>
      <c r="H316" s="1176"/>
      <c r="I316" s="1176"/>
      <c r="J316" s="1176"/>
      <c r="K316" s="1176"/>
      <c r="L316" s="1176"/>
      <c r="M316" s="1176"/>
      <c r="Q316" s="60"/>
    </row>
    <row r="317" spans="1:31" ht="13.9" customHeight="1">
      <c r="A317" s="1178">
        <v>21</v>
      </c>
      <c r="B317" s="5" t="s">
        <v>2856</v>
      </c>
      <c r="C317" s="5"/>
      <c r="D317" s="101"/>
      <c r="E317" s="1176"/>
      <c r="F317" s="1176"/>
      <c r="G317" s="1176"/>
      <c r="H317" s="1176"/>
      <c r="I317" s="1176"/>
      <c r="J317" s="1176"/>
      <c r="K317" s="1176"/>
      <c r="L317" s="1176"/>
      <c r="M317" s="1176"/>
      <c r="O317" s="157" t="s">
        <v>1989</v>
      </c>
      <c r="P317" s="1828"/>
      <c r="Q317" s="1829"/>
    </row>
    <row r="318" spans="1:31" ht="22.15" customHeight="1">
      <c r="B318" s="168" t="s">
        <v>2110</v>
      </c>
      <c r="C318" s="1825" t="s">
        <v>3297</v>
      </c>
      <c r="D318" s="1825"/>
      <c r="E318" s="1825"/>
      <c r="F318" s="1825"/>
      <c r="G318" s="1825"/>
      <c r="H318" s="1825"/>
      <c r="I318" s="1825"/>
      <c r="J318" s="1825"/>
      <c r="K318" s="1825"/>
      <c r="L318" s="1825"/>
      <c r="M318" s="1825"/>
      <c r="N318" s="1825"/>
      <c r="O318" s="192" t="s">
        <v>2110</v>
      </c>
      <c r="P318" s="1080"/>
      <c r="Q318" s="1287"/>
    </row>
    <row r="319" spans="1:31" ht="12" customHeight="1">
      <c r="B319" s="168" t="s">
        <v>2113</v>
      </c>
      <c r="C319" s="1825" t="s">
        <v>3334</v>
      </c>
      <c r="D319" s="1825"/>
      <c r="E319" s="1825"/>
      <c r="F319" s="1825"/>
      <c r="G319" s="1825"/>
      <c r="H319" s="1825"/>
      <c r="I319" s="1825"/>
      <c r="J319" s="1825"/>
      <c r="K319" s="1825"/>
      <c r="L319" s="1825"/>
      <c r="M319" s="1825"/>
      <c r="N319" s="1825"/>
      <c r="O319" s="192" t="s">
        <v>2113</v>
      </c>
      <c r="P319" s="1080"/>
      <c r="Q319" s="1287"/>
    </row>
    <row r="320" spans="1:31" ht="12" customHeight="1">
      <c r="B320" s="168" t="s">
        <v>793</v>
      </c>
      <c r="C320" s="173" t="s">
        <v>3105</v>
      </c>
      <c r="D320" s="173"/>
      <c r="E320" s="173"/>
      <c r="F320" s="173"/>
      <c r="G320" s="173"/>
      <c r="H320" s="173"/>
      <c r="I320" s="173"/>
      <c r="J320" s="173"/>
      <c r="K320" s="173"/>
      <c r="L320" s="173"/>
      <c r="M320" s="173"/>
      <c r="O320" s="192" t="s">
        <v>793</v>
      </c>
      <c r="P320" s="1080"/>
      <c r="Q320" s="1287"/>
    </row>
    <row r="321" spans="1:32" ht="12" customHeight="1">
      <c r="B321" s="168" t="s">
        <v>2245</v>
      </c>
      <c r="C321" s="1825" t="s">
        <v>3029</v>
      </c>
      <c r="D321" s="1825"/>
      <c r="E321" s="1825"/>
      <c r="F321" s="1825"/>
      <c r="G321" s="1825"/>
      <c r="H321" s="1825"/>
      <c r="I321" s="1825"/>
      <c r="J321" s="1825"/>
      <c r="K321" s="1825"/>
      <c r="L321" s="1825"/>
      <c r="M321" s="1825"/>
      <c r="N321" s="1825"/>
      <c r="O321" s="192" t="s">
        <v>2245</v>
      </c>
      <c r="P321" s="1080"/>
      <c r="Q321" s="1287"/>
    </row>
    <row r="322" spans="1:32" ht="12" customHeight="1">
      <c r="B322" s="168" t="s">
        <v>1848</v>
      </c>
      <c r="C322" s="1825" t="s">
        <v>3106</v>
      </c>
      <c r="D322" s="1825"/>
      <c r="E322" s="1825"/>
      <c r="F322" s="1825"/>
      <c r="G322" s="1825"/>
      <c r="H322" s="1825"/>
      <c r="I322" s="1825"/>
      <c r="J322" s="1825"/>
      <c r="K322" s="1825"/>
      <c r="L322" s="1825"/>
      <c r="M322" s="1825"/>
      <c r="N322" s="1825"/>
      <c r="O322" s="192" t="s">
        <v>1848</v>
      </c>
      <c r="P322" s="1080"/>
      <c r="Q322" s="1287"/>
    </row>
    <row r="323" spans="1:32" ht="11.25" customHeight="1">
      <c r="B323" s="167" t="s">
        <v>1987</v>
      </c>
      <c r="D323" s="167"/>
      <c r="E323" s="167"/>
      <c r="F323" s="167"/>
      <c r="G323" s="167"/>
      <c r="H323" s="48"/>
      <c r="I323" s="1186"/>
      <c r="J323" s="1186"/>
      <c r="K323" s="1186"/>
      <c r="L323" s="1169"/>
      <c r="M323" s="1169"/>
      <c r="N323" s="1169"/>
      <c r="O323" s="1169"/>
      <c r="P323" s="1169"/>
      <c r="Q323" s="60"/>
    </row>
    <row r="324" spans="1:32" ht="11.45" customHeight="1">
      <c r="A324" s="1830" t="s">
        <v>3505</v>
      </c>
      <c r="B324" s="1831"/>
      <c r="C324" s="1831"/>
      <c r="D324" s="1831"/>
      <c r="E324" s="1831"/>
      <c r="F324" s="1831"/>
      <c r="G324" s="1831"/>
      <c r="H324" s="1831"/>
      <c r="I324" s="1831"/>
      <c r="J324" s="1831"/>
      <c r="K324" s="1831"/>
      <c r="L324" s="1831"/>
      <c r="M324" s="1831"/>
      <c r="N324" s="1831"/>
      <c r="O324" s="1831"/>
      <c r="P324" s="1831"/>
      <c r="Q324" s="1832"/>
      <c r="U324" s="162"/>
      <c r="V324" s="162"/>
      <c r="W324" s="162"/>
      <c r="X324" s="162"/>
      <c r="Y324" s="162"/>
      <c r="Z324" s="162"/>
      <c r="AA324" s="162"/>
      <c r="AB324" s="162"/>
      <c r="AC324" s="162"/>
      <c r="AD324" s="162"/>
      <c r="AE324" s="596"/>
    </row>
    <row r="325" spans="1:32" ht="11.25" customHeight="1">
      <c r="B325" s="163" t="s">
        <v>1988</v>
      </c>
      <c r="C325" s="164"/>
      <c r="D325" s="1176"/>
      <c r="E325" s="1176"/>
      <c r="F325" s="1176"/>
      <c r="G325" s="1176"/>
      <c r="H325" s="1176"/>
      <c r="I325" s="1176"/>
      <c r="J325" s="1176"/>
      <c r="K325" s="1176"/>
      <c r="L325" s="1176"/>
      <c r="M325" s="1176"/>
      <c r="N325" s="1176"/>
      <c r="O325" s="1176"/>
      <c r="P325" s="1176"/>
      <c r="Q325" s="1176"/>
    </row>
    <row r="326" spans="1:32" ht="11.45" customHeight="1">
      <c r="A326" s="1833"/>
      <c r="B326" s="1834"/>
      <c r="C326" s="1834"/>
      <c r="D326" s="1834"/>
      <c r="E326" s="1834"/>
      <c r="F326" s="1834"/>
      <c r="G326" s="1834"/>
      <c r="H326" s="1834"/>
      <c r="I326" s="1834"/>
      <c r="J326" s="1834"/>
      <c r="K326" s="1834"/>
      <c r="L326" s="1834"/>
      <c r="M326" s="1834"/>
      <c r="N326" s="1834"/>
      <c r="O326" s="1834"/>
      <c r="P326" s="1834"/>
      <c r="Q326" s="1835"/>
    </row>
    <row r="327" spans="1:32" ht="2.25" customHeight="1">
      <c r="A327" s="1169"/>
      <c r="B327" s="1186"/>
      <c r="C327" s="1176"/>
      <c r="D327" s="1176"/>
      <c r="E327" s="1176"/>
      <c r="F327" s="1176"/>
      <c r="G327" s="1176"/>
      <c r="H327" s="1176"/>
      <c r="I327" s="1176"/>
      <c r="J327" s="1176"/>
      <c r="K327" s="1176"/>
      <c r="L327" s="1176"/>
      <c r="M327" s="1176"/>
      <c r="N327" s="1176"/>
      <c r="O327" s="1176"/>
      <c r="P327" s="1176"/>
      <c r="Q327" s="60"/>
      <c r="R327" s="9"/>
      <c r="S327" s="9"/>
    </row>
    <row r="328" spans="1:32" ht="13.9" customHeight="1">
      <c r="A328" s="1178">
        <v>22</v>
      </c>
      <c r="B328" s="5" t="s">
        <v>2890</v>
      </c>
      <c r="C328" s="5"/>
      <c r="D328" s="5"/>
      <c r="E328" s="5"/>
      <c r="F328" s="5"/>
      <c r="G328" s="5"/>
      <c r="H328" s="1176"/>
      <c r="I328" s="1176"/>
      <c r="J328" s="1176"/>
      <c r="K328" s="1176"/>
      <c r="L328" s="1176"/>
      <c r="M328" s="1176"/>
      <c r="O328" s="157" t="s">
        <v>1989</v>
      </c>
      <c r="P328" s="1828"/>
      <c r="Q328" s="1829"/>
    </row>
    <row r="329" spans="1:32" ht="12" customHeight="1">
      <c r="B329" s="55" t="s">
        <v>2110</v>
      </c>
      <c r="C329" s="138" t="s">
        <v>2886</v>
      </c>
      <c r="D329" s="1182"/>
      <c r="E329" s="1182"/>
      <c r="F329" s="1182"/>
      <c r="G329" s="1182"/>
      <c r="H329" s="1182"/>
      <c r="I329" s="50"/>
      <c r="J329" s="594" t="s">
        <v>2110</v>
      </c>
      <c r="K329" s="1822"/>
      <c r="L329" s="1823"/>
      <c r="M329" s="1823"/>
      <c r="N329" s="1823"/>
      <c r="O329" s="1823"/>
      <c r="P329" s="1824"/>
      <c r="Q329" s="1287"/>
    </row>
    <row r="330" spans="1:32" ht="22.5" customHeight="1">
      <c r="B330" s="168" t="s">
        <v>2113</v>
      </c>
      <c r="C330" s="1790" t="s">
        <v>2885</v>
      </c>
      <c r="D330" s="1790"/>
      <c r="E330" s="1790"/>
      <c r="F330" s="1790"/>
      <c r="G330" s="1790"/>
      <c r="H330" s="1790"/>
      <c r="I330" s="1790"/>
      <c r="J330" s="1790"/>
      <c r="K330" s="1790"/>
      <c r="L330" s="1790"/>
      <c r="M330" s="1790"/>
      <c r="N330" s="1790"/>
      <c r="O330" s="192" t="s">
        <v>2113</v>
      </c>
      <c r="P330" s="1092"/>
      <c r="Q330" s="1287"/>
    </row>
    <row r="331" spans="1:32" ht="11.45" customHeight="1">
      <c r="B331" s="55" t="s">
        <v>793</v>
      </c>
      <c r="C331" s="62" t="s">
        <v>2887</v>
      </c>
      <c r="D331" s="62"/>
      <c r="E331" s="62"/>
      <c r="F331" s="62"/>
      <c r="G331" s="62"/>
      <c r="H331" s="62"/>
      <c r="I331" s="62"/>
      <c r="J331" s="62"/>
      <c r="K331" s="62"/>
      <c r="L331" s="38"/>
      <c r="M331" s="38"/>
      <c r="O331" s="594" t="s">
        <v>793</v>
      </c>
      <c r="P331" s="1080"/>
      <c r="Q331" s="1287"/>
    </row>
    <row r="332" spans="1:32" ht="11.45" customHeight="1">
      <c r="B332" s="55" t="s">
        <v>2245</v>
      </c>
      <c r="C332" s="62" t="s">
        <v>2888</v>
      </c>
      <c r="D332" s="62"/>
      <c r="E332" s="62"/>
      <c r="F332" s="62"/>
      <c r="G332" s="62"/>
      <c r="H332" s="62"/>
      <c r="I332" s="62"/>
      <c r="J332" s="62"/>
      <c r="K332" s="62"/>
      <c r="L332" s="62"/>
      <c r="M332" s="62"/>
      <c r="O332" s="594" t="s">
        <v>2245</v>
      </c>
      <c r="P332" s="1080"/>
      <c r="Q332" s="1287"/>
    </row>
    <row r="333" spans="1:32" s="158" customFormat="1" ht="11.45" customHeight="1">
      <c r="B333" s="168" t="s">
        <v>1848</v>
      </c>
      <c r="C333" s="1825" t="s">
        <v>2892</v>
      </c>
      <c r="D333" s="1825"/>
      <c r="E333" s="1825"/>
      <c r="F333" s="1825"/>
      <c r="G333" s="1825"/>
      <c r="H333" s="1825"/>
      <c r="I333" s="1825"/>
      <c r="J333" s="1825"/>
      <c r="K333" s="1825"/>
      <c r="L333" s="1825"/>
      <c r="M333" s="1825"/>
      <c r="N333" s="1825"/>
      <c r="O333" s="192" t="s">
        <v>1848</v>
      </c>
      <c r="P333" s="1092"/>
      <c r="Q333" s="1290"/>
      <c r="AE333" s="597"/>
      <c r="AF333" s="597"/>
    </row>
    <row r="334" spans="1:32" s="158" customFormat="1" ht="11.45" customHeight="1">
      <c r="B334" s="168" t="s">
        <v>1849</v>
      </c>
      <c r="C334" s="1825" t="s">
        <v>2895</v>
      </c>
      <c r="D334" s="1825"/>
      <c r="E334" s="1825"/>
      <c r="F334" s="1825"/>
      <c r="G334" s="1825"/>
      <c r="H334" s="1825"/>
      <c r="I334" s="1825"/>
      <c r="J334" s="1825"/>
      <c r="K334" s="1825"/>
      <c r="L334" s="1825"/>
      <c r="M334" s="1825"/>
      <c r="N334" s="1825"/>
      <c r="O334" s="192" t="s">
        <v>1849</v>
      </c>
      <c r="P334" s="1092"/>
      <c r="Q334" s="1290"/>
      <c r="AE334" s="597"/>
      <c r="AF334" s="597"/>
    </row>
    <row r="335" spans="1:32" ht="11.45" customHeight="1">
      <c r="B335" s="55" t="s">
        <v>2073</v>
      </c>
      <c r="C335" s="62" t="s">
        <v>2889</v>
      </c>
      <c r="D335" s="62"/>
      <c r="E335" s="62"/>
      <c r="F335" s="62"/>
      <c r="G335" s="62"/>
      <c r="H335" s="62"/>
      <c r="I335" s="62"/>
      <c r="J335" s="62"/>
      <c r="K335" s="62"/>
      <c r="L335" s="62"/>
      <c r="M335" s="62"/>
      <c r="O335" s="594" t="s">
        <v>2073</v>
      </c>
      <c r="P335" s="1080"/>
      <c r="Q335" s="1287"/>
    </row>
    <row r="336" spans="1:32" ht="11.25" customHeight="1">
      <c r="B336" s="167" t="s">
        <v>1987</v>
      </c>
      <c r="D336" s="167"/>
      <c r="E336" s="167"/>
      <c r="F336" s="167"/>
      <c r="G336" s="167"/>
      <c r="H336" s="48"/>
      <c r="I336" s="1186"/>
      <c r="J336" s="1186"/>
      <c r="K336" s="1186"/>
      <c r="L336" s="1169"/>
      <c r="M336" s="1169"/>
      <c r="N336" s="1169"/>
      <c r="O336" s="1169"/>
      <c r="P336" s="1169"/>
      <c r="Q336" s="60"/>
    </row>
    <row r="337" spans="1:32" ht="11.45" customHeight="1">
      <c r="A337" s="1830"/>
      <c r="B337" s="1831"/>
      <c r="C337" s="1831"/>
      <c r="D337" s="1831"/>
      <c r="E337" s="1831"/>
      <c r="F337" s="1831"/>
      <c r="G337" s="1831"/>
      <c r="H337" s="1831"/>
      <c r="I337" s="1831"/>
      <c r="J337" s="1831"/>
      <c r="K337" s="1831"/>
      <c r="L337" s="1831"/>
      <c r="M337" s="1831"/>
      <c r="N337" s="1831"/>
      <c r="O337" s="1831"/>
      <c r="P337" s="1831"/>
      <c r="Q337" s="1832"/>
      <c r="U337" s="162"/>
      <c r="V337" s="162"/>
      <c r="W337" s="162"/>
      <c r="X337" s="162"/>
      <c r="Y337" s="162"/>
      <c r="Z337" s="162"/>
      <c r="AA337" s="162"/>
      <c r="AB337" s="162"/>
      <c r="AC337" s="162"/>
      <c r="AD337" s="162"/>
      <c r="AE337" s="596"/>
    </row>
    <row r="338" spans="1:32" ht="11.25" customHeight="1">
      <c r="B338" s="163" t="s">
        <v>1988</v>
      </c>
      <c r="C338" s="164"/>
      <c r="D338" s="1176"/>
      <c r="E338" s="1176"/>
      <c r="F338" s="1176"/>
      <c r="G338" s="1176"/>
      <c r="H338" s="1176"/>
      <c r="I338" s="1176"/>
      <c r="J338" s="1176"/>
      <c r="K338" s="1176"/>
      <c r="L338" s="1176"/>
      <c r="M338" s="1176"/>
      <c r="N338" s="1176"/>
      <c r="O338" s="1176"/>
      <c r="P338" s="1176"/>
      <c r="Q338" s="1176"/>
    </row>
    <row r="339" spans="1:32" ht="11.45" customHeight="1">
      <c r="A339" s="1833"/>
      <c r="B339" s="1834"/>
      <c r="C339" s="1834"/>
      <c r="D339" s="1834"/>
      <c r="E339" s="1834"/>
      <c r="F339" s="1834"/>
      <c r="G339" s="1834"/>
      <c r="H339" s="1834"/>
      <c r="I339" s="1834"/>
      <c r="J339" s="1834"/>
      <c r="K339" s="1834"/>
      <c r="L339" s="1834"/>
      <c r="M339" s="1834"/>
      <c r="N339" s="1834"/>
      <c r="O339" s="1834"/>
      <c r="P339" s="1834"/>
      <c r="Q339" s="1835"/>
    </row>
    <row r="340" spans="1:32" ht="3" customHeight="1">
      <c r="A340" s="1169"/>
      <c r="B340" s="1186"/>
      <c r="C340" s="1176"/>
      <c r="D340" s="1176"/>
      <c r="E340" s="1176"/>
      <c r="F340" s="1176"/>
      <c r="G340" s="1176"/>
      <c r="H340" s="1176"/>
      <c r="I340" s="1176"/>
      <c r="J340" s="1176"/>
      <c r="K340" s="1176"/>
      <c r="L340" s="1176"/>
      <c r="M340" s="1176"/>
      <c r="Q340" s="60"/>
    </row>
    <row r="341" spans="1:32" ht="13.9" customHeight="1">
      <c r="A341" s="1178">
        <v>23</v>
      </c>
      <c r="B341" s="5" t="s">
        <v>2896</v>
      </c>
      <c r="C341" s="5"/>
      <c r="D341" s="5"/>
      <c r="E341" s="5"/>
      <c r="F341" s="5"/>
      <c r="G341" s="5"/>
      <c r="H341" s="1176"/>
      <c r="I341" s="1176"/>
      <c r="J341" s="1176"/>
      <c r="O341" s="157" t="s">
        <v>1989</v>
      </c>
      <c r="P341" s="1828"/>
      <c r="Q341" s="1829"/>
    </row>
    <row r="342" spans="1:32" ht="11.45" customHeight="1">
      <c r="B342" s="55" t="s">
        <v>2110</v>
      </c>
      <c r="C342" s="138" t="s">
        <v>1090</v>
      </c>
      <c r="E342" s="1836"/>
      <c r="F342" s="1837"/>
      <c r="G342" s="1837"/>
      <c r="H342" s="1837"/>
      <c r="I342" s="1838"/>
      <c r="J342" s="1968" t="s">
        <v>2862</v>
      </c>
      <c r="K342" s="1969"/>
      <c r="L342" s="1970"/>
      <c r="M342" s="1836"/>
      <c r="N342" s="1837"/>
      <c r="O342" s="1837"/>
      <c r="P342" s="1837"/>
      <c r="Q342" s="1838"/>
    </row>
    <row r="343" spans="1:32" ht="11.45" customHeight="1">
      <c r="B343" s="55" t="s">
        <v>2113</v>
      </c>
      <c r="C343" s="62" t="s">
        <v>1853</v>
      </c>
      <c r="D343" s="62"/>
      <c r="E343" s="62"/>
      <c r="F343" s="62"/>
      <c r="G343" s="62"/>
      <c r="H343" s="62"/>
      <c r="I343" s="62"/>
      <c r="J343" s="62"/>
      <c r="K343" s="62"/>
      <c r="L343" s="38"/>
      <c r="M343" s="38"/>
      <c r="O343" s="594" t="s">
        <v>2113</v>
      </c>
      <c r="P343" s="1080"/>
      <c r="Q343" s="1287"/>
    </row>
    <row r="344" spans="1:32" ht="22.5" customHeight="1">
      <c r="B344" s="168" t="s">
        <v>793</v>
      </c>
      <c r="C344" s="1790" t="s">
        <v>2969</v>
      </c>
      <c r="D344" s="1790"/>
      <c r="E344" s="1790"/>
      <c r="F344" s="1790"/>
      <c r="G344" s="1790"/>
      <c r="H344" s="1790"/>
      <c r="I344" s="1790"/>
      <c r="J344" s="1790"/>
      <c r="K344" s="1790"/>
      <c r="L344" s="1790"/>
      <c r="M344" s="1790"/>
      <c r="N344" s="1790"/>
      <c r="O344" s="594" t="s">
        <v>793</v>
      </c>
      <c r="P344" s="1080"/>
      <c r="Q344" s="1287"/>
    </row>
    <row r="345" spans="1:32" ht="11.25" customHeight="1">
      <c r="B345" s="167" t="s">
        <v>1987</v>
      </c>
      <c r="D345" s="167"/>
      <c r="E345" s="167"/>
      <c r="F345" s="167"/>
      <c r="G345" s="167"/>
      <c r="H345" s="48"/>
      <c r="I345" s="1186"/>
      <c r="J345" s="1186"/>
      <c r="K345" s="1186"/>
      <c r="L345" s="1169"/>
      <c r="M345" s="1169"/>
      <c r="N345" s="1169"/>
      <c r="O345" s="1169"/>
      <c r="P345" s="1169"/>
      <c r="Q345" s="60"/>
    </row>
    <row r="346" spans="1:32" ht="11.45" customHeight="1">
      <c r="A346" s="1830"/>
      <c r="B346" s="1831"/>
      <c r="C346" s="1831"/>
      <c r="D346" s="1831"/>
      <c r="E346" s="1831"/>
      <c r="F346" s="1831"/>
      <c r="G346" s="1831"/>
      <c r="H346" s="1831"/>
      <c r="I346" s="1831"/>
      <c r="J346" s="1831"/>
      <c r="K346" s="1831"/>
      <c r="L346" s="1831"/>
      <c r="M346" s="1831"/>
      <c r="N346" s="1831"/>
      <c r="O346" s="1831"/>
      <c r="P346" s="1831"/>
      <c r="Q346" s="1832"/>
      <c r="U346" s="162"/>
      <c r="V346" s="162"/>
      <c r="W346" s="162"/>
      <c r="X346" s="162"/>
      <c r="Y346" s="162"/>
      <c r="Z346" s="162"/>
      <c r="AA346" s="162"/>
      <c r="AB346" s="162"/>
      <c r="AC346" s="162"/>
      <c r="AD346" s="162"/>
      <c r="AE346" s="596"/>
    </row>
    <row r="347" spans="1:32" ht="11.25" customHeight="1">
      <c r="B347" s="163" t="s">
        <v>1988</v>
      </c>
      <c r="C347" s="164"/>
      <c r="D347" s="1176"/>
      <c r="E347" s="1176"/>
      <c r="F347" s="1176"/>
      <c r="G347" s="1176"/>
      <c r="H347" s="1176"/>
      <c r="I347" s="1176"/>
      <c r="J347" s="1176"/>
      <c r="K347" s="1176"/>
      <c r="L347" s="1176"/>
      <c r="M347" s="1176"/>
      <c r="N347" s="1176"/>
      <c r="O347" s="1176"/>
      <c r="P347" s="1176"/>
      <c r="Q347" s="1176"/>
    </row>
    <row r="348" spans="1:32" ht="11.45" customHeight="1">
      <c r="A348" s="1833"/>
      <c r="B348" s="1834"/>
      <c r="C348" s="1834"/>
      <c r="D348" s="1834"/>
      <c r="E348" s="1834"/>
      <c r="F348" s="1834"/>
      <c r="G348" s="1834"/>
      <c r="H348" s="1834"/>
      <c r="I348" s="1834"/>
      <c r="J348" s="1834"/>
      <c r="K348" s="1834"/>
      <c r="L348" s="1834"/>
      <c r="M348" s="1834"/>
      <c r="N348" s="1834"/>
      <c r="O348" s="1834"/>
      <c r="P348" s="1834"/>
      <c r="Q348" s="1835"/>
    </row>
    <row r="349" spans="1:32" ht="3.6" customHeight="1">
      <c r="A349" s="1169"/>
      <c r="B349" s="1186"/>
      <c r="C349" s="1176"/>
      <c r="D349" s="1176"/>
      <c r="E349" s="1176"/>
      <c r="F349" s="1176"/>
      <c r="G349" s="1176"/>
      <c r="H349" s="1176"/>
      <c r="I349" s="1176"/>
      <c r="J349" s="1176"/>
      <c r="K349" s="1176"/>
      <c r="L349" s="1176"/>
      <c r="M349" s="1176"/>
      <c r="Q349" s="60"/>
    </row>
    <row r="350" spans="1:32" ht="13.9" customHeight="1">
      <c r="A350" s="1178">
        <v>24</v>
      </c>
      <c r="B350" s="5" t="s">
        <v>2860</v>
      </c>
      <c r="C350" s="5"/>
      <c r="D350" s="101"/>
      <c r="E350" s="1176"/>
      <c r="F350" s="1176"/>
      <c r="G350" s="1176"/>
      <c r="H350" s="1176"/>
      <c r="I350" s="1176"/>
      <c r="J350" s="1176"/>
      <c r="K350" s="1176"/>
      <c r="L350" s="1176"/>
      <c r="M350" s="1176"/>
      <c r="O350" s="157" t="s">
        <v>1989</v>
      </c>
      <c r="P350" s="1828"/>
      <c r="Q350" s="1829"/>
    </row>
    <row r="351" spans="1:32" s="1" customFormat="1" ht="23.45" customHeight="1">
      <c r="B351" s="168" t="s">
        <v>2110</v>
      </c>
      <c r="C351" s="1825" t="s">
        <v>154</v>
      </c>
      <c r="D351" s="1825"/>
      <c r="E351" s="1825"/>
      <c r="F351" s="1825"/>
      <c r="G351" s="1825"/>
      <c r="H351" s="1825"/>
      <c r="I351" s="1825"/>
      <c r="J351" s="1825"/>
      <c r="K351" s="1825"/>
      <c r="L351" s="1825"/>
      <c r="M351" s="192" t="s">
        <v>2110</v>
      </c>
      <c r="N351" s="1922" t="s">
        <v>1886</v>
      </c>
      <c r="O351" s="1923"/>
      <c r="P351" s="1964" t="s">
        <v>1886</v>
      </c>
      <c r="Q351" s="1965"/>
      <c r="AE351" s="6"/>
      <c r="AF351" s="6"/>
    </row>
    <row r="352" spans="1:32" s="1" customFormat="1" ht="12" customHeight="1">
      <c r="B352" s="55" t="s">
        <v>2113</v>
      </c>
      <c r="C352" s="135" t="s">
        <v>1</v>
      </c>
      <c r="D352" s="1177"/>
      <c r="E352" s="1177"/>
      <c r="G352" s="594" t="s">
        <v>2113</v>
      </c>
      <c r="H352" s="1892"/>
      <c r="I352" s="1893"/>
      <c r="J352" s="1893"/>
      <c r="K352" s="1893"/>
      <c r="L352" s="1893"/>
      <c r="M352" s="1893"/>
      <c r="N352" s="1893"/>
      <c r="O352" s="1893"/>
      <c r="P352" s="1894"/>
      <c r="Q352" s="1287"/>
      <c r="AE352" s="6"/>
      <c r="AF352" s="6"/>
    </row>
    <row r="353" spans="1:32" s="1" customFormat="1" ht="12" customHeight="1">
      <c r="B353" s="55" t="s">
        <v>793</v>
      </c>
      <c r="C353" s="38" t="s">
        <v>1501</v>
      </c>
      <c r="D353" s="12"/>
      <c r="E353" s="12"/>
      <c r="F353" s="12"/>
      <c r="G353" s="8"/>
      <c r="H353" s="8"/>
      <c r="I353" s="38"/>
      <c r="K353" s="8"/>
      <c r="L353" s="8"/>
      <c r="M353" s="8"/>
      <c r="O353" s="594" t="s">
        <v>793</v>
      </c>
      <c r="P353" s="1080"/>
      <c r="Q353" s="1287"/>
      <c r="AE353" s="6"/>
      <c r="AF353" s="6"/>
    </row>
    <row r="354" spans="1:32" ht="11.25" customHeight="1">
      <c r="B354" s="167" t="s">
        <v>1987</v>
      </c>
      <c r="D354" s="167"/>
      <c r="E354" s="167"/>
      <c r="F354" s="167"/>
      <c r="G354" s="167"/>
      <c r="H354" s="48"/>
      <c r="I354" s="1186"/>
      <c r="J354" s="1186"/>
      <c r="K354" s="1186"/>
      <c r="L354" s="1169"/>
      <c r="M354" s="1169"/>
      <c r="N354" s="1169"/>
      <c r="O354" s="1169"/>
      <c r="P354" s="1169"/>
      <c r="Q354" s="60"/>
    </row>
    <row r="355" spans="1:32" ht="11.45" customHeight="1">
      <c r="A355" s="1830"/>
      <c r="B355" s="1831"/>
      <c r="C355" s="1831"/>
      <c r="D355" s="1831"/>
      <c r="E355" s="1831"/>
      <c r="F355" s="1831"/>
      <c r="G355" s="1831"/>
      <c r="H355" s="1831"/>
      <c r="I355" s="1831"/>
      <c r="J355" s="1831"/>
      <c r="K355" s="1831"/>
      <c r="L355" s="1831"/>
      <c r="M355" s="1831"/>
      <c r="N355" s="1831"/>
      <c r="O355" s="1831"/>
      <c r="P355" s="1831"/>
      <c r="Q355" s="1832"/>
      <c r="R355" s="563" t="s">
        <v>1326</v>
      </c>
      <c r="S355" s="563"/>
      <c r="U355" s="162"/>
      <c r="V355" s="162"/>
      <c r="W355" s="162"/>
      <c r="X355" s="162"/>
      <c r="Y355" s="162"/>
      <c r="Z355" s="162"/>
      <c r="AA355" s="162"/>
      <c r="AB355" s="162"/>
      <c r="AC355" s="162"/>
      <c r="AD355" s="162"/>
      <c r="AE355" s="596"/>
    </row>
    <row r="356" spans="1:32" s="31" customFormat="1" ht="3" customHeight="1">
      <c r="C356" s="137"/>
      <c r="D356" s="137"/>
      <c r="R356" s="563"/>
      <c r="S356" s="563"/>
      <c r="AE356" s="137"/>
      <c r="AF356" s="137"/>
    </row>
    <row r="357" spans="1:32" ht="11.25" customHeight="1">
      <c r="B357" s="163" t="s">
        <v>1988</v>
      </c>
      <c r="C357" s="164"/>
      <c r="D357" s="1176"/>
      <c r="E357" s="1176"/>
      <c r="F357" s="1176"/>
      <c r="G357" s="1176"/>
      <c r="H357" s="1176"/>
      <c r="I357" s="1176"/>
      <c r="J357" s="1176"/>
      <c r="K357" s="1176"/>
      <c r="L357" s="1176"/>
      <c r="M357" s="1176"/>
      <c r="N357" s="1176"/>
      <c r="O357" s="1176"/>
      <c r="P357" s="1176"/>
      <c r="Q357" s="1176"/>
    </row>
    <row r="358" spans="1:32" ht="11.45" customHeight="1">
      <c r="A358" s="1833"/>
      <c r="B358" s="1834"/>
      <c r="C358" s="1834"/>
      <c r="D358" s="1834"/>
      <c r="E358" s="1834"/>
      <c r="F358" s="1834"/>
      <c r="G358" s="1834"/>
      <c r="H358" s="1834"/>
      <c r="I358" s="1834"/>
      <c r="J358" s="1834"/>
      <c r="K358" s="1834"/>
      <c r="L358" s="1834"/>
      <c r="M358" s="1834"/>
      <c r="N358" s="1834"/>
      <c r="O358" s="1834"/>
      <c r="P358" s="1834"/>
      <c r="Q358" s="1835"/>
    </row>
    <row r="359" spans="1:32" ht="3" customHeight="1">
      <c r="A359" s="1169"/>
      <c r="B359" s="1186"/>
      <c r="C359" s="1176"/>
      <c r="D359" s="1176"/>
      <c r="E359" s="1176"/>
      <c r="F359" s="1176"/>
      <c r="G359" s="1176"/>
      <c r="H359" s="1176"/>
      <c r="I359" s="1176"/>
      <c r="J359" s="1176"/>
      <c r="K359" s="1176"/>
      <c r="L359" s="1176"/>
      <c r="M359" s="1176"/>
      <c r="N359" s="1176"/>
      <c r="O359" s="1176"/>
      <c r="P359" s="1176"/>
      <c r="Q359" s="1169"/>
    </row>
    <row r="360" spans="1:32" ht="13.9" customHeight="1">
      <c r="A360" s="1178">
        <v>25</v>
      </c>
      <c r="B360" s="5" t="s">
        <v>2857</v>
      </c>
      <c r="C360" s="5"/>
      <c r="D360" s="5"/>
      <c r="E360" s="1176"/>
      <c r="G360" s="166" t="s">
        <v>743</v>
      </c>
      <c r="H360" s="1176"/>
      <c r="I360" s="1176"/>
      <c r="J360" s="1176"/>
      <c r="K360" s="1176"/>
      <c r="L360" s="1176"/>
      <c r="M360" s="1176"/>
      <c r="O360" s="157" t="s">
        <v>1989</v>
      </c>
      <c r="P360" s="1828"/>
      <c r="Q360" s="1895"/>
    </row>
    <row r="361" spans="1:32" ht="12" customHeight="1">
      <c r="A361" s="170"/>
      <c r="B361" s="55" t="s">
        <v>2110</v>
      </c>
      <c r="C361" s="62" t="s">
        <v>2864</v>
      </c>
      <c r="D361" s="556"/>
      <c r="E361" s="556"/>
      <c r="H361" s="166"/>
      <c r="O361" s="594" t="s">
        <v>2110</v>
      </c>
      <c r="P361" s="1080"/>
      <c r="Q361" s="1287"/>
    </row>
    <row r="362" spans="1:32" ht="12" customHeight="1">
      <c r="A362" s="170"/>
      <c r="B362" s="55" t="s">
        <v>2113</v>
      </c>
      <c r="C362" s="62" t="s">
        <v>2865</v>
      </c>
      <c r="D362" s="556"/>
      <c r="E362" s="556"/>
      <c r="O362" s="594" t="s">
        <v>2113</v>
      </c>
      <c r="P362" s="1080"/>
      <c r="Q362" s="1287"/>
    </row>
    <row r="363" spans="1:32" ht="12" customHeight="1">
      <c r="A363" s="170"/>
      <c r="B363" s="55" t="s">
        <v>793</v>
      </c>
      <c r="C363" s="62" t="s">
        <v>2897</v>
      </c>
      <c r="D363" s="556"/>
      <c r="E363" s="556"/>
      <c r="O363" s="594" t="s">
        <v>793</v>
      </c>
      <c r="P363" s="1080"/>
      <c r="Q363" s="1287"/>
    </row>
    <row r="364" spans="1:32" ht="12" customHeight="1">
      <c r="A364" s="170"/>
      <c r="B364" s="55" t="s">
        <v>2245</v>
      </c>
      <c r="C364" s="62" t="s">
        <v>2861</v>
      </c>
      <c r="E364" s="166"/>
      <c r="O364" s="594" t="s">
        <v>2245</v>
      </c>
      <c r="P364" s="1080"/>
      <c r="Q364" s="1287"/>
    </row>
    <row r="365" spans="1:32" ht="12" customHeight="1">
      <c r="B365" s="55" t="s">
        <v>1848</v>
      </c>
      <c r="C365" s="62" t="s">
        <v>2209</v>
      </c>
      <c r="E365" s="166"/>
      <c r="G365" s="594" t="s">
        <v>1848</v>
      </c>
      <c r="H365" s="1918"/>
      <c r="I365" s="1919"/>
      <c r="J365" s="1919"/>
      <c r="K365" s="1919"/>
      <c r="L365" s="1919"/>
      <c r="M365" s="1919"/>
      <c r="N365" s="1919"/>
      <c r="O365" s="1920"/>
      <c r="P365" s="1080"/>
      <c r="Q365" s="1287"/>
    </row>
    <row r="366" spans="1:32" ht="11.25" customHeight="1">
      <c r="B366" s="167" t="s">
        <v>1987</v>
      </c>
      <c r="D366" s="167"/>
      <c r="E366" s="167"/>
      <c r="F366" s="167"/>
      <c r="G366" s="167"/>
      <c r="H366" s="48"/>
      <c r="I366" s="1186"/>
      <c r="J366" s="1186"/>
      <c r="K366" s="1186"/>
      <c r="L366" s="1169"/>
      <c r="M366" s="1169"/>
      <c r="N366" s="1169"/>
      <c r="O366" s="1169"/>
      <c r="P366" s="1169"/>
      <c r="Q366" s="60"/>
    </row>
    <row r="367" spans="1:32" ht="11.45" customHeight="1">
      <c r="A367" s="1830"/>
      <c r="B367" s="1831"/>
      <c r="C367" s="1831"/>
      <c r="D367" s="1831"/>
      <c r="E367" s="1831"/>
      <c r="F367" s="1831"/>
      <c r="G367" s="1831"/>
      <c r="H367" s="1831"/>
      <c r="I367" s="1831"/>
      <c r="J367" s="1831"/>
      <c r="K367" s="1831"/>
      <c r="L367" s="1831"/>
      <c r="M367" s="1831"/>
      <c r="N367" s="1831"/>
      <c r="O367" s="1831"/>
      <c r="P367" s="1831"/>
      <c r="Q367" s="1832"/>
      <c r="U367" s="162"/>
      <c r="V367" s="162"/>
      <c r="W367" s="162"/>
      <c r="X367" s="162"/>
      <c r="Y367" s="162"/>
      <c r="Z367" s="162"/>
      <c r="AA367" s="162"/>
      <c r="AB367" s="162"/>
      <c r="AC367" s="162"/>
      <c r="AD367" s="162"/>
      <c r="AE367" s="596"/>
    </row>
    <row r="368" spans="1:32" ht="11.25" customHeight="1">
      <c r="B368" s="163" t="s">
        <v>1988</v>
      </c>
      <c r="C368" s="164"/>
      <c r="D368" s="1176"/>
      <c r="E368" s="1176"/>
      <c r="F368" s="1176"/>
      <c r="G368" s="1176"/>
      <c r="H368" s="1176"/>
      <c r="I368" s="1176"/>
      <c r="J368" s="1176"/>
      <c r="K368" s="1176"/>
      <c r="L368" s="1176"/>
      <c r="M368" s="1176"/>
      <c r="N368" s="1176"/>
      <c r="O368" s="1176"/>
      <c r="P368" s="1176"/>
      <c r="Q368" s="1176"/>
    </row>
    <row r="369" spans="1:17" ht="11.45" customHeight="1">
      <c r="A369" s="1833"/>
      <c r="B369" s="1834"/>
      <c r="C369" s="1834"/>
      <c r="D369" s="1834"/>
      <c r="E369" s="1834"/>
      <c r="F369" s="1834"/>
      <c r="G369" s="1834"/>
      <c r="H369" s="1834"/>
      <c r="I369" s="1834"/>
      <c r="J369" s="1834"/>
      <c r="K369" s="1834"/>
      <c r="L369" s="1834"/>
      <c r="M369" s="1834"/>
      <c r="N369" s="1834"/>
      <c r="O369" s="1834"/>
      <c r="P369" s="1834"/>
      <c r="Q369" s="1835"/>
    </row>
    <row r="370" spans="1:17" ht="3" customHeight="1">
      <c r="A370" s="1169"/>
      <c r="B370" s="1186"/>
      <c r="C370" s="1176"/>
      <c r="D370" s="1176"/>
      <c r="E370" s="1176"/>
      <c r="F370" s="1176"/>
      <c r="G370" s="1176"/>
      <c r="H370" s="1176"/>
      <c r="I370" s="1176"/>
      <c r="J370" s="1176"/>
      <c r="K370" s="1176"/>
      <c r="L370" s="1176"/>
      <c r="M370" s="1176"/>
      <c r="N370" s="1176"/>
      <c r="O370" s="1176"/>
      <c r="P370" s="1176"/>
      <c r="Q370" s="1169"/>
    </row>
    <row r="371" spans="1:17" ht="13.9" customHeight="1">
      <c r="A371" s="1178">
        <v>26</v>
      </c>
      <c r="B371" s="5" t="s">
        <v>2858</v>
      </c>
      <c r="C371" s="5"/>
      <c r="D371" s="5"/>
      <c r="E371" s="5"/>
      <c r="F371" s="5"/>
      <c r="G371" s="5"/>
      <c r="H371" s="1176"/>
      <c r="I371" s="1176"/>
      <c r="J371" s="1176"/>
      <c r="K371" s="1176"/>
      <c r="L371" s="1176"/>
      <c r="M371" s="1176"/>
      <c r="O371" s="157" t="s">
        <v>1989</v>
      </c>
      <c r="P371" s="1828"/>
      <c r="Q371" s="1895"/>
    </row>
    <row r="372" spans="1:17" ht="12" customHeight="1">
      <c r="A372" s="50"/>
      <c r="B372" s="55" t="s">
        <v>2110</v>
      </c>
      <c r="C372" s="47" t="s">
        <v>796</v>
      </c>
      <c r="D372" s="50"/>
      <c r="E372" s="50"/>
      <c r="F372" s="50"/>
      <c r="G372" s="50"/>
      <c r="H372" s="50"/>
      <c r="I372" s="50"/>
      <c r="J372" s="50"/>
      <c r="K372" s="50"/>
      <c r="L372" s="50"/>
      <c r="M372" s="50"/>
      <c r="N372" s="50"/>
      <c r="O372" s="594" t="s">
        <v>2110</v>
      </c>
      <c r="P372" s="1080" t="s">
        <v>3425</v>
      </c>
      <c r="Q372" s="1287"/>
    </row>
    <row r="373" spans="1:17" ht="12" customHeight="1">
      <c r="A373" s="50"/>
      <c r="B373" s="55" t="s">
        <v>2113</v>
      </c>
      <c r="C373" s="47" t="s">
        <v>2336</v>
      </c>
      <c r="D373" s="50"/>
      <c r="E373" s="50"/>
      <c r="F373" s="50"/>
      <c r="G373" s="50"/>
      <c r="H373" s="50"/>
      <c r="I373" s="50"/>
      <c r="J373" s="50"/>
      <c r="K373" s="50"/>
      <c r="L373" s="50"/>
      <c r="M373" s="50"/>
      <c r="N373" s="50"/>
      <c r="O373" s="594" t="s">
        <v>1535</v>
      </c>
      <c r="P373" s="1080" t="s">
        <v>3425</v>
      </c>
      <c r="Q373" s="1287"/>
    </row>
    <row r="374" spans="1:17" ht="12" customHeight="1">
      <c r="A374" s="50"/>
      <c r="B374" s="55"/>
      <c r="C374" s="62" t="s">
        <v>1577</v>
      </c>
      <c r="D374" s="62"/>
      <c r="E374" s="62"/>
      <c r="F374" s="62"/>
      <c r="G374" s="62"/>
      <c r="H374" s="62"/>
      <c r="I374" s="62"/>
      <c r="J374" s="62"/>
      <c r="K374" s="62"/>
      <c r="L374" s="62"/>
      <c r="M374" s="62"/>
      <c r="N374" s="50"/>
    </row>
    <row r="375" spans="1:17" ht="12" customHeight="1">
      <c r="A375" s="50"/>
      <c r="B375" s="55"/>
      <c r="C375" s="62" t="s">
        <v>2337</v>
      </c>
      <c r="D375" s="62"/>
      <c r="E375" s="62"/>
      <c r="F375" s="62"/>
      <c r="G375" s="62"/>
      <c r="H375" s="62"/>
      <c r="I375" s="62"/>
      <c r="J375" s="62"/>
      <c r="K375" s="62"/>
      <c r="L375" s="62"/>
      <c r="M375" s="62"/>
      <c r="N375" s="50"/>
      <c r="O375" s="594" t="s">
        <v>1851</v>
      </c>
      <c r="P375" s="1080"/>
      <c r="Q375" s="1287"/>
    </row>
    <row r="376" spans="1:17" ht="12" customHeight="1">
      <c r="A376" s="50"/>
      <c r="B376" s="55" t="s">
        <v>793</v>
      </c>
      <c r="C376" s="1790" t="s">
        <v>2335</v>
      </c>
      <c r="D376" s="1790"/>
      <c r="E376" s="1790"/>
      <c r="F376" s="1790"/>
      <c r="G376" s="1790"/>
      <c r="H376" s="1790"/>
      <c r="I376" s="1790"/>
      <c r="J376" s="1790"/>
      <c r="K376" s="1790"/>
      <c r="L376" s="1790"/>
      <c r="M376" s="1790"/>
      <c r="N376" s="1790"/>
      <c r="O376" s="594" t="s">
        <v>793</v>
      </c>
      <c r="P376" s="1080"/>
      <c r="Q376" s="1287"/>
    </row>
    <row r="377" spans="1:17" ht="12" customHeight="1">
      <c r="A377" s="50"/>
      <c r="B377" s="55" t="s">
        <v>2245</v>
      </c>
      <c r="C377" s="38" t="s">
        <v>3107</v>
      </c>
      <c r="D377" s="38"/>
      <c r="E377" s="38"/>
      <c r="F377" s="38"/>
      <c r="G377" s="38"/>
      <c r="H377" s="38"/>
      <c r="I377" s="38"/>
      <c r="J377" s="38"/>
      <c r="K377" s="38"/>
      <c r="L377" s="38"/>
      <c r="M377" s="38"/>
      <c r="N377" s="50"/>
      <c r="O377" s="594"/>
      <c r="P377" s="50"/>
      <c r="Q377" s="50"/>
    </row>
    <row r="378" spans="1:17" ht="12" customHeight="1">
      <c r="A378" s="50"/>
      <c r="B378" s="55"/>
      <c r="C378" s="160" t="s">
        <v>2338</v>
      </c>
      <c r="D378" s="44"/>
      <c r="E378" s="50"/>
      <c r="F378" s="38"/>
      <c r="G378" s="1098"/>
      <c r="H378" s="1300" t="s">
        <v>256</v>
      </c>
      <c r="J378" s="160" t="s">
        <v>2341</v>
      </c>
      <c r="K378" s="38"/>
      <c r="N378" s="1098"/>
      <c r="O378" s="1300" t="s">
        <v>256</v>
      </c>
    </row>
    <row r="379" spans="1:17" ht="12" customHeight="1">
      <c r="A379" s="50"/>
      <c r="B379" s="55"/>
      <c r="C379" s="160" t="s">
        <v>2339</v>
      </c>
      <c r="D379" s="44"/>
      <c r="E379" s="50"/>
      <c r="F379" s="38"/>
      <c r="G379" s="1099"/>
      <c r="H379" s="1301"/>
      <c r="J379" s="160" t="s">
        <v>2342</v>
      </c>
      <c r="K379" s="38"/>
      <c r="N379" s="1100"/>
      <c r="O379" s="1302"/>
    </row>
    <row r="380" spans="1:17" ht="12" customHeight="1">
      <c r="A380" s="50"/>
      <c r="B380" s="55"/>
      <c r="C380" s="160" t="s">
        <v>2340</v>
      </c>
      <c r="D380" s="44"/>
      <c r="E380" s="50"/>
      <c r="F380" s="38"/>
      <c r="G380" s="1100"/>
      <c r="H380" s="1302" t="s">
        <v>256</v>
      </c>
      <c r="K380" s="38"/>
      <c r="L380" s="38"/>
      <c r="M380" s="38"/>
      <c r="N380" s="50"/>
      <c r="O380" s="594"/>
    </row>
    <row r="381" spans="1:17" ht="12" customHeight="1">
      <c r="A381" s="50"/>
      <c r="B381" s="55" t="s">
        <v>1848</v>
      </c>
      <c r="C381" s="38" t="s">
        <v>2533</v>
      </c>
      <c r="D381" s="38"/>
      <c r="E381" s="38"/>
      <c r="F381" s="38"/>
      <c r="G381" s="38"/>
      <c r="J381" s="50"/>
      <c r="K381" s="38"/>
      <c r="L381" s="38"/>
      <c r="M381" s="38"/>
      <c r="N381" s="50"/>
      <c r="O381" s="594"/>
      <c r="P381" s="594"/>
      <c r="Q381" s="594"/>
    </row>
    <row r="382" spans="1:17" ht="12" customHeight="1">
      <c r="A382" s="50"/>
      <c r="B382" s="55"/>
      <c r="C382" s="536" t="s">
        <v>2343</v>
      </c>
      <c r="D382" s="38"/>
      <c r="E382" s="38"/>
      <c r="F382" s="38"/>
      <c r="G382" s="1094"/>
      <c r="H382" s="1293"/>
      <c r="J382" s="536" t="s">
        <v>1247</v>
      </c>
      <c r="K382" s="38"/>
      <c r="N382" s="1091"/>
      <c r="O382" s="1289"/>
    </row>
    <row r="383" spans="1:17" ht="12" customHeight="1">
      <c r="A383" s="50"/>
      <c r="B383" s="55"/>
      <c r="C383" s="536" t="s">
        <v>1246</v>
      </c>
      <c r="D383" s="38"/>
      <c r="E383" s="38"/>
      <c r="F383" s="38"/>
      <c r="G383" s="1096"/>
      <c r="H383" s="1295"/>
      <c r="J383" s="536" t="s">
        <v>2393</v>
      </c>
      <c r="N383" s="1956"/>
      <c r="O383" s="1957"/>
      <c r="P383" s="1957"/>
      <c r="Q383" s="1958"/>
    </row>
    <row r="384" spans="1:17" ht="12" customHeight="1">
      <c r="B384" s="167" t="s">
        <v>1987</v>
      </c>
      <c r="D384" s="167"/>
      <c r="E384" s="167"/>
      <c r="F384" s="167"/>
      <c r="G384" s="167"/>
      <c r="H384" s="48"/>
      <c r="I384" s="1186"/>
      <c r="J384" s="1186"/>
      <c r="K384" s="1186"/>
      <c r="P384" s="1169"/>
      <c r="Q384" s="60"/>
    </row>
    <row r="385" spans="1:32" ht="12" customHeight="1">
      <c r="A385" s="1830" t="s">
        <v>3540</v>
      </c>
      <c r="B385" s="1831"/>
      <c r="C385" s="1831"/>
      <c r="D385" s="1831"/>
      <c r="E385" s="1831"/>
      <c r="F385" s="1831"/>
      <c r="G385" s="1831"/>
      <c r="H385" s="1831"/>
      <c r="I385" s="1831"/>
      <c r="J385" s="1831"/>
      <c r="K385" s="1831"/>
      <c r="L385" s="1831"/>
      <c r="M385" s="1831"/>
      <c r="N385" s="1831"/>
      <c r="O385" s="1831"/>
      <c r="P385" s="1831"/>
      <c r="Q385" s="1832"/>
      <c r="U385" s="162"/>
      <c r="V385" s="162"/>
      <c r="W385" s="162"/>
      <c r="X385" s="162"/>
      <c r="Y385" s="162"/>
      <c r="Z385" s="162"/>
      <c r="AA385" s="162"/>
      <c r="AB385" s="162"/>
      <c r="AC385" s="162"/>
      <c r="AD385" s="162"/>
      <c r="AE385" s="596"/>
    </row>
    <row r="386" spans="1:32" ht="12" customHeight="1">
      <c r="B386" s="163" t="s">
        <v>1988</v>
      </c>
      <c r="C386" s="164"/>
      <c r="D386" s="1176"/>
      <c r="E386" s="1176"/>
      <c r="F386" s="1176"/>
      <c r="G386" s="1176"/>
      <c r="H386" s="1176"/>
      <c r="I386" s="1176"/>
      <c r="J386" s="1176"/>
      <c r="K386" s="1176"/>
      <c r="L386" s="1176"/>
      <c r="M386" s="1176"/>
      <c r="N386" s="1176"/>
      <c r="O386" s="1176"/>
      <c r="P386" s="1176"/>
      <c r="Q386" s="1176"/>
    </row>
    <row r="387" spans="1:32" ht="12" customHeight="1">
      <c r="A387" s="1833"/>
      <c r="B387" s="1834"/>
      <c r="C387" s="1834"/>
      <c r="D387" s="1834"/>
      <c r="E387" s="1834"/>
      <c r="F387" s="1834"/>
      <c r="G387" s="1834"/>
      <c r="H387" s="1834"/>
      <c r="I387" s="1834"/>
      <c r="J387" s="1834"/>
      <c r="K387" s="1834"/>
      <c r="L387" s="1834"/>
      <c r="M387" s="1834"/>
      <c r="N387" s="1834"/>
      <c r="O387" s="1834"/>
      <c r="P387" s="1834"/>
      <c r="Q387" s="1835"/>
    </row>
    <row r="388" spans="1:32" ht="3" customHeight="1">
      <c r="A388" s="1169"/>
      <c r="B388" s="1186"/>
      <c r="C388" s="1176"/>
      <c r="D388" s="1176"/>
      <c r="E388" s="1176"/>
      <c r="F388" s="1176"/>
      <c r="G388" s="1176"/>
      <c r="H388" s="1176"/>
      <c r="I388" s="1176"/>
      <c r="J388" s="1176"/>
      <c r="K388" s="1176"/>
      <c r="L388" s="1176"/>
      <c r="M388" s="1176"/>
      <c r="Q388" s="60"/>
    </row>
    <row r="389" spans="1:32" ht="13.9" customHeight="1">
      <c r="A389" s="1178">
        <v>27</v>
      </c>
      <c r="B389" s="5" t="s">
        <v>3108</v>
      </c>
      <c r="C389" s="5"/>
      <c r="D389" s="101"/>
      <c r="E389" s="1176"/>
      <c r="F389" s="1176"/>
      <c r="G389" s="1176"/>
      <c r="H389" s="1176"/>
      <c r="O389" s="157" t="s">
        <v>1989</v>
      </c>
      <c r="P389" s="1828"/>
      <c r="Q389" s="1829"/>
    </row>
    <row r="390" spans="1:32" s="158" customFormat="1" ht="21.75" customHeight="1">
      <c r="B390" s="168" t="s">
        <v>2110</v>
      </c>
      <c r="C390" s="1921" t="s">
        <v>3109</v>
      </c>
      <c r="D390" s="1921"/>
      <c r="E390" s="1921"/>
      <c r="F390" s="1921"/>
      <c r="G390" s="1921"/>
      <c r="H390" s="1921"/>
      <c r="I390" s="1921"/>
      <c r="J390" s="1921"/>
      <c r="K390" s="1921"/>
      <c r="L390" s="1921"/>
      <c r="M390" s="1921"/>
      <c r="N390" s="1921"/>
      <c r="O390" s="192" t="s">
        <v>2110</v>
      </c>
      <c r="P390" s="1092" t="s">
        <v>3485</v>
      </c>
      <c r="Q390" s="1290"/>
      <c r="AE390" s="597"/>
      <c r="AF390" s="597"/>
    </row>
    <row r="391" spans="1:32" s="158" customFormat="1" ht="21.75" customHeight="1">
      <c r="B391" s="168" t="s">
        <v>2113</v>
      </c>
      <c r="C391" s="1921" t="s">
        <v>3110</v>
      </c>
      <c r="D391" s="1921"/>
      <c r="E391" s="1921"/>
      <c r="F391" s="1921"/>
      <c r="G391" s="1921"/>
      <c r="H391" s="1921"/>
      <c r="I391" s="1921"/>
      <c r="J391" s="1921"/>
      <c r="K391" s="1921"/>
      <c r="L391" s="1921"/>
      <c r="M391" s="1921"/>
      <c r="N391" s="1921"/>
      <c r="O391" s="192" t="s">
        <v>2113</v>
      </c>
      <c r="P391" s="1092" t="s">
        <v>3485</v>
      </c>
      <c r="Q391" s="1290"/>
      <c r="AE391" s="597"/>
      <c r="AF391" s="597"/>
    </row>
    <row r="392" spans="1:32" s="158" customFormat="1" ht="21.75" customHeight="1">
      <c r="B392" s="168" t="s">
        <v>793</v>
      </c>
      <c r="C392" s="1921" t="s">
        <v>3111</v>
      </c>
      <c r="D392" s="1921"/>
      <c r="E392" s="1921"/>
      <c r="F392" s="1921"/>
      <c r="G392" s="1921"/>
      <c r="H392" s="1921"/>
      <c r="I392" s="1921"/>
      <c r="J392" s="1921"/>
      <c r="K392" s="1921"/>
      <c r="L392" s="1921"/>
      <c r="M392" s="1921"/>
      <c r="N392" s="1921"/>
      <c r="O392" s="192" t="s">
        <v>793</v>
      </c>
      <c r="P392" s="1092" t="s">
        <v>3485</v>
      </c>
      <c r="Q392" s="1290"/>
      <c r="AE392" s="597"/>
      <c r="AF392" s="597"/>
    </row>
    <row r="393" spans="1:32" s="158" customFormat="1" ht="33.75" customHeight="1">
      <c r="B393" s="168" t="s">
        <v>2245</v>
      </c>
      <c r="C393" s="1921" t="s">
        <v>3112</v>
      </c>
      <c r="D393" s="1921"/>
      <c r="E393" s="1921"/>
      <c r="F393" s="1921"/>
      <c r="G393" s="1921"/>
      <c r="H393" s="1921"/>
      <c r="I393" s="1921"/>
      <c r="J393" s="1921"/>
      <c r="K393" s="1921"/>
      <c r="L393" s="1921"/>
      <c r="M393" s="1921"/>
      <c r="N393" s="1921"/>
      <c r="O393" s="192" t="s">
        <v>2245</v>
      </c>
      <c r="P393" s="1092" t="s">
        <v>3485</v>
      </c>
      <c r="Q393" s="1290"/>
      <c r="AE393" s="597"/>
      <c r="AF393" s="597"/>
    </row>
    <row r="394" spans="1:32" s="158" customFormat="1" ht="21.75" customHeight="1">
      <c r="B394" s="168" t="s">
        <v>1848</v>
      </c>
      <c r="C394" s="1921" t="s">
        <v>3113</v>
      </c>
      <c r="D394" s="1921"/>
      <c r="E394" s="1921"/>
      <c r="F394" s="1921"/>
      <c r="G394" s="1921"/>
      <c r="H394" s="1921"/>
      <c r="I394" s="1921"/>
      <c r="J394" s="1921"/>
      <c r="K394" s="1921"/>
      <c r="L394" s="1921"/>
      <c r="M394" s="1921"/>
      <c r="N394" s="1921"/>
      <c r="O394" s="192" t="s">
        <v>1848</v>
      </c>
      <c r="P394" s="1092" t="s">
        <v>3485</v>
      </c>
      <c r="Q394" s="1290"/>
      <c r="AE394" s="597"/>
      <c r="AF394" s="597"/>
    </row>
    <row r="395" spans="1:32" s="158" customFormat="1" ht="21.75" customHeight="1">
      <c r="B395" s="168" t="s">
        <v>1849</v>
      </c>
      <c r="C395" s="1921" t="s">
        <v>3114</v>
      </c>
      <c r="D395" s="1921"/>
      <c r="E395" s="1921"/>
      <c r="F395" s="1921"/>
      <c r="G395" s="1921"/>
      <c r="H395" s="1921"/>
      <c r="I395" s="1921"/>
      <c r="J395" s="1921"/>
      <c r="K395" s="1921"/>
      <c r="L395" s="1921"/>
      <c r="M395" s="1921"/>
      <c r="N395" s="1921"/>
      <c r="O395" s="192" t="s">
        <v>1849</v>
      </c>
      <c r="P395" s="1092" t="s">
        <v>3485</v>
      </c>
      <c r="Q395" s="1290"/>
      <c r="AE395" s="597"/>
      <c r="AF395" s="597"/>
    </row>
    <row r="396" spans="1:32" s="158" customFormat="1" ht="21.75" customHeight="1">
      <c r="B396" s="168" t="s">
        <v>2073</v>
      </c>
      <c r="C396" s="1921" t="s">
        <v>2893</v>
      </c>
      <c r="D396" s="1921"/>
      <c r="E396" s="1921"/>
      <c r="F396" s="1921"/>
      <c r="G396" s="1921"/>
      <c r="H396" s="1921"/>
      <c r="I396" s="1921"/>
      <c r="J396" s="1921"/>
      <c r="K396" s="1921"/>
      <c r="L396" s="1921"/>
      <c r="M396" s="1921"/>
      <c r="N396" s="1921"/>
      <c r="O396" s="192" t="s">
        <v>2073</v>
      </c>
      <c r="P396" s="1092" t="s">
        <v>3485</v>
      </c>
      <c r="Q396" s="1290"/>
      <c r="AE396" s="597"/>
      <c r="AF396" s="597"/>
    </row>
    <row r="397" spans="1:32" ht="11.25" customHeight="1">
      <c r="B397" s="167" t="s">
        <v>1987</v>
      </c>
      <c r="D397" s="167"/>
      <c r="E397" s="167"/>
      <c r="F397" s="167"/>
      <c r="G397" s="167"/>
      <c r="H397" s="48"/>
      <c r="I397" s="1186"/>
      <c r="J397" s="1186"/>
      <c r="K397" s="1186"/>
      <c r="L397" s="1169"/>
      <c r="M397" s="1169"/>
      <c r="N397" s="1169"/>
      <c r="O397" s="1169"/>
      <c r="P397" s="1169"/>
      <c r="Q397" s="60"/>
    </row>
    <row r="398" spans="1:32" ht="11.45" customHeight="1">
      <c r="A398" s="1830" t="s">
        <v>3541</v>
      </c>
      <c r="B398" s="1831"/>
      <c r="C398" s="1831"/>
      <c r="D398" s="1831"/>
      <c r="E398" s="1831"/>
      <c r="F398" s="1831"/>
      <c r="G398" s="1831"/>
      <c r="H398" s="1831"/>
      <c r="I398" s="1831"/>
      <c r="J398" s="1831"/>
      <c r="K398" s="1831"/>
      <c r="L398" s="1831"/>
      <c r="M398" s="1831"/>
      <c r="N398" s="1831"/>
      <c r="O398" s="1831"/>
      <c r="P398" s="1831"/>
      <c r="Q398" s="1832"/>
      <c r="R398" s="562" t="s">
        <v>1326</v>
      </c>
      <c r="S398" s="563"/>
      <c r="U398" s="162"/>
      <c r="V398" s="162"/>
      <c r="W398" s="162"/>
      <c r="X398" s="162"/>
      <c r="Y398" s="162"/>
      <c r="Z398" s="162"/>
      <c r="AA398" s="162"/>
      <c r="AB398" s="162"/>
      <c r="AC398" s="162"/>
      <c r="AD398" s="162"/>
      <c r="AE398" s="596"/>
    </row>
    <row r="399" spans="1:32" ht="11.25" customHeight="1">
      <c r="B399" s="163" t="s">
        <v>1988</v>
      </c>
      <c r="C399" s="164"/>
      <c r="D399" s="1176"/>
      <c r="E399" s="1176"/>
      <c r="F399" s="1176"/>
      <c r="G399" s="1176"/>
      <c r="H399" s="1176"/>
      <c r="I399" s="1176"/>
      <c r="J399" s="1176"/>
      <c r="K399" s="1176"/>
      <c r="L399" s="1176"/>
      <c r="M399" s="1176"/>
      <c r="N399" s="1176"/>
      <c r="O399" s="1176"/>
      <c r="P399" s="1176"/>
      <c r="Q399" s="1176"/>
    </row>
    <row r="400" spans="1:32" ht="11.45" customHeight="1">
      <c r="A400" s="1833"/>
      <c r="B400" s="1834"/>
      <c r="C400" s="1834"/>
      <c r="D400" s="1834"/>
      <c r="E400" s="1834"/>
      <c r="F400" s="1834"/>
      <c r="G400" s="1834"/>
      <c r="H400" s="1834"/>
      <c r="I400" s="1834"/>
      <c r="J400" s="1834"/>
      <c r="K400" s="1834"/>
      <c r="L400" s="1834"/>
      <c r="M400" s="1834"/>
      <c r="N400" s="1834"/>
      <c r="O400" s="1834"/>
      <c r="P400" s="1834"/>
      <c r="Q400" s="1835"/>
    </row>
    <row r="401" spans="1:32" ht="3" customHeight="1">
      <c r="A401" s="1169"/>
      <c r="B401" s="1186"/>
      <c r="C401" s="1176"/>
      <c r="D401" s="1176"/>
      <c r="E401" s="1176"/>
      <c r="F401" s="1176"/>
      <c r="G401" s="1176"/>
      <c r="H401" s="1176"/>
      <c r="I401" s="1176"/>
      <c r="J401" s="1176"/>
      <c r="K401" s="1176"/>
      <c r="L401" s="1176"/>
      <c r="M401" s="1176"/>
      <c r="Q401" s="60"/>
    </row>
    <row r="402" spans="1:32" ht="13.9" customHeight="1">
      <c r="A402" s="1178">
        <v>28</v>
      </c>
      <c r="B402" s="5" t="s">
        <v>2859</v>
      </c>
      <c r="C402" s="5"/>
      <c r="D402" s="101"/>
      <c r="E402" s="1176"/>
      <c r="F402" s="1176"/>
      <c r="G402" s="1176"/>
      <c r="H402" s="1176"/>
      <c r="I402" s="1176"/>
      <c r="J402" s="1176"/>
      <c r="K402" s="1176"/>
      <c r="L402" s="1176"/>
      <c r="M402" s="1176"/>
      <c r="O402" s="157" t="s">
        <v>1989</v>
      </c>
      <c r="P402" s="1828"/>
      <c r="Q402" s="1829"/>
    </row>
    <row r="403" spans="1:32" ht="11.25" customHeight="1">
      <c r="A403" s="1178"/>
      <c r="B403" s="167" t="s">
        <v>1987</v>
      </c>
      <c r="D403" s="167"/>
      <c r="E403" s="167"/>
      <c r="F403" s="167"/>
      <c r="G403" s="167"/>
      <c r="H403" s="48"/>
      <c r="I403" s="1186"/>
      <c r="J403" s="1186"/>
      <c r="K403" s="1186"/>
      <c r="L403" s="1169"/>
      <c r="M403" s="1169"/>
      <c r="N403" s="1169"/>
      <c r="O403" s="1169"/>
      <c r="P403" s="1169"/>
      <c r="Q403" s="60"/>
    </row>
    <row r="404" spans="1:32" ht="11.45" customHeight="1">
      <c r="A404" s="1830" t="s">
        <v>3542</v>
      </c>
      <c r="B404" s="1831"/>
      <c r="C404" s="1831"/>
      <c r="D404" s="1831"/>
      <c r="E404" s="1831"/>
      <c r="F404" s="1831"/>
      <c r="G404" s="1831"/>
      <c r="H404" s="1831"/>
      <c r="I404" s="1831"/>
      <c r="J404" s="1831"/>
      <c r="K404" s="1831"/>
      <c r="L404" s="1831"/>
      <c r="M404" s="1831"/>
      <c r="N404" s="1831"/>
      <c r="O404" s="1831"/>
      <c r="P404" s="1831"/>
      <c r="Q404" s="1832"/>
      <c r="R404" s="562" t="s">
        <v>1326</v>
      </c>
      <c r="S404" s="563"/>
      <c r="U404" s="162"/>
      <c r="V404" s="162"/>
      <c r="W404" s="162"/>
      <c r="X404" s="162"/>
      <c r="Y404" s="162"/>
      <c r="Z404" s="162"/>
      <c r="AA404" s="162"/>
      <c r="AB404" s="162"/>
      <c r="AC404" s="162"/>
      <c r="AD404" s="162"/>
      <c r="AE404" s="596"/>
    </row>
    <row r="405" spans="1:32" ht="11.25" customHeight="1">
      <c r="B405" s="163" t="s">
        <v>1988</v>
      </c>
      <c r="C405" s="164"/>
      <c r="D405" s="1176"/>
      <c r="E405" s="1176"/>
      <c r="F405" s="1176"/>
      <c r="G405" s="1176"/>
      <c r="H405" s="1176"/>
      <c r="I405" s="1176"/>
      <c r="J405" s="1176"/>
      <c r="K405" s="1176"/>
      <c r="L405" s="1176"/>
      <c r="M405" s="1176"/>
      <c r="N405" s="1176"/>
      <c r="O405" s="1176"/>
      <c r="P405" s="1176"/>
      <c r="Q405" s="1176"/>
    </row>
    <row r="406" spans="1:32" ht="12" customHeight="1">
      <c r="A406" s="1833"/>
      <c r="B406" s="1834"/>
      <c r="C406" s="1834"/>
      <c r="D406" s="1834"/>
      <c r="E406" s="1834"/>
      <c r="F406" s="1834"/>
      <c r="G406" s="1834"/>
      <c r="H406" s="1834"/>
      <c r="I406" s="1834"/>
      <c r="J406" s="1834"/>
      <c r="K406" s="1834"/>
      <c r="L406" s="1834"/>
      <c r="M406" s="1834"/>
      <c r="N406" s="1834"/>
      <c r="O406" s="1834"/>
      <c r="P406" s="1834"/>
      <c r="Q406" s="1835"/>
    </row>
    <row r="407" spans="1:32" ht="3" customHeight="1">
      <c r="A407" s="1169"/>
      <c r="B407" s="1186"/>
      <c r="C407" s="1176"/>
      <c r="D407" s="1176"/>
      <c r="E407" s="1176"/>
      <c r="F407" s="1176"/>
      <c r="G407" s="1176"/>
      <c r="H407" s="1176"/>
      <c r="I407" s="1176"/>
      <c r="J407" s="1176"/>
      <c r="K407" s="1176"/>
      <c r="L407" s="1176"/>
      <c r="M407" s="1176"/>
      <c r="N407" s="1176"/>
      <c r="O407" s="1176"/>
      <c r="P407" s="1176"/>
      <c r="Q407" s="1169"/>
    </row>
    <row r="408" spans="1:32" s="175" customFormat="1" ht="8.4499999999999993" customHeight="1">
      <c r="A408" s="1169"/>
      <c r="B408" s="1186"/>
      <c r="C408" s="1176"/>
      <c r="D408" s="1176"/>
      <c r="E408" s="1176"/>
      <c r="F408" s="1176"/>
      <c r="G408" s="1176"/>
      <c r="H408" s="1176"/>
      <c r="I408" s="1176"/>
      <c r="J408" s="1176"/>
      <c r="K408" s="1176"/>
      <c r="L408" s="1176"/>
      <c r="M408" s="1176"/>
      <c r="AE408" s="598"/>
      <c r="AF408" s="598"/>
    </row>
    <row r="409" spans="1:32" s="175" customFormat="1" ht="3" customHeight="1">
      <c r="A409" s="1169"/>
      <c r="B409" s="1186"/>
      <c r="C409" s="1176"/>
      <c r="D409" s="1176"/>
      <c r="E409" s="1176"/>
      <c r="F409" s="1176"/>
      <c r="G409" s="1176"/>
      <c r="H409" s="1176"/>
      <c r="I409" s="1176"/>
      <c r="J409" s="1176"/>
      <c r="K409" s="1176"/>
      <c r="L409" s="1176"/>
      <c r="M409" s="1176"/>
      <c r="N409" s="1176"/>
      <c r="O409" s="1176"/>
      <c r="P409" s="1176"/>
      <c r="Q409" s="1169"/>
      <c r="AE409" s="598"/>
      <c r="AF409" s="598"/>
    </row>
    <row r="410" spans="1:32" s="175" customFormat="1" ht="12" customHeight="1">
      <c r="A410" s="1101"/>
      <c r="B410" s="1101"/>
      <c r="C410" s="1101"/>
      <c r="D410" s="1101"/>
      <c r="E410" s="1101"/>
      <c r="F410" s="1101"/>
      <c r="G410" s="1101"/>
      <c r="H410" s="1101"/>
      <c r="I410" s="1101"/>
      <c r="J410" s="1101"/>
      <c r="K410" s="1101"/>
      <c r="L410" s="1101"/>
      <c r="M410" s="1101"/>
      <c r="N410" s="1101"/>
      <c r="O410" s="1101"/>
      <c r="P410" s="1101"/>
      <c r="Q410" s="1101"/>
      <c r="AE410" s="598"/>
      <c r="AF410" s="598"/>
    </row>
    <row r="411" spans="1:32" s="175" customFormat="1" ht="12" customHeight="1">
      <c r="A411" s="1101"/>
      <c r="B411" s="1101"/>
      <c r="C411" s="1101"/>
      <c r="D411" s="1101"/>
      <c r="E411" s="1101"/>
      <c r="F411" s="1101"/>
      <c r="G411" s="1101"/>
      <c r="H411" s="1101"/>
      <c r="I411" s="1101"/>
      <c r="J411" s="1101"/>
      <c r="K411" s="1101"/>
      <c r="L411" s="1101"/>
      <c r="M411" s="1101"/>
      <c r="N411" s="1101"/>
      <c r="O411" s="1101"/>
      <c r="P411" s="1101"/>
      <c r="Q411" s="1101"/>
      <c r="AE411" s="598"/>
      <c r="AF411" s="598"/>
    </row>
    <row r="412" spans="1:32" s="175" customFormat="1" ht="12" customHeight="1">
      <c r="A412" s="1101"/>
      <c r="B412" s="1101"/>
      <c r="C412" s="1101"/>
      <c r="D412" s="1101"/>
      <c r="E412" s="1101"/>
      <c r="F412" s="1101"/>
      <c r="G412" s="1101"/>
      <c r="H412" s="1101"/>
      <c r="I412" s="1101"/>
      <c r="J412" s="1101"/>
      <c r="K412" s="1101"/>
      <c r="L412" s="1101"/>
      <c r="M412" s="1101"/>
      <c r="N412" s="1101"/>
      <c r="O412" s="1101"/>
      <c r="P412" s="1101"/>
      <c r="Q412" s="1101"/>
      <c r="AE412" s="598"/>
      <c r="AF412" s="598"/>
    </row>
    <row r="413" spans="1:32" s="175" customFormat="1" ht="12" customHeight="1">
      <c r="A413" s="1101"/>
      <c r="B413" s="1101"/>
      <c r="C413" s="1101"/>
      <c r="D413" s="1101"/>
      <c r="E413" s="1101"/>
      <c r="F413" s="1101"/>
      <c r="G413" s="1101"/>
      <c r="H413" s="1101"/>
      <c r="I413" s="1101"/>
      <c r="J413" s="1101"/>
      <c r="K413" s="1101"/>
      <c r="L413" s="1101"/>
      <c r="M413" s="1101"/>
      <c r="N413" s="1101"/>
      <c r="O413" s="1101"/>
      <c r="P413" s="1101"/>
      <c r="Q413" s="1101"/>
      <c r="AE413" s="598"/>
      <c r="AF413" s="598"/>
    </row>
    <row r="414" spans="1:32" s="175" customFormat="1" ht="12" customHeight="1">
      <c r="A414" s="1101"/>
      <c r="B414" s="1101"/>
      <c r="C414" s="1101"/>
      <c r="D414" s="1101"/>
      <c r="E414" s="1101"/>
      <c r="F414" s="1101"/>
      <c r="G414" s="1101"/>
      <c r="H414" s="1101"/>
      <c r="I414" s="1101"/>
      <c r="J414" s="1101"/>
      <c r="K414" s="1101"/>
      <c r="L414" s="1101"/>
      <c r="M414" s="1101"/>
      <c r="N414" s="1101"/>
      <c r="O414" s="1101"/>
      <c r="P414" s="1101"/>
      <c r="Q414" s="1101"/>
      <c r="AE414" s="598"/>
      <c r="AF414" s="598"/>
    </row>
    <row r="415" spans="1:32" s="175" customFormat="1" ht="12" customHeight="1">
      <c r="A415" s="1101"/>
      <c r="B415" s="1101"/>
      <c r="C415" s="1101"/>
      <c r="D415" s="1101"/>
      <c r="E415" s="1101"/>
      <c r="F415" s="1101"/>
      <c r="G415" s="1101"/>
      <c r="H415" s="1101"/>
      <c r="I415" s="1101"/>
      <c r="J415" s="1101"/>
      <c r="K415" s="1101"/>
      <c r="L415" s="1101"/>
      <c r="M415" s="1101"/>
      <c r="N415" s="1101"/>
      <c r="O415" s="1101"/>
      <c r="P415" s="1101"/>
      <c r="Q415" s="1101"/>
      <c r="AE415" s="598"/>
      <c r="AF415" s="598"/>
    </row>
    <row r="416" spans="1:32" s="175" customFormat="1" ht="12" customHeight="1">
      <c r="A416" s="1101"/>
      <c r="B416" s="1101"/>
      <c r="C416" s="1101"/>
      <c r="D416" s="1101"/>
      <c r="E416" s="1101"/>
      <c r="F416" s="1101"/>
      <c r="G416" s="1101"/>
      <c r="H416" s="1101"/>
      <c r="I416" s="1101"/>
      <c r="J416" s="1101"/>
      <c r="K416" s="1101"/>
      <c r="L416" s="1101"/>
      <c r="M416" s="1101"/>
      <c r="N416" s="1101"/>
      <c r="O416" s="1101"/>
      <c r="P416" s="1101"/>
      <c r="Q416" s="1101"/>
      <c r="AE416" s="598"/>
      <c r="AF416" s="598"/>
    </row>
    <row r="417" spans="1:32" s="175" customFormat="1" ht="12" customHeight="1">
      <c r="A417" s="1101"/>
      <c r="B417" s="1101"/>
      <c r="C417" s="1101"/>
      <c r="D417" s="1101"/>
      <c r="E417" s="1101"/>
      <c r="F417" s="1101"/>
      <c r="G417" s="1101"/>
      <c r="H417" s="1101"/>
      <c r="I417" s="1101"/>
      <c r="J417" s="1101"/>
      <c r="K417" s="1101"/>
      <c r="L417" s="1101"/>
      <c r="M417" s="1101"/>
      <c r="N417" s="1101"/>
      <c r="O417" s="1101"/>
      <c r="P417" s="1101"/>
      <c r="Q417" s="1101"/>
      <c r="AE417" s="598"/>
      <c r="AF417" s="598"/>
    </row>
    <row r="418" spans="1:32" s="175" customFormat="1" ht="12" customHeight="1">
      <c r="A418" s="1101"/>
      <c r="B418" s="1101"/>
      <c r="C418" s="1101"/>
      <c r="D418" s="1101"/>
      <c r="E418" s="1101"/>
      <c r="F418" s="1101"/>
      <c r="G418" s="1101"/>
      <c r="H418" s="1101"/>
      <c r="I418" s="1101"/>
      <c r="J418" s="1101"/>
      <c r="K418" s="1101"/>
      <c r="L418" s="1101"/>
      <c r="M418" s="1101"/>
      <c r="N418" s="1101"/>
      <c r="O418" s="1101"/>
      <c r="P418" s="1101"/>
      <c r="Q418" s="1101"/>
      <c r="AE418" s="598"/>
      <c r="AF418" s="598"/>
    </row>
    <row r="419" spans="1:32" s="175" customFormat="1" ht="12" customHeight="1">
      <c r="A419" s="1101"/>
      <c r="B419" s="1101"/>
      <c r="C419" s="1101"/>
      <c r="D419" s="1101"/>
      <c r="E419" s="1101"/>
      <c r="F419" s="1101"/>
      <c r="G419" s="1101"/>
      <c r="H419" s="1101"/>
      <c r="I419" s="1101"/>
      <c r="J419" s="1101"/>
      <c r="K419" s="1101"/>
      <c r="L419" s="1101"/>
      <c r="M419" s="1101"/>
      <c r="N419" s="1101"/>
      <c r="O419" s="1101"/>
      <c r="P419" s="1101"/>
      <c r="Q419" s="1101"/>
      <c r="AE419" s="598"/>
      <c r="AF419" s="598"/>
    </row>
    <row r="420" spans="1:32" s="175" customFormat="1" ht="12" customHeight="1">
      <c r="A420" s="1101"/>
      <c r="B420" s="1101"/>
      <c r="C420" s="1101"/>
      <c r="D420" s="1101"/>
      <c r="E420" s="1101"/>
      <c r="F420" s="1101"/>
      <c r="G420" s="1101"/>
      <c r="H420" s="1101"/>
      <c r="I420" s="1101"/>
      <c r="J420" s="1101"/>
      <c r="K420" s="1101"/>
      <c r="L420" s="1101"/>
      <c r="M420" s="1101"/>
      <c r="N420" s="1101"/>
      <c r="O420" s="1101"/>
      <c r="P420" s="1101"/>
      <c r="Q420" s="1101"/>
      <c r="AE420" s="598"/>
      <c r="AF420" s="598"/>
    </row>
    <row r="421" spans="1:32" s="175" customFormat="1" ht="12" customHeight="1">
      <c r="A421" s="1101"/>
      <c r="B421" s="1101"/>
      <c r="C421" s="1101"/>
      <c r="D421" s="1101"/>
      <c r="E421" s="1101"/>
      <c r="F421" s="1101"/>
      <c r="G421" s="1101"/>
      <c r="H421" s="1101"/>
      <c r="I421" s="1101"/>
      <c r="J421" s="1101"/>
      <c r="K421" s="1101"/>
      <c r="L421" s="1101"/>
      <c r="M421" s="1101"/>
      <c r="N421" s="1101"/>
      <c r="O421" s="1101"/>
      <c r="P421" s="1101"/>
      <c r="Q421" s="1101"/>
      <c r="AE421" s="598"/>
      <c r="AF421" s="598"/>
    </row>
    <row r="422" spans="1:32" s="175" customFormat="1" ht="12" customHeight="1">
      <c r="A422" s="1101"/>
      <c r="B422" s="1101"/>
      <c r="C422" s="1101"/>
      <c r="D422" s="1101"/>
      <c r="E422" s="1101"/>
      <c r="F422" s="1101"/>
      <c r="G422" s="1101"/>
      <c r="H422" s="1101"/>
      <c r="I422" s="1101"/>
      <c r="J422" s="1101"/>
      <c r="K422" s="1101"/>
      <c r="L422" s="1101"/>
      <c r="M422" s="1101"/>
      <c r="N422" s="1101"/>
      <c r="O422" s="1101"/>
      <c r="P422" s="1101"/>
      <c r="Q422" s="1101"/>
      <c r="AE422" s="598"/>
      <c r="AF422" s="598"/>
    </row>
    <row r="423" spans="1:32" s="175" customFormat="1" ht="12" customHeight="1">
      <c r="A423" s="1102"/>
      <c r="B423" s="1102"/>
      <c r="C423" s="1102"/>
      <c r="D423" s="1102"/>
      <c r="E423" s="1102"/>
      <c r="F423" s="1102"/>
      <c r="G423" s="1102"/>
      <c r="H423" s="1102"/>
      <c r="I423" s="1102"/>
      <c r="J423" s="1102"/>
      <c r="K423" s="1102"/>
      <c r="L423" s="1102"/>
      <c r="M423" s="1102"/>
      <c r="N423" s="1101"/>
      <c r="O423" s="1101"/>
      <c r="P423" s="1101"/>
      <c r="Q423" s="1101"/>
      <c r="AE423" s="598"/>
      <c r="AF423" s="598"/>
    </row>
    <row r="424" spans="1:32" s="175" customFormat="1" ht="12" customHeight="1">
      <c r="A424" s="1102"/>
      <c r="B424" s="1102"/>
      <c r="C424" s="1102"/>
      <c r="D424" s="1102"/>
      <c r="E424" s="1102"/>
      <c r="F424" s="1102"/>
      <c r="G424" s="1102"/>
      <c r="H424" s="1102"/>
      <c r="I424" s="1102"/>
      <c r="J424" s="1102"/>
      <c r="K424" s="1102"/>
      <c r="L424" s="1102"/>
      <c r="M424" s="1102"/>
      <c r="N424" s="1101"/>
      <c r="O424" s="1101"/>
      <c r="P424" s="1101"/>
      <c r="Q424" s="1101"/>
      <c r="AE424" s="598"/>
      <c r="AF424" s="598"/>
    </row>
    <row r="425" spans="1:32" s="175" customFormat="1">
      <c r="A425" s="567"/>
      <c r="B425" s="567"/>
      <c r="C425" s="567"/>
      <c r="D425" s="567"/>
      <c r="E425" s="567"/>
      <c r="F425" s="567"/>
      <c r="G425" s="567"/>
      <c r="H425" s="567"/>
      <c r="I425" s="567"/>
      <c r="J425" s="567"/>
      <c r="K425" s="567"/>
      <c r="L425" s="567"/>
      <c r="M425" s="567"/>
      <c r="AE425" s="598"/>
      <c r="AF425" s="598"/>
    </row>
    <row r="426" spans="1:32" s="189" customFormat="1">
      <c r="A426" s="624"/>
      <c r="B426" s="624"/>
      <c r="C426" s="624"/>
      <c r="D426" s="624"/>
      <c r="E426" s="624"/>
      <c r="F426" s="624"/>
      <c r="G426" s="624"/>
      <c r="H426" s="624"/>
      <c r="I426" s="624"/>
      <c r="J426" s="624"/>
      <c r="K426" s="624"/>
      <c r="L426" s="624"/>
      <c r="M426" s="624"/>
      <c r="N426" s="143"/>
      <c r="O426" s="1167"/>
      <c r="P426" s="1167"/>
      <c r="AE426" s="601"/>
      <c r="AF426" s="601"/>
    </row>
    <row r="427" spans="1:32" s="536" customFormat="1" ht="15">
      <c r="A427" s="626"/>
      <c r="B427" s="626"/>
      <c r="C427" s="627" t="s">
        <v>1753</v>
      </c>
      <c r="D427" s="627"/>
      <c r="E427" s="627"/>
      <c r="F427" s="627"/>
      <c r="G427" s="627"/>
      <c r="H427" s="627"/>
      <c r="I427" s="627"/>
      <c r="J427" s="627" t="s">
        <v>1068</v>
      </c>
      <c r="K427" s="627"/>
      <c r="L427" s="626"/>
      <c r="M427" s="626"/>
      <c r="N427" s="542"/>
      <c r="O427" s="1103" t="s">
        <v>3298</v>
      </c>
      <c r="P427" s="558"/>
      <c r="AE427" s="551"/>
      <c r="AF427" s="551"/>
    </row>
    <row r="428" spans="1:32" s="536" customFormat="1" ht="15">
      <c r="A428" s="626"/>
      <c r="B428" s="626"/>
      <c r="C428" s="626" t="s">
        <v>2219</v>
      </c>
      <c r="D428" s="626"/>
      <c r="E428" s="626"/>
      <c r="F428" s="626"/>
      <c r="G428" s="626"/>
      <c r="H428" s="626"/>
      <c r="I428" s="626"/>
      <c r="J428" s="626" t="s">
        <v>1886</v>
      </c>
      <c r="K428" s="626"/>
      <c r="L428" s="626"/>
      <c r="M428" s="626"/>
      <c r="N428" s="542"/>
      <c r="O428" s="1103" t="s">
        <v>3299</v>
      </c>
      <c r="P428" s="558"/>
      <c r="AE428" s="551"/>
      <c r="AF428" s="551"/>
    </row>
    <row r="429" spans="1:32" s="536" customFormat="1" ht="15">
      <c r="A429" s="626"/>
      <c r="B429" s="626"/>
      <c r="C429" s="627" t="s">
        <v>2717</v>
      </c>
      <c r="D429" s="627"/>
      <c r="E429" s="627"/>
      <c r="F429" s="627"/>
      <c r="G429" s="627"/>
      <c r="H429" s="627"/>
      <c r="I429" s="627"/>
      <c r="J429" s="628" t="s">
        <v>1836</v>
      </c>
      <c r="K429" s="627"/>
      <c r="L429" s="626"/>
      <c r="M429" s="626"/>
      <c r="N429" s="542"/>
      <c r="O429" s="1103" t="s">
        <v>3300</v>
      </c>
      <c r="P429" s="558"/>
      <c r="AE429" s="551"/>
      <c r="AF429" s="551"/>
    </row>
    <row r="430" spans="1:32" s="536" customFormat="1" ht="15">
      <c r="A430" s="626"/>
      <c r="B430" s="626"/>
      <c r="C430" s="627" t="s">
        <v>2220</v>
      </c>
      <c r="D430" s="627"/>
      <c r="E430" s="627"/>
      <c r="F430" s="627"/>
      <c r="G430" s="627"/>
      <c r="H430" s="627"/>
      <c r="I430" s="627"/>
      <c r="J430" s="628" t="s">
        <v>241</v>
      </c>
      <c r="K430" s="627"/>
      <c r="L430" s="626"/>
      <c r="M430" s="626"/>
      <c r="N430" s="542"/>
      <c r="O430" s="1103" t="s">
        <v>3301</v>
      </c>
      <c r="P430" s="558"/>
      <c r="AE430" s="551"/>
      <c r="AF430" s="551"/>
    </row>
    <row r="431" spans="1:32" s="536" customFormat="1" ht="15">
      <c r="A431" s="626"/>
      <c r="B431" s="626"/>
      <c r="C431" s="627" t="s">
        <v>2221</v>
      </c>
      <c r="D431" s="627"/>
      <c r="E431" s="627"/>
      <c r="F431" s="627"/>
      <c r="G431" s="627"/>
      <c r="H431" s="627"/>
      <c r="I431" s="627"/>
      <c r="J431" s="626" t="s">
        <v>1251</v>
      </c>
      <c r="K431" s="627"/>
      <c r="L431" s="626"/>
      <c r="M431" s="626"/>
      <c r="N431" s="542"/>
      <c r="O431" s="1103" t="s">
        <v>3302</v>
      </c>
      <c r="P431" s="558"/>
      <c r="AE431" s="551"/>
      <c r="AF431" s="551"/>
    </row>
    <row r="432" spans="1:32" s="536" customFormat="1" ht="15">
      <c r="A432" s="626"/>
      <c r="B432" s="626"/>
      <c r="C432" s="629" t="s">
        <v>2222</v>
      </c>
      <c r="D432" s="627"/>
      <c r="E432" s="627"/>
      <c r="F432" s="627"/>
      <c r="G432" s="627"/>
      <c r="H432" s="627"/>
      <c r="I432" s="627"/>
      <c r="J432" s="630" t="s">
        <v>2234</v>
      </c>
      <c r="K432" s="627"/>
      <c r="L432" s="626"/>
      <c r="M432" s="626"/>
      <c r="N432" s="542"/>
      <c r="O432" s="1103" t="s">
        <v>3303</v>
      </c>
      <c r="P432" s="558"/>
      <c r="AE432" s="551"/>
      <c r="AF432" s="551"/>
    </row>
    <row r="433" spans="1:32" s="536" customFormat="1" ht="15">
      <c r="A433" s="626"/>
      <c r="B433" s="626"/>
      <c r="C433" s="629" t="s">
        <v>2223</v>
      </c>
      <c r="D433" s="627"/>
      <c r="E433" s="627"/>
      <c r="F433" s="627"/>
      <c r="G433" s="627"/>
      <c r="H433" s="627"/>
      <c r="I433" s="627"/>
      <c r="J433" s="628" t="s">
        <v>1765</v>
      </c>
      <c r="K433" s="627"/>
      <c r="L433" s="626"/>
      <c r="M433" s="626"/>
      <c r="N433" s="542"/>
      <c r="O433" s="1103" t="s">
        <v>3304</v>
      </c>
      <c r="P433" s="558"/>
      <c r="AE433" s="551"/>
      <c r="AF433" s="551"/>
    </row>
    <row r="434" spans="1:32" s="536" customFormat="1" ht="15">
      <c r="A434" s="626"/>
      <c r="B434" s="626"/>
      <c r="C434" s="629"/>
      <c r="D434" s="627"/>
      <c r="E434" s="627"/>
      <c r="F434" s="627"/>
      <c r="G434" s="627"/>
      <c r="H434" s="627"/>
      <c r="I434" s="627"/>
      <c r="J434" s="628" t="s">
        <v>1259</v>
      </c>
      <c r="K434" s="627"/>
      <c r="L434" s="626"/>
      <c r="M434" s="626"/>
      <c r="N434" s="542"/>
      <c r="O434" s="1103" t="s">
        <v>3305</v>
      </c>
      <c r="P434" s="558"/>
      <c r="AE434" s="551"/>
      <c r="AF434" s="551"/>
    </row>
    <row r="435" spans="1:32" s="536" customFormat="1" ht="15">
      <c r="A435" s="626"/>
      <c r="B435" s="626"/>
      <c r="C435" s="626" t="s">
        <v>1886</v>
      </c>
      <c r="D435" s="627"/>
      <c r="E435" s="627"/>
      <c r="F435" s="627"/>
      <c r="G435" s="627"/>
      <c r="H435" s="627"/>
      <c r="I435" s="627"/>
      <c r="J435" s="628" t="s">
        <v>1762</v>
      </c>
      <c r="K435" s="627"/>
      <c r="L435" s="626"/>
      <c r="M435" s="626"/>
      <c r="N435" s="542"/>
      <c r="O435" s="1103" t="s">
        <v>3306</v>
      </c>
      <c r="P435" s="558"/>
      <c r="AE435" s="551"/>
      <c r="AF435" s="551"/>
    </row>
    <row r="436" spans="1:32" s="536" customFormat="1" ht="11.25">
      <c r="A436" s="626"/>
      <c r="B436" s="626"/>
      <c r="C436" s="631" t="s">
        <v>1474</v>
      </c>
      <c r="D436" s="627"/>
      <c r="E436" s="627"/>
      <c r="F436" s="627"/>
      <c r="G436" s="627"/>
      <c r="H436" s="627"/>
      <c r="I436" s="627"/>
      <c r="J436" s="628" t="s">
        <v>2235</v>
      </c>
      <c r="K436" s="627"/>
      <c r="L436" s="626"/>
      <c r="M436" s="626"/>
      <c r="N436" s="542"/>
      <c r="O436" s="558"/>
      <c r="P436" s="558"/>
      <c r="AE436" s="551"/>
      <c r="AF436" s="551"/>
    </row>
    <row r="437" spans="1:32" s="536" customFormat="1" ht="11.25">
      <c r="A437" s="626"/>
      <c r="B437" s="626"/>
      <c r="C437" s="631" t="s">
        <v>1475</v>
      </c>
      <c r="D437" s="627"/>
      <c r="E437" s="627"/>
      <c r="F437" s="627"/>
      <c r="G437" s="627"/>
      <c r="H437" s="627"/>
      <c r="I437" s="627"/>
      <c r="J437" s="628" t="s">
        <v>1755</v>
      </c>
      <c r="K437" s="627"/>
      <c r="L437" s="626"/>
      <c r="M437" s="626"/>
      <c r="N437" s="542"/>
      <c r="O437" s="558"/>
      <c r="P437" s="558"/>
      <c r="AE437" s="551"/>
      <c r="AF437" s="551"/>
    </row>
    <row r="438" spans="1:32" s="536" customFormat="1" ht="11.25">
      <c r="A438" s="626"/>
      <c r="B438" s="626"/>
      <c r="C438" s="632" t="s">
        <v>2263</v>
      </c>
      <c r="D438" s="627"/>
      <c r="E438" s="627"/>
      <c r="F438" s="627"/>
      <c r="G438" s="627"/>
      <c r="H438" s="627"/>
      <c r="I438" s="627"/>
      <c r="J438" s="628" t="s">
        <v>1260</v>
      </c>
      <c r="K438" s="627"/>
      <c r="L438" s="626"/>
      <c r="M438" s="626"/>
      <c r="N438" s="542"/>
      <c r="O438" s="558"/>
      <c r="P438" s="558"/>
      <c r="AE438" s="551"/>
      <c r="AF438" s="551"/>
    </row>
    <row r="439" spans="1:32" s="536" customFormat="1" ht="11.25">
      <c r="A439" s="626"/>
      <c r="B439" s="626"/>
      <c r="C439" s="632" t="s">
        <v>1471</v>
      </c>
      <c r="D439" s="627"/>
      <c r="E439" s="627"/>
      <c r="F439" s="627"/>
      <c r="G439" s="627"/>
      <c r="H439" s="627"/>
      <c r="I439" s="627"/>
      <c r="J439" s="628" t="s">
        <v>624</v>
      </c>
      <c r="K439" s="627"/>
      <c r="L439" s="626"/>
      <c r="M439" s="626"/>
      <c r="N439" s="542"/>
      <c r="O439" s="558"/>
      <c r="P439" s="558"/>
      <c r="AE439" s="551"/>
      <c r="AF439" s="551"/>
    </row>
    <row r="440" spans="1:32" s="536" customFormat="1" ht="11.25">
      <c r="A440" s="626"/>
      <c r="B440" s="626"/>
      <c r="C440" s="632" t="s">
        <v>1472</v>
      </c>
      <c r="D440" s="627"/>
      <c r="E440" s="627"/>
      <c r="F440" s="627"/>
      <c r="G440" s="627"/>
      <c r="H440" s="627"/>
      <c r="I440" s="627"/>
      <c r="J440" s="628" t="s">
        <v>1761</v>
      </c>
      <c r="K440" s="627"/>
      <c r="L440" s="626"/>
      <c r="M440" s="626"/>
      <c r="N440" s="542"/>
      <c r="O440" s="558"/>
      <c r="P440" s="558"/>
      <c r="AE440" s="551"/>
      <c r="AF440" s="551"/>
    </row>
    <row r="441" spans="1:32" s="536" customFormat="1" ht="11.25">
      <c r="A441" s="626"/>
      <c r="B441" s="626"/>
      <c r="C441" s="631" t="s">
        <v>2258</v>
      </c>
      <c r="D441" s="627"/>
      <c r="E441" s="627"/>
      <c r="F441" s="627"/>
      <c r="G441" s="627"/>
      <c r="H441" s="627"/>
      <c r="I441" s="627"/>
      <c r="J441" s="628" t="s">
        <v>1253</v>
      </c>
      <c r="K441" s="627"/>
      <c r="L441" s="626"/>
      <c r="M441" s="626"/>
      <c r="N441" s="542"/>
      <c r="O441" s="558"/>
      <c r="P441" s="558"/>
      <c r="AE441" s="551"/>
      <c r="AF441" s="551"/>
    </row>
    <row r="442" spans="1:32" s="536" customFormat="1" ht="11.25">
      <c r="A442" s="626"/>
      <c r="B442" s="626"/>
      <c r="C442" s="631" t="s">
        <v>2259</v>
      </c>
      <c r="D442" s="627"/>
      <c r="E442" s="627"/>
      <c r="F442" s="627"/>
      <c r="G442" s="627"/>
      <c r="H442" s="627"/>
      <c r="I442" s="627"/>
      <c r="J442" s="628" t="s">
        <v>1252</v>
      </c>
      <c r="K442" s="626"/>
      <c r="L442" s="626"/>
      <c r="M442" s="626"/>
      <c r="N442" s="542"/>
      <c r="O442" s="558"/>
      <c r="P442" s="558"/>
      <c r="AE442" s="551"/>
      <c r="AF442" s="551"/>
    </row>
    <row r="443" spans="1:32" s="536" customFormat="1" ht="11.25">
      <c r="A443" s="626"/>
      <c r="B443" s="626"/>
      <c r="C443" s="631" t="s">
        <v>2260</v>
      </c>
      <c r="D443" s="626"/>
      <c r="E443" s="626"/>
      <c r="F443" s="626"/>
      <c r="G443" s="626"/>
      <c r="H443" s="626"/>
      <c r="I443" s="626"/>
      <c r="J443" s="628" t="s">
        <v>1837</v>
      </c>
      <c r="K443" s="626"/>
      <c r="L443" s="626"/>
      <c r="M443" s="626"/>
      <c r="N443" s="542"/>
      <c r="O443" s="558"/>
      <c r="P443" s="558"/>
      <c r="AE443" s="551"/>
      <c r="AF443" s="551"/>
    </row>
    <row r="444" spans="1:32" s="536" customFormat="1" ht="11.25">
      <c r="A444" s="626"/>
      <c r="B444" s="626"/>
      <c r="C444" s="631" t="s">
        <v>2261</v>
      </c>
      <c r="D444" s="626"/>
      <c r="E444" s="626"/>
      <c r="F444" s="626"/>
      <c r="G444" s="626"/>
      <c r="H444" s="626"/>
      <c r="I444" s="626"/>
      <c r="J444" s="628" t="s">
        <v>1764</v>
      </c>
      <c r="K444" s="626"/>
      <c r="L444" s="626"/>
      <c r="M444" s="626"/>
      <c r="N444" s="542"/>
      <c r="O444" s="558"/>
      <c r="P444" s="558"/>
      <c r="AE444" s="551"/>
      <c r="AF444" s="551"/>
    </row>
    <row r="445" spans="1:32" s="536" customFormat="1" ht="11.25">
      <c r="A445" s="626"/>
      <c r="B445" s="626"/>
      <c r="C445" s="631" t="s">
        <v>2262</v>
      </c>
      <c r="D445" s="626"/>
      <c r="E445" s="626"/>
      <c r="F445" s="626"/>
      <c r="G445" s="626"/>
      <c r="H445" s="626"/>
      <c r="I445" s="626"/>
      <c r="J445" s="628" t="s">
        <v>1756</v>
      </c>
      <c r="K445" s="626"/>
      <c r="L445" s="626"/>
      <c r="M445" s="626"/>
      <c r="N445" s="542"/>
      <c r="O445" s="558"/>
      <c r="P445" s="558"/>
      <c r="AE445" s="551"/>
      <c r="AF445" s="551"/>
    </row>
    <row r="446" spans="1:32" s="536" customFormat="1" ht="11.25">
      <c r="A446" s="626"/>
      <c r="B446" s="626"/>
      <c r="C446" s="631" t="s">
        <v>1473</v>
      </c>
      <c r="D446" s="626"/>
      <c r="E446" s="626"/>
      <c r="F446" s="626"/>
      <c r="G446" s="626"/>
      <c r="H446" s="626"/>
      <c r="I446" s="626"/>
      <c r="J446" s="628" t="s">
        <v>2233</v>
      </c>
      <c r="K446" s="626"/>
      <c r="L446" s="626"/>
      <c r="M446" s="626"/>
      <c r="N446" s="542"/>
      <c r="O446" s="558"/>
      <c r="P446" s="558"/>
      <c r="AE446" s="551"/>
      <c r="AF446" s="551"/>
    </row>
    <row r="447" spans="1:32" s="536" customFormat="1" ht="11.25">
      <c r="A447" s="626"/>
      <c r="B447" s="626"/>
      <c r="C447" s="631" t="s">
        <v>2422</v>
      </c>
      <c r="D447" s="626"/>
      <c r="E447" s="626"/>
      <c r="F447" s="626"/>
      <c r="G447" s="626"/>
      <c r="H447" s="626"/>
      <c r="I447" s="626"/>
      <c r="J447" s="626"/>
      <c r="K447" s="626"/>
      <c r="L447" s="626"/>
      <c r="M447" s="626"/>
      <c r="N447" s="542"/>
      <c r="O447" s="558"/>
      <c r="P447" s="558"/>
      <c r="AE447" s="551"/>
      <c r="AF447" s="551"/>
    </row>
    <row r="448" spans="1:32" s="536" customFormat="1" ht="11.25">
      <c r="A448" s="626"/>
      <c r="B448" s="626"/>
      <c r="C448" s="626"/>
      <c r="D448" s="626"/>
      <c r="E448" s="626"/>
      <c r="F448" s="626"/>
      <c r="G448" s="626"/>
      <c r="H448" s="626"/>
      <c r="I448" s="626"/>
      <c r="J448" s="626"/>
      <c r="K448" s="626"/>
      <c r="L448" s="626"/>
      <c r="M448" s="626"/>
      <c r="N448" s="542"/>
      <c r="O448" s="558"/>
      <c r="P448" s="558"/>
      <c r="AE448" s="551"/>
      <c r="AF448" s="551"/>
    </row>
    <row r="449" spans="1:32" s="65" customFormat="1" ht="11.25">
      <c r="A449" s="627"/>
      <c r="B449" s="627"/>
      <c r="C449" s="633" t="s">
        <v>1688</v>
      </c>
      <c r="D449" s="627"/>
      <c r="E449" s="627"/>
      <c r="F449" s="627"/>
      <c r="G449" s="627"/>
      <c r="H449" s="627"/>
      <c r="I449" s="627"/>
      <c r="J449" s="627"/>
      <c r="K449" s="627"/>
      <c r="L449" s="627"/>
      <c r="M449" s="627"/>
      <c r="AE449" s="510"/>
      <c r="AF449" s="510"/>
    </row>
    <row r="450" spans="1:32" s="65" customFormat="1" ht="11.25">
      <c r="A450" s="627"/>
      <c r="B450" s="627"/>
      <c r="C450" s="627" t="s">
        <v>1886</v>
      </c>
      <c r="D450" s="627"/>
      <c r="E450" s="627"/>
      <c r="F450" s="627"/>
      <c r="G450" s="627"/>
      <c r="H450" s="627"/>
      <c r="I450" s="627"/>
      <c r="J450" s="627"/>
      <c r="K450" s="627"/>
      <c r="L450" s="627"/>
      <c r="M450" s="627"/>
      <c r="AE450" s="510"/>
      <c r="AF450" s="510"/>
    </row>
    <row r="451" spans="1:32" s="65" customFormat="1" ht="11.25">
      <c r="A451" s="627"/>
      <c r="B451" s="627"/>
      <c r="C451" s="627" t="s">
        <v>2219</v>
      </c>
      <c r="D451" s="627"/>
      <c r="E451" s="626"/>
      <c r="F451" s="626"/>
      <c r="G451" s="626"/>
      <c r="H451" s="626"/>
      <c r="I451" s="626"/>
      <c r="J451" s="626"/>
      <c r="K451" s="626"/>
      <c r="L451" s="626"/>
      <c r="M451" s="626"/>
      <c r="AE451" s="510"/>
      <c r="AF451" s="510"/>
    </row>
    <row r="452" spans="1:32" s="65" customFormat="1" ht="11.25">
      <c r="A452" s="627"/>
      <c r="B452" s="627"/>
      <c r="C452" s="627" t="s">
        <v>2717</v>
      </c>
      <c r="D452" s="626"/>
      <c r="E452" s="626"/>
      <c r="F452" s="626"/>
      <c r="G452" s="626"/>
      <c r="H452" s="627"/>
      <c r="I452" s="626"/>
      <c r="J452" s="626"/>
      <c r="K452" s="626"/>
      <c r="L452" s="626"/>
      <c r="M452" s="626"/>
      <c r="AE452" s="510"/>
      <c r="AF452" s="510"/>
    </row>
    <row r="453" spans="1:32" s="65" customFormat="1" ht="11.25">
      <c r="A453" s="627"/>
      <c r="B453" s="627"/>
      <c r="C453" s="627" t="s">
        <v>2220</v>
      </c>
      <c r="D453" s="626"/>
      <c r="E453" s="626"/>
      <c r="F453" s="626"/>
      <c r="G453" s="626"/>
      <c r="H453" s="626"/>
      <c r="I453" s="626"/>
      <c r="J453" s="626"/>
      <c r="K453" s="626"/>
      <c r="L453" s="626"/>
      <c r="M453" s="626"/>
      <c r="AE453" s="510"/>
      <c r="AF453" s="510"/>
    </row>
    <row r="454" spans="1:32" s="65" customFormat="1" ht="11.25">
      <c r="A454" s="627"/>
      <c r="B454" s="627"/>
      <c r="C454" s="627" t="s">
        <v>1754</v>
      </c>
      <c r="D454" s="626"/>
      <c r="E454" s="626"/>
      <c r="F454" s="626"/>
      <c r="G454" s="626"/>
      <c r="H454" s="627"/>
      <c r="I454" s="626"/>
      <c r="J454" s="626"/>
      <c r="K454" s="626"/>
      <c r="L454" s="626"/>
      <c r="M454" s="626"/>
      <c r="AE454" s="510"/>
      <c r="AF454" s="510"/>
    </row>
    <row r="455" spans="1:32" s="65" customFormat="1" ht="11.25">
      <c r="A455" s="627"/>
      <c r="B455" s="627"/>
      <c r="C455" s="629" t="s">
        <v>2139</v>
      </c>
      <c r="D455" s="626"/>
      <c r="E455" s="626"/>
      <c r="F455" s="626"/>
      <c r="G455" s="626"/>
      <c r="H455" s="627"/>
      <c r="I455" s="626"/>
      <c r="J455" s="626"/>
      <c r="K455" s="626"/>
      <c r="L455" s="626"/>
      <c r="M455" s="626"/>
      <c r="AE455" s="510"/>
      <c r="AF455" s="510"/>
    </row>
    <row r="456" spans="1:32" s="65" customFormat="1" ht="11.25">
      <c r="A456" s="627"/>
      <c r="B456" s="627"/>
      <c r="C456" s="627" t="s">
        <v>241</v>
      </c>
      <c r="D456" s="626"/>
      <c r="E456" s="626"/>
      <c r="F456" s="626"/>
      <c r="G456" s="626"/>
      <c r="H456" s="627"/>
      <c r="I456" s="626"/>
      <c r="J456" s="627"/>
      <c r="K456" s="626"/>
      <c r="L456" s="626"/>
      <c r="M456" s="626"/>
      <c r="AE456" s="510"/>
      <c r="AF456" s="510"/>
    </row>
    <row r="457" spans="1:32" s="65" customFormat="1" ht="11.25">
      <c r="A457" s="627"/>
      <c r="B457" s="627"/>
      <c r="C457" s="627" t="s">
        <v>1755</v>
      </c>
      <c r="D457" s="626"/>
      <c r="E457" s="626"/>
      <c r="F457" s="626"/>
      <c r="G457" s="626"/>
      <c r="H457" s="627"/>
      <c r="I457" s="626"/>
      <c r="J457" s="627"/>
      <c r="K457" s="626"/>
      <c r="L457" s="626"/>
      <c r="M457" s="626"/>
      <c r="AE457" s="510"/>
      <c r="AF457" s="510"/>
    </row>
    <row r="458" spans="1:32" s="65" customFormat="1" ht="11.25">
      <c r="A458" s="627"/>
      <c r="B458" s="627"/>
      <c r="C458" s="627" t="s">
        <v>1756</v>
      </c>
      <c r="D458" s="626"/>
      <c r="E458" s="626"/>
      <c r="F458" s="626"/>
      <c r="G458" s="626"/>
      <c r="H458" s="627"/>
      <c r="I458" s="626"/>
      <c r="J458" s="627"/>
      <c r="K458" s="626"/>
      <c r="L458" s="626"/>
      <c r="M458" s="626"/>
      <c r="AE458" s="510"/>
      <c r="AF458" s="510"/>
    </row>
    <row r="459" spans="1:32" s="65" customFormat="1" ht="11.25">
      <c r="A459" s="627"/>
      <c r="B459" s="627"/>
      <c r="C459" s="627" t="s">
        <v>2664</v>
      </c>
      <c r="D459" s="626"/>
      <c r="E459" s="626"/>
      <c r="F459" s="626"/>
      <c r="G459" s="626"/>
      <c r="H459" s="626"/>
      <c r="I459" s="626"/>
      <c r="J459" s="626"/>
      <c r="K459" s="626"/>
      <c r="L459" s="626"/>
      <c r="M459" s="626"/>
      <c r="AE459" s="510"/>
      <c r="AF459" s="510"/>
    </row>
    <row r="460" spans="1:32" s="65" customFormat="1" ht="11.25">
      <c r="A460" s="627"/>
      <c r="B460" s="627"/>
      <c r="C460" s="627" t="s">
        <v>1689</v>
      </c>
      <c r="D460" s="626"/>
      <c r="E460" s="626"/>
      <c r="F460" s="626"/>
      <c r="G460" s="626"/>
      <c r="H460" s="626"/>
      <c r="I460" s="626"/>
      <c r="J460" s="626"/>
      <c r="K460" s="626"/>
      <c r="L460" s="626"/>
      <c r="M460" s="626"/>
      <c r="AE460" s="510"/>
      <c r="AF460" s="510"/>
    </row>
    <row r="461" spans="1:32" s="65" customFormat="1" ht="11.25">
      <c r="A461" s="627"/>
      <c r="B461" s="627"/>
      <c r="C461" s="627" t="s">
        <v>1758</v>
      </c>
      <c r="D461" s="626"/>
      <c r="E461" s="626"/>
      <c r="F461" s="626"/>
      <c r="G461" s="626"/>
      <c r="H461" s="626"/>
      <c r="I461" s="626"/>
      <c r="J461" s="626"/>
      <c r="K461" s="626"/>
      <c r="L461" s="626"/>
      <c r="M461" s="626"/>
      <c r="AE461" s="510"/>
      <c r="AF461" s="510"/>
    </row>
    <row r="462" spans="1:32" s="65" customFormat="1" ht="11.25">
      <c r="A462" s="627"/>
      <c r="B462" s="627"/>
      <c r="C462" s="627" t="s">
        <v>2667</v>
      </c>
      <c r="D462" s="626"/>
      <c r="E462" s="626"/>
      <c r="F462" s="626"/>
      <c r="G462" s="626"/>
      <c r="H462" s="626"/>
      <c r="I462" s="626"/>
      <c r="J462" s="626"/>
      <c r="K462" s="626"/>
      <c r="L462" s="626"/>
      <c r="M462" s="626"/>
      <c r="AE462" s="510"/>
      <c r="AF462" s="510"/>
    </row>
    <row r="463" spans="1:32" s="65" customFormat="1" ht="11.25">
      <c r="A463" s="627"/>
      <c r="B463" s="627"/>
      <c r="C463" s="627" t="s">
        <v>1760</v>
      </c>
      <c r="D463" s="626"/>
      <c r="E463" s="626"/>
      <c r="F463" s="626"/>
      <c r="G463" s="626"/>
      <c r="H463" s="626"/>
      <c r="I463" s="626"/>
      <c r="J463" s="626"/>
      <c r="K463" s="626"/>
      <c r="L463" s="626"/>
      <c r="M463" s="626"/>
      <c r="N463" s="65" t="s">
        <v>2665</v>
      </c>
      <c r="AE463" s="510"/>
      <c r="AF463" s="510"/>
    </row>
    <row r="464" spans="1:32" s="65" customFormat="1" ht="11.25">
      <c r="A464" s="627"/>
      <c r="B464" s="627"/>
      <c r="C464" s="627" t="s">
        <v>1761</v>
      </c>
      <c r="D464" s="626"/>
      <c r="E464" s="626"/>
      <c r="F464" s="626"/>
      <c r="G464" s="626"/>
      <c r="H464" s="626"/>
      <c r="I464" s="626"/>
      <c r="J464" s="626"/>
      <c r="K464" s="626"/>
      <c r="L464" s="626"/>
      <c r="M464" s="626"/>
      <c r="AE464" s="510"/>
      <c r="AF464" s="510"/>
    </row>
    <row r="465" spans="1:32" s="65" customFormat="1" ht="11.25">
      <c r="A465" s="627"/>
      <c r="B465" s="627"/>
      <c r="C465" s="627" t="s">
        <v>1762</v>
      </c>
      <c r="D465" s="626"/>
      <c r="E465" s="626"/>
      <c r="F465" s="626"/>
      <c r="G465" s="626"/>
      <c r="H465" s="626"/>
      <c r="I465" s="626"/>
      <c r="J465" s="626"/>
      <c r="K465" s="626"/>
      <c r="L465" s="626"/>
      <c r="M465" s="626"/>
      <c r="AE465" s="510"/>
      <c r="AF465" s="510"/>
    </row>
    <row r="466" spans="1:32" s="65" customFormat="1" ht="11.25">
      <c r="A466" s="627"/>
      <c r="B466" s="627"/>
      <c r="C466" s="627" t="s">
        <v>624</v>
      </c>
      <c r="D466" s="626"/>
      <c r="E466" s="626"/>
      <c r="F466" s="626"/>
      <c r="G466" s="626"/>
      <c r="H466" s="626"/>
      <c r="I466" s="626"/>
      <c r="J466" s="626"/>
      <c r="K466" s="626"/>
      <c r="L466" s="626"/>
      <c r="M466" s="626"/>
      <c r="AE466" s="510"/>
      <c r="AF466" s="510"/>
    </row>
    <row r="467" spans="1:32" s="65" customFormat="1" ht="11.25">
      <c r="A467" s="627"/>
      <c r="B467" s="627"/>
      <c r="C467" s="627" t="s">
        <v>1763</v>
      </c>
      <c r="D467" s="626"/>
      <c r="E467" s="626"/>
      <c r="F467" s="626"/>
      <c r="G467" s="626"/>
      <c r="H467" s="626"/>
      <c r="I467" s="626"/>
      <c r="J467" s="626"/>
      <c r="K467" s="626"/>
      <c r="L467" s="626"/>
      <c r="M467" s="626"/>
      <c r="AE467" s="510"/>
      <c r="AF467" s="510"/>
    </row>
    <row r="468" spans="1:32" s="65" customFormat="1" ht="11.25">
      <c r="A468" s="627"/>
      <c r="B468" s="627"/>
      <c r="C468" s="627" t="s">
        <v>2000</v>
      </c>
      <c r="D468" s="626"/>
      <c r="E468" s="626"/>
      <c r="F468" s="626"/>
      <c r="G468" s="626"/>
      <c r="H468" s="626"/>
      <c r="I468" s="626"/>
      <c r="J468" s="626"/>
      <c r="K468" s="626"/>
      <c r="L468" s="626"/>
      <c r="M468" s="626"/>
      <c r="AE468" s="510"/>
      <c r="AF468" s="510"/>
    </row>
    <row r="469" spans="1:32" s="65" customFormat="1" ht="11.25">
      <c r="A469" s="627"/>
      <c r="B469" s="627"/>
      <c r="C469" s="627" t="s">
        <v>240</v>
      </c>
      <c r="D469" s="626"/>
      <c r="E469" s="626"/>
      <c r="F469" s="626"/>
      <c r="G469" s="626"/>
      <c r="H469" s="626"/>
      <c r="I469" s="626"/>
      <c r="J469" s="626"/>
      <c r="K469" s="626"/>
      <c r="L469" s="626"/>
      <c r="M469" s="626"/>
      <c r="AE469" s="510"/>
      <c r="AF469" s="510"/>
    </row>
    <row r="470" spans="1:32" s="65" customFormat="1" ht="11.25">
      <c r="A470" s="627"/>
      <c r="B470" s="627"/>
      <c r="C470" s="627"/>
      <c r="D470" s="627"/>
      <c r="E470" s="627"/>
      <c r="F470" s="627"/>
      <c r="G470" s="627"/>
      <c r="H470" s="627"/>
      <c r="I470" s="627"/>
      <c r="J470" s="627"/>
      <c r="K470" s="627"/>
      <c r="L470" s="627"/>
      <c r="M470" s="627"/>
      <c r="AE470" s="510"/>
      <c r="AF470" s="510"/>
    </row>
    <row r="471" spans="1:32" s="65" customFormat="1" ht="11.25">
      <c r="A471" s="627"/>
      <c r="B471" s="627"/>
      <c r="C471" s="633" t="s">
        <v>1904</v>
      </c>
      <c r="D471" s="627"/>
      <c r="E471" s="627"/>
      <c r="F471" s="627"/>
      <c r="G471" s="627"/>
      <c r="H471" s="627"/>
      <c r="I471" s="627"/>
      <c r="J471" s="627"/>
      <c r="K471" s="627"/>
      <c r="L471" s="627"/>
      <c r="M471" s="627"/>
      <c r="AE471" s="510"/>
      <c r="AF471" s="510"/>
    </row>
    <row r="472" spans="1:32" s="65" customFormat="1" ht="11.25">
      <c r="A472" s="627"/>
      <c r="B472" s="627"/>
      <c r="C472" s="627" t="s">
        <v>977</v>
      </c>
      <c r="D472" s="627"/>
      <c r="E472" s="627"/>
      <c r="F472" s="627"/>
      <c r="G472" s="627"/>
      <c r="H472" s="627"/>
      <c r="I472" s="627"/>
      <c r="J472" s="627"/>
      <c r="K472" s="627"/>
      <c r="L472" s="627"/>
      <c r="M472" s="627"/>
      <c r="AE472" s="510"/>
      <c r="AF472" s="510"/>
    </row>
    <row r="473" spans="1:32" s="65" customFormat="1" ht="11.25">
      <c r="A473" s="627"/>
      <c r="B473" s="627"/>
      <c r="C473" s="631" t="s">
        <v>1731</v>
      </c>
      <c r="D473" s="627"/>
      <c r="E473" s="627"/>
      <c r="F473" s="627"/>
      <c r="G473" s="627"/>
      <c r="H473" s="627"/>
      <c r="I473" s="627"/>
      <c r="J473" s="627"/>
      <c r="K473" s="627"/>
      <c r="L473" s="627"/>
      <c r="M473" s="627"/>
      <c r="AE473" s="510"/>
      <c r="AF473" s="510"/>
    </row>
    <row r="474" spans="1:32" s="65" customFormat="1" ht="11.25">
      <c r="A474" s="627"/>
      <c r="B474" s="627"/>
      <c r="C474" s="631" t="s">
        <v>763</v>
      </c>
      <c r="D474" s="627"/>
      <c r="E474" s="627"/>
      <c r="F474" s="627"/>
      <c r="G474" s="627"/>
      <c r="H474" s="627"/>
      <c r="I474" s="627"/>
      <c r="J474" s="627"/>
      <c r="K474" s="627"/>
      <c r="L474" s="631"/>
      <c r="M474" s="627"/>
      <c r="AE474" s="510"/>
      <c r="AF474" s="510"/>
    </row>
    <row r="475" spans="1:32" s="65" customFormat="1" ht="11.25">
      <c r="A475" s="627"/>
      <c r="B475" s="627"/>
      <c r="C475" s="631" t="s">
        <v>764</v>
      </c>
      <c r="D475" s="627"/>
      <c r="E475" s="627"/>
      <c r="F475" s="627"/>
      <c r="G475" s="627"/>
      <c r="H475" s="627"/>
      <c r="I475" s="627"/>
      <c r="J475" s="627"/>
      <c r="K475" s="627"/>
      <c r="L475" s="631"/>
      <c r="M475" s="627"/>
      <c r="AE475" s="510"/>
      <c r="AF475" s="510"/>
    </row>
    <row r="476" spans="1:32" s="65" customFormat="1" ht="11.25">
      <c r="A476" s="627"/>
      <c r="B476" s="627"/>
      <c r="C476" s="631" t="s">
        <v>2287</v>
      </c>
      <c r="D476" s="627"/>
      <c r="E476" s="627"/>
      <c r="F476" s="627"/>
      <c r="G476" s="627"/>
      <c r="H476" s="627"/>
      <c r="I476" s="627"/>
      <c r="J476" s="627"/>
      <c r="K476" s="627"/>
      <c r="L476" s="631"/>
      <c r="M476" s="627"/>
      <c r="AE476" s="510"/>
      <c r="AF476" s="510"/>
    </row>
    <row r="477" spans="1:32" s="65" customFormat="1" ht="11.25">
      <c r="A477" s="627"/>
      <c r="B477" s="627"/>
      <c r="C477" s="631" t="s">
        <v>129</v>
      </c>
      <c r="D477" s="627"/>
      <c r="E477" s="627"/>
      <c r="F477" s="627"/>
      <c r="G477" s="627"/>
      <c r="H477" s="627"/>
      <c r="I477" s="627"/>
      <c r="J477" s="627"/>
      <c r="K477" s="627"/>
      <c r="L477" s="631"/>
      <c r="M477" s="627"/>
      <c r="AE477" s="510"/>
      <c r="AF477" s="510"/>
    </row>
    <row r="478" spans="1:32" s="65" customFormat="1" ht="11.25">
      <c r="A478" s="627"/>
      <c r="B478" s="627"/>
      <c r="C478" s="566" t="s">
        <v>127</v>
      </c>
      <c r="D478" s="627"/>
      <c r="E478" s="627"/>
      <c r="F478" s="627"/>
      <c r="G478" s="627"/>
      <c r="H478" s="627"/>
      <c r="I478" s="627"/>
      <c r="J478" s="627"/>
      <c r="K478" s="627"/>
      <c r="L478" s="631"/>
      <c r="M478" s="627"/>
      <c r="AE478" s="510"/>
      <c r="AF478" s="510"/>
    </row>
    <row r="479" spans="1:32" s="65" customFormat="1" ht="11.25">
      <c r="A479" s="627"/>
      <c r="B479" s="627"/>
      <c r="C479" s="566" t="s">
        <v>2005</v>
      </c>
      <c r="D479" s="627"/>
      <c r="E479" s="627"/>
      <c r="F479" s="627"/>
      <c r="G479" s="627"/>
      <c r="H479" s="627"/>
      <c r="I479" s="627"/>
      <c r="J479" s="627"/>
      <c r="K479" s="627"/>
      <c r="L479" s="627"/>
      <c r="M479" s="627"/>
      <c r="AE479" s="510"/>
      <c r="AF479" s="510"/>
    </row>
    <row r="480" spans="1:32" s="65" customFormat="1" ht="11.25">
      <c r="A480" s="627"/>
      <c r="B480" s="627"/>
      <c r="C480" s="631" t="s">
        <v>997</v>
      </c>
      <c r="D480" s="627"/>
      <c r="E480" s="627"/>
      <c r="F480" s="627"/>
      <c r="G480" s="627"/>
      <c r="H480" s="627"/>
      <c r="I480" s="627"/>
      <c r="J480" s="627"/>
      <c r="K480" s="627"/>
      <c r="L480" s="631"/>
      <c r="M480" s="627"/>
      <c r="AE480" s="510"/>
      <c r="AF480" s="510"/>
    </row>
    <row r="481" spans="1:32" s="65" customFormat="1" ht="11.25">
      <c r="A481" s="627"/>
      <c r="B481" s="627"/>
      <c r="C481" s="566" t="s">
        <v>128</v>
      </c>
      <c r="D481" s="627"/>
      <c r="E481" s="627"/>
      <c r="F481" s="627"/>
      <c r="G481" s="627"/>
      <c r="H481" s="627"/>
      <c r="I481" s="627"/>
      <c r="J481" s="627"/>
      <c r="K481" s="627"/>
      <c r="L481" s="631"/>
      <c r="M481" s="627"/>
      <c r="AE481" s="510"/>
      <c r="AF481" s="510"/>
    </row>
    <row r="482" spans="1:32" s="65" customFormat="1" ht="11.25">
      <c r="A482" s="627"/>
      <c r="B482" s="627"/>
      <c r="C482" s="566" t="s">
        <v>129</v>
      </c>
      <c r="D482" s="627"/>
      <c r="E482" s="627"/>
      <c r="F482" s="627"/>
      <c r="G482" s="627"/>
      <c r="H482" s="627"/>
      <c r="I482" s="627"/>
      <c r="J482" s="627"/>
      <c r="K482" s="627"/>
      <c r="L482" s="631"/>
      <c r="M482" s="627"/>
      <c r="AE482" s="510"/>
      <c r="AF482" s="510"/>
    </row>
    <row r="483" spans="1:32" s="65" customFormat="1" ht="11.25">
      <c r="A483" s="627"/>
      <c r="B483" s="627"/>
      <c r="C483" s="566" t="s">
        <v>130</v>
      </c>
      <c r="D483" s="627"/>
      <c r="E483" s="627"/>
      <c r="F483" s="627"/>
      <c r="G483" s="627"/>
      <c r="H483" s="627"/>
      <c r="I483" s="627"/>
      <c r="J483" s="627"/>
      <c r="K483" s="627"/>
      <c r="L483" s="631"/>
      <c r="M483" s="627"/>
      <c r="AE483" s="510"/>
      <c r="AF483" s="510"/>
    </row>
    <row r="484" spans="1:32" s="65" customFormat="1" ht="11.25">
      <c r="A484" s="627"/>
      <c r="B484" s="627"/>
      <c r="C484" s="566" t="s">
        <v>2866</v>
      </c>
      <c r="D484" s="627"/>
      <c r="E484" s="627"/>
      <c r="F484" s="627"/>
      <c r="G484" s="627"/>
      <c r="H484" s="627"/>
      <c r="I484" s="627"/>
      <c r="J484" s="627"/>
      <c r="K484" s="627"/>
      <c r="L484" s="627"/>
      <c r="M484" s="627"/>
      <c r="AE484" s="510"/>
      <c r="AF484" s="510"/>
    </row>
    <row r="485" spans="1:32" s="65" customFormat="1" ht="11.25">
      <c r="A485" s="627"/>
      <c r="B485" s="627"/>
      <c r="C485" s="631" t="s">
        <v>2138</v>
      </c>
      <c r="D485" s="627"/>
      <c r="E485" s="627"/>
      <c r="F485" s="627"/>
      <c r="G485" s="627"/>
      <c r="H485" s="627"/>
      <c r="I485" s="627"/>
      <c r="J485" s="627"/>
      <c r="K485" s="627"/>
      <c r="L485" s="631"/>
      <c r="M485" s="627"/>
      <c r="AE485" s="510"/>
      <c r="AF485" s="510"/>
    </row>
    <row r="486" spans="1:32" s="65" customFormat="1" ht="11.25">
      <c r="A486" s="627"/>
      <c r="B486" s="627"/>
      <c r="C486" s="566" t="s">
        <v>2867</v>
      </c>
      <c r="D486" s="627"/>
      <c r="E486" s="627"/>
      <c r="F486" s="627"/>
      <c r="G486" s="627"/>
      <c r="H486" s="627"/>
      <c r="I486" s="627"/>
      <c r="J486" s="627"/>
      <c r="K486" s="627"/>
      <c r="L486" s="631"/>
      <c r="M486" s="627"/>
      <c r="AE486" s="510"/>
      <c r="AF486" s="510"/>
    </row>
    <row r="487" spans="1:32" s="65" customFormat="1" ht="11.25">
      <c r="A487" s="627"/>
      <c r="B487" s="627"/>
      <c r="C487" s="566" t="s">
        <v>1464</v>
      </c>
      <c r="D487" s="627"/>
      <c r="E487" s="627"/>
      <c r="F487" s="627"/>
      <c r="G487" s="627"/>
      <c r="H487" s="627"/>
      <c r="I487" s="627"/>
      <c r="J487" s="627"/>
      <c r="K487" s="627"/>
      <c r="L487" s="631"/>
      <c r="M487" s="627"/>
      <c r="AE487" s="510"/>
      <c r="AF487" s="510"/>
    </row>
    <row r="488" spans="1:32" s="65" customFormat="1" ht="11.25">
      <c r="A488" s="627"/>
      <c r="B488" s="627"/>
      <c r="C488" s="566" t="s">
        <v>1687</v>
      </c>
      <c r="D488" s="627"/>
      <c r="E488" s="627"/>
      <c r="F488" s="627"/>
      <c r="G488" s="627"/>
      <c r="H488" s="627"/>
      <c r="I488" s="627"/>
      <c r="J488" s="627"/>
      <c r="K488" s="634" t="s">
        <v>483</v>
      </c>
      <c r="L488" s="631"/>
      <c r="M488" s="627"/>
      <c r="AE488" s="510"/>
      <c r="AF488" s="510"/>
    </row>
    <row r="489" spans="1:32" s="65" customFormat="1" ht="11.25">
      <c r="A489" s="627"/>
      <c r="B489" s="627"/>
      <c r="C489" s="566" t="s">
        <v>2868</v>
      </c>
      <c r="D489" s="627"/>
      <c r="E489" s="627"/>
      <c r="F489" s="627"/>
      <c r="G489" s="627"/>
      <c r="H489" s="627"/>
      <c r="I489" s="627"/>
      <c r="J489" s="627"/>
      <c r="K489" s="627" t="s">
        <v>1142</v>
      </c>
      <c r="L489" s="631"/>
      <c r="M489" s="627"/>
      <c r="AE489" s="510"/>
      <c r="AF489" s="510"/>
    </row>
    <row r="490" spans="1:32" s="65" customFormat="1" ht="11.25">
      <c r="A490" s="627"/>
      <c r="B490" s="627"/>
      <c r="C490" s="566" t="s">
        <v>2869</v>
      </c>
      <c r="D490" s="627"/>
      <c r="E490" s="627"/>
      <c r="F490" s="627"/>
      <c r="G490" s="627"/>
      <c r="H490" s="627"/>
      <c r="I490" s="627"/>
      <c r="J490" s="627"/>
      <c r="K490" s="627" t="s">
        <v>2837</v>
      </c>
      <c r="L490" s="627"/>
      <c r="M490" s="627"/>
      <c r="AE490" s="510"/>
      <c r="AF490" s="510"/>
    </row>
    <row r="491" spans="1:32" s="65" customFormat="1" ht="11.25">
      <c r="A491" s="627"/>
      <c r="B491" s="627"/>
      <c r="C491" s="631" t="s">
        <v>1275</v>
      </c>
      <c r="D491" s="627"/>
      <c r="E491" s="627"/>
      <c r="F491" s="627"/>
      <c r="G491" s="627"/>
      <c r="H491" s="627"/>
      <c r="I491" s="627"/>
      <c r="J491" s="627"/>
      <c r="K491" s="627" t="s">
        <v>2838</v>
      </c>
      <c r="L491" s="627"/>
      <c r="M491" s="627"/>
      <c r="AE491" s="510"/>
      <c r="AF491" s="510"/>
    </row>
    <row r="492" spans="1:32" s="65" customFormat="1" ht="11.25">
      <c r="A492" s="627"/>
      <c r="B492" s="627"/>
      <c r="C492" s="627"/>
      <c r="D492" s="627"/>
      <c r="E492" s="627"/>
      <c r="F492" s="627"/>
      <c r="G492" s="627"/>
      <c r="H492" s="627"/>
      <c r="I492" s="627"/>
      <c r="J492" s="627"/>
      <c r="K492" s="627"/>
      <c r="L492" s="627"/>
      <c r="M492" s="627"/>
      <c r="AE492" s="510"/>
      <c r="AF492" s="510"/>
    </row>
    <row r="493" spans="1:32" s="65" customFormat="1" ht="11.25">
      <c r="A493" s="627"/>
      <c r="B493" s="627"/>
      <c r="C493" s="633" t="s">
        <v>268</v>
      </c>
      <c r="D493" s="627"/>
      <c r="E493" s="627"/>
      <c r="F493" s="627"/>
      <c r="G493" s="627"/>
      <c r="H493" s="627"/>
      <c r="I493" s="627"/>
      <c r="J493" s="627"/>
      <c r="K493" s="634" t="s">
        <v>2381</v>
      </c>
      <c r="L493" s="627"/>
      <c r="M493" s="627"/>
      <c r="AE493" s="510"/>
      <c r="AF493" s="510"/>
    </row>
    <row r="494" spans="1:32" s="65" customFormat="1" ht="11.25">
      <c r="A494" s="627"/>
      <c r="B494" s="627"/>
      <c r="C494" s="627" t="s">
        <v>1143</v>
      </c>
      <c r="D494" s="627"/>
      <c r="E494" s="627"/>
      <c r="F494" s="627"/>
      <c r="G494" s="627"/>
      <c r="H494" s="627"/>
      <c r="I494" s="627"/>
      <c r="J494" s="627"/>
      <c r="K494" s="627" t="s">
        <v>2468</v>
      </c>
      <c r="L494" s="627"/>
      <c r="M494" s="627"/>
      <c r="AE494" s="510"/>
      <c r="AF494" s="510"/>
    </row>
    <row r="495" spans="1:32" s="65" customFormat="1" ht="11.25">
      <c r="A495" s="627"/>
      <c r="B495" s="627"/>
      <c r="C495" s="627" t="s">
        <v>177</v>
      </c>
      <c r="D495" s="627"/>
      <c r="E495" s="627"/>
      <c r="F495" s="627"/>
      <c r="G495" s="627"/>
      <c r="H495" s="627"/>
      <c r="I495" s="627"/>
      <c r="J495" s="627"/>
      <c r="K495" s="627" t="s">
        <v>1532</v>
      </c>
      <c r="L495" s="627"/>
      <c r="M495" s="627"/>
      <c r="AE495" s="510"/>
      <c r="AF495" s="510"/>
    </row>
    <row r="496" spans="1:32" s="65" customFormat="1" ht="11.25">
      <c r="A496" s="627"/>
      <c r="B496" s="627"/>
      <c r="C496" s="627" t="s">
        <v>1624</v>
      </c>
      <c r="D496" s="627"/>
      <c r="E496" s="627"/>
      <c r="F496" s="627"/>
      <c r="G496" s="627"/>
      <c r="H496" s="627"/>
      <c r="I496" s="627"/>
      <c r="J496" s="627"/>
      <c r="K496" s="627" t="s">
        <v>1194</v>
      </c>
      <c r="L496" s="627"/>
      <c r="M496" s="627"/>
      <c r="AE496" s="510"/>
      <c r="AF496" s="510"/>
    </row>
    <row r="497" spans="1:32" s="65" customFormat="1" ht="11.25">
      <c r="A497" s="627"/>
      <c r="B497" s="627"/>
      <c r="C497" s="627" t="s">
        <v>2248</v>
      </c>
      <c r="D497" s="627"/>
      <c r="E497" s="627"/>
      <c r="F497" s="627"/>
      <c r="G497" s="627"/>
      <c r="H497" s="627"/>
      <c r="I497" s="627"/>
      <c r="J497" s="627"/>
      <c r="K497" s="627" t="s">
        <v>1193</v>
      </c>
      <c r="L497" s="627"/>
      <c r="M497" s="627"/>
      <c r="AE497" s="510"/>
      <c r="AF497" s="510"/>
    </row>
    <row r="498" spans="1:32" s="65" customFormat="1" ht="11.25">
      <c r="A498" s="627"/>
      <c r="B498" s="627"/>
      <c r="C498" s="627" t="s">
        <v>176</v>
      </c>
      <c r="D498" s="627"/>
      <c r="E498" s="627"/>
      <c r="F498" s="627"/>
      <c r="G498" s="627"/>
      <c r="H498" s="627"/>
      <c r="I498" s="627"/>
      <c r="J498" s="627"/>
      <c r="K498" s="627" t="s">
        <v>2968</v>
      </c>
      <c r="L498" s="627"/>
      <c r="M498" s="627"/>
      <c r="AE498" s="510"/>
      <c r="AF498" s="510"/>
    </row>
    <row r="499" spans="1:32" s="65" customFormat="1" ht="11.25">
      <c r="A499" s="627"/>
      <c r="B499" s="627"/>
      <c r="C499" s="627"/>
      <c r="D499" s="627"/>
      <c r="E499" s="627"/>
      <c r="F499" s="627"/>
      <c r="G499" s="627"/>
      <c r="H499" s="627"/>
      <c r="I499" s="627"/>
      <c r="J499" s="627"/>
      <c r="K499" s="634" t="s">
        <v>2074</v>
      </c>
      <c r="L499" s="627"/>
      <c r="M499" s="627"/>
      <c r="AE499" s="510"/>
      <c r="AF499" s="510"/>
    </row>
    <row r="500" spans="1:32" s="65" customFormat="1" ht="11.25">
      <c r="A500" s="627"/>
      <c r="B500" s="627"/>
      <c r="C500" s="627"/>
      <c r="D500" s="627"/>
      <c r="E500" s="627"/>
      <c r="F500" s="627"/>
      <c r="G500" s="627"/>
      <c r="H500" s="627"/>
      <c r="I500" s="627"/>
      <c r="J500" s="627"/>
      <c r="K500" s="627" t="s">
        <v>1141</v>
      </c>
      <c r="L500" s="627"/>
      <c r="M500" s="627"/>
      <c r="AE500" s="510"/>
      <c r="AF500" s="510"/>
    </row>
    <row r="501" spans="1:32" s="65" customFormat="1" ht="11.25">
      <c r="A501" s="627"/>
      <c r="B501" s="627"/>
      <c r="C501" s="627"/>
      <c r="D501" s="627"/>
      <c r="E501" s="627"/>
      <c r="F501" s="627"/>
      <c r="G501" s="627"/>
      <c r="H501" s="627"/>
      <c r="I501" s="627"/>
      <c r="J501" s="627"/>
      <c r="K501" s="627" t="s">
        <v>1865</v>
      </c>
      <c r="L501" s="627"/>
      <c r="M501" s="627"/>
      <c r="AE501" s="510"/>
      <c r="AF501" s="510"/>
    </row>
    <row r="502" spans="1:32" s="65" customFormat="1" ht="11.25">
      <c r="A502" s="627"/>
      <c r="B502" s="627"/>
      <c r="C502" s="627"/>
      <c r="D502" s="627"/>
      <c r="E502" s="627"/>
      <c r="F502" s="627"/>
      <c r="G502" s="627"/>
      <c r="H502" s="627"/>
      <c r="I502" s="627"/>
      <c r="J502" s="627"/>
      <c r="K502" s="627" t="s">
        <v>1195</v>
      </c>
      <c r="L502" s="627"/>
      <c r="M502" s="627"/>
      <c r="AE502" s="510"/>
      <c r="AF502" s="510"/>
    </row>
    <row r="503" spans="1:32" s="65" customFormat="1" ht="11.25">
      <c r="A503" s="627"/>
      <c r="B503" s="627"/>
      <c r="C503" s="627"/>
      <c r="D503" s="627"/>
      <c r="E503" s="627"/>
      <c r="F503" s="627"/>
      <c r="G503" s="627"/>
      <c r="H503" s="627"/>
      <c r="I503" s="627"/>
      <c r="J503" s="627"/>
      <c r="K503" s="627" t="s">
        <v>1866</v>
      </c>
      <c r="L503" s="627"/>
      <c r="M503" s="627"/>
      <c r="AE503" s="510"/>
      <c r="AF503" s="510"/>
    </row>
    <row r="504" spans="1:32" s="65" customFormat="1" ht="11.25">
      <c r="A504" s="627"/>
      <c r="B504" s="627"/>
      <c r="C504" s="627"/>
      <c r="D504" s="627"/>
      <c r="E504" s="627"/>
      <c r="F504" s="627"/>
      <c r="G504" s="627"/>
      <c r="H504" s="627"/>
      <c r="I504" s="627"/>
      <c r="J504" s="627"/>
      <c r="K504" s="627" t="s">
        <v>2514</v>
      </c>
      <c r="L504" s="627"/>
      <c r="M504" s="627"/>
      <c r="AE504" s="510"/>
      <c r="AF504" s="510"/>
    </row>
    <row r="505" spans="1:32" s="65" customFormat="1" ht="11.25">
      <c r="A505" s="627"/>
      <c r="B505" s="627"/>
      <c r="C505" s="627"/>
      <c r="D505" s="627"/>
      <c r="E505" s="627"/>
      <c r="F505" s="627"/>
      <c r="G505" s="627"/>
      <c r="H505" s="627"/>
      <c r="I505" s="627"/>
      <c r="J505" s="627"/>
      <c r="K505" s="627"/>
      <c r="L505" s="627"/>
      <c r="M505" s="627"/>
      <c r="AE505" s="510"/>
      <c r="AF505" s="510"/>
    </row>
    <row r="506" spans="1:32" s="65" customFormat="1" ht="11.25">
      <c r="A506" s="627"/>
      <c r="B506" s="627"/>
      <c r="C506" s="633" t="s">
        <v>1069</v>
      </c>
      <c r="D506" s="627"/>
      <c r="E506" s="627"/>
      <c r="F506" s="627"/>
      <c r="G506" s="627"/>
      <c r="H506" s="627"/>
      <c r="I506" s="627"/>
      <c r="J506" s="627"/>
      <c r="K506" s="633" t="s">
        <v>1070</v>
      </c>
      <c r="L506" s="627"/>
      <c r="M506" s="627"/>
      <c r="AE506" s="510"/>
      <c r="AF506" s="510"/>
    </row>
    <row r="507" spans="1:32" s="65" customFormat="1" ht="11.25">
      <c r="A507" s="627"/>
      <c r="B507" s="627"/>
      <c r="C507" s="627" t="s">
        <v>1068</v>
      </c>
      <c r="D507" s="627"/>
      <c r="E507" s="627"/>
      <c r="F507" s="627"/>
      <c r="G507" s="627"/>
      <c r="H507" s="627"/>
      <c r="I507" s="627"/>
      <c r="J507" s="627"/>
      <c r="K507" s="627" t="s">
        <v>1068</v>
      </c>
      <c r="L507" s="627"/>
      <c r="M507" s="627"/>
      <c r="AE507" s="510"/>
      <c r="AF507" s="510"/>
    </row>
    <row r="508" spans="1:32" s="65" customFormat="1" ht="11.25">
      <c r="A508" s="627"/>
      <c r="B508" s="627"/>
      <c r="C508" s="627" t="s">
        <v>2219</v>
      </c>
      <c r="D508" s="627"/>
      <c r="E508" s="627"/>
      <c r="F508" s="627"/>
      <c r="G508" s="627"/>
      <c r="H508" s="627"/>
      <c r="I508" s="627"/>
      <c r="J508" s="627"/>
      <c r="K508" s="627" t="s">
        <v>241</v>
      </c>
      <c r="L508" s="627"/>
      <c r="M508" s="627"/>
      <c r="AE508" s="510"/>
      <c r="AF508" s="510"/>
    </row>
    <row r="509" spans="1:32" s="65" customFormat="1" ht="11.25">
      <c r="A509" s="627"/>
      <c r="B509" s="627"/>
      <c r="C509" s="627" t="s">
        <v>2717</v>
      </c>
      <c r="D509" s="627"/>
      <c r="E509" s="627"/>
      <c r="F509" s="627"/>
      <c r="G509" s="627"/>
      <c r="H509" s="627"/>
      <c r="I509" s="627"/>
      <c r="J509" s="627"/>
      <c r="K509" s="627" t="s">
        <v>509</v>
      </c>
      <c r="L509" s="627"/>
      <c r="M509" s="627"/>
      <c r="AE509" s="510"/>
      <c r="AF509" s="510"/>
    </row>
    <row r="510" spans="1:32" s="65" customFormat="1" ht="11.25">
      <c r="A510" s="627"/>
      <c r="B510" s="627"/>
      <c r="C510" s="627" t="s">
        <v>2220</v>
      </c>
      <c r="D510" s="627"/>
      <c r="E510" s="627"/>
      <c r="F510" s="627"/>
      <c r="G510" s="627"/>
      <c r="H510" s="627"/>
      <c r="I510" s="627"/>
      <c r="J510" s="627"/>
      <c r="K510" s="627" t="s">
        <v>2664</v>
      </c>
      <c r="L510" s="627"/>
      <c r="M510" s="627"/>
      <c r="AE510" s="510"/>
      <c r="AF510" s="510"/>
    </row>
    <row r="511" spans="1:32" s="65" customFormat="1" ht="11.25">
      <c r="A511" s="627"/>
      <c r="B511" s="627"/>
      <c r="C511" s="627" t="s">
        <v>2075</v>
      </c>
      <c r="D511" s="627"/>
      <c r="E511" s="627"/>
      <c r="F511" s="627"/>
      <c r="G511" s="627"/>
      <c r="H511" s="627"/>
      <c r="I511" s="627"/>
      <c r="J511" s="627"/>
      <c r="K511" s="627" t="s">
        <v>2084</v>
      </c>
      <c r="L511" s="627"/>
      <c r="M511" s="627"/>
      <c r="AE511" s="510"/>
      <c r="AF511" s="510"/>
    </row>
    <row r="512" spans="1:32" s="65" customFormat="1" ht="11.25">
      <c r="A512" s="627"/>
      <c r="B512" s="627"/>
      <c r="C512" s="627" t="s">
        <v>623</v>
      </c>
      <c r="D512" s="627"/>
      <c r="E512" s="627"/>
      <c r="F512" s="627"/>
      <c r="G512" s="627"/>
      <c r="H512" s="627"/>
      <c r="I512" s="627"/>
      <c r="J512" s="627"/>
      <c r="K512" s="627" t="s">
        <v>2666</v>
      </c>
      <c r="L512" s="627"/>
      <c r="M512" s="627"/>
      <c r="AE512" s="510"/>
      <c r="AF512" s="510"/>
    </row>
    <row r="513" spans="1:32" s="65" customFormat="1" ht="11.25">
      <c r="A513" s="627"/>
      <c r="B513" s="627"/>
      <c r="C513" s="627" t="s">
        <v>2328</v>
      </c>
      <c r="D513" s="627"/>
      <c r="E513" s="627"/>
      <c r="F513" s="627"/>
      <c r="G513" s="627"/>
      <c r="H513" s="627"/>
      <c r="I513" s="627"/>
      <c r="J513" s="627"/>
      <c r="K513" s="627" t="s">
        <v>34</v>
      </c>
      <c r="L513" s="627"/>
      <c r="M513" s="627"/>
      <c r="AE513" s="510"/>
      <c r="AF513" s="510"/>
    </row>
    <row r="514" spans="1:32" s="65" customFormat="1" ht="11.25">
      <c r="A514" s="627"/>
      <c r="B514" s="627"/>
      <c r="C514" s="629" t="s">
        <v>35</v>
      </c>
      <c r="D514" s="627"/>
      <c r="E514" s="627"/>
      <c r="F514" s="627"/>
      <c r="G514" s="627"/>
      <c r="H514" s="627"/>
      <c r="I514" s="627"/>
      <c r="J514" s="627"/>
      <c r="K514" s="627" t="s">
        <v>1939</v>
      </c>
      <c r="L514" s="627"/>
      <c r="M514" s="627"/>
      <c r="AE514" s="510"/>
      <c r="AF514" s="510"/>
    </row>
    <row r="515" spans="1:32" s="65" customFormat="1" ht="11.25">
      <c r="A515" s="627"/>
      <c r="B515" s="627"/>
      <c r="C515" s="627"/>
      <c r="D515" s="627"/>
      <c r="E515" s="627"/>
      <c r="F515" s="627"/>
      <c r="G515" s="627"/>
      <c r="H515" s="627"/>
      <c r="I515" s="627"/>
      <c r="J515" s="627"/>
      <c r="K515" s="627" t="s">
        <v>2667</v>
      </c>
      <c r="L515" s="627"/>
      <c r="M515" s="627"/>
      <c r="AE515" s="510"/>
      <c r="AF515" s="510"/>
    </row>
    <row r="516" spans="1:32" s="65" customFormat="1" ht="11.25">
      <c r="A516" s="627"/>
      <c r="B516" s="627"/>
      <c r="C516" s="627"/>
      <c r="D516" s="627"/>
      <c r="E516" s="627"/>
      <c r="F516" s="627"/>
      <c r="G516" s="627"/>
      <c r="H516" s="627"/>
      <c r="I516" s="627"/>
      <c r="J516" s="627"/>
      <c r="K516" s="627" t="s">
        <v>1227</v>
      </c>
      <c r="L516" s="627"/>
      <c r="M516" s="627"/>
      <c r="AE516" s="510"/>
      <c r="AF516" s="510"/>
    </row>
    <row r="517" spans="1:32" s="65" customFormat="1" ht="11.25">
      <c r="A517" s="627"/>
      <c r="B517" s="627"/>
      <c r="C517" s="627"/>
      <c r="D517" s="627"/>
      <c r="E517" s="627"/>
      <c r="F517" s="627"/>
      <c r="G517" s="627"/>
      <c r="H517" s="627"/>
      <c r="I517" s="627"/>
      <c r="J517" s="627"/>
      <c r="K517" s="627" t="s">
        <v>1999</v>
      </c>
      <c r="L517" s="627"/>
      <c r="M517" s="627"/>
      <c r="AE517" s="510"/>
      <c r="AF517" s="510"/>
    </row>
    <row r="518" spans="1:32" s="65" customFormat="1" ht="11.25">
      <c r="A518" s="627"/>
      <c r="B518" s="627"/>
      <c r="C518" s="627"/>
      <c r="D518" s="627"/>
      <c r="E518" s="627"/>
      <c r="F518" s="627"/>
      <c r="G518" s="627"/>
      <c r="H518" s="627"/>
      <c r="I518" s="627"/>
      <c r="J518" s="627"/>
      <c r="K518" s="627" t="s">
        <v>622</v>
      </c>
      <c r="L518" s="627"/>
      <c r="M518" s="627"/>
      <c r="AE518" s="510"/>
      <c r="AF518" s="510"/>
    </row>
    <row r="519" spans="1:32" s="65" customFormat="1" ht="11.25">
      <c r="A519" s="627"/>
      <c r="B519" s="627"/>
      <c r="C519" s="627"/>
      <c r="D519" s="627"/>
      <c r="E519" s="627"/>
      <c r="F519" s="627"/>
      <c r="G519" s="627"/>
      <c r="H519" s="627"/>
      <c r="I519" s="627"/>
      <c r="J519" s="627"/>
      <c r="K519" s="627" t="s">
        <v>2000</v>
      </c>
      <c r="L519" s="627"/>
      <c r="M519" s="627"/>
      <c r="AE519" s="510"/>
      <c r="AF519" s="510"/>
    </row>
    <row r="520" spans="1:32" s="65" customFormat="1" ht="11.25">
      <c r="A520" s="627"/>
      <c r="B520" s="627"/>
      <c r="C520" s="627"/>
      <c r="D520" s="627"/>
      <c r="E520" s="627"/>
      <c r="F520" s="627"/>
      <c r="G520" s="627"/>
      <c r="H520" s="627"/>
      <c r="I520" s="627"/>
      <c r="J520" s="627"/>
      <c r="K520" s="627" t="s">
        <v>624</v>
      </c>
      <c r="L520" s="627"/>
      <c r="M520" s="627"/>
      <c r="AE520" s="510"/>
      <c r="AF520" s="510"/>
    </row>
    <row r="521" spans="1:32" s="65" customFormat="1" ht="11.25">
      <c r="A521" s="627"/>
      <c r="B521" s="627"/>
      <c r="C521" s="627"/>
      <c r="D521" s="627"/>
      <c r="E521" s="627"/>
      <c r="F521" s="627"/>
      <c r="G521" s="627"/>
      <c r="H521" s="627"/>
      <c r="I521" s="627"/>
      <c r="J521" s="627"/>
      <c r="K521" s="627" t="s">
        <v>240</v>
      </c>
      <c r="L521" s="627"/>
      <c r="M521" s="627"/>
      <c r="AE521" s="510"/>
      <c r="AF521" s="510"/>
    </row>
    <row r="522" spans="1:32" s="65" customFormat="1" ht="11.25">
      <c r="A522" s="627"/>
      <c r="B522" s="627"/>
      <c r="C522" s="627"/>
      <c r="D522" s="627"/>
      <c r="E522" s="627"/>
      <c r="F522" s="627"/>
      <c r="G522" s="627"/>
      <c r="H522" s="627"/>
      <c r="I522" s="627"/>
      <c r="J522" s="627"/>
      <c r="K522" s="627"/>
      <c r="L522" s="627"/>
      <c r="M522" s="627"/>
      <c r="AE522" s="510"/>
      <c r="AF522" s="510"/>
    </row>
    <row r="523" spans="1:32" s="65" customFormat="1" ht="11.25">
      <c r="A523" s="627"/>
      <c r="B523" s="627"/>
      <c r="C523" s="627"/>
      <c r="D523" s="635" t="s">
        <v>2166</v>
      </c>
      <c r="E523" s="627"/>
      <c r="F523" s="627"/>
      <c r="G523" s="627"/>
      <c r="H523" s="627"/>
      <c r="I523" s="627"/>
      <c r="J523" s="627"/>
      <c r="K523" s="627"/>
      <c r="L523" s="627"/>
      <c r="M523" s="627"/>
      <c r="AE523" s="510"/>
      <c r="AF523" s="510"/>
    </row>
    <row r="524" spans="1:32" s="65" customFormat="1" ht="11.25">
      <c r="A524" s="627"/>
      <c r="B524" s="627"/>
      <c r="C524" s="627"/>
      <c r="D524" s="627"/>
      <c r="E524" s="627"/>
      <c r="F524" s="627"/>
      <c r="G524" s="627"/>
      <c r="H524" s="627"/>
      <c r="I524" s="627"/>
      <c r="J524" s="627"/>
      <c r="K524" s="627"/>
      <c r="L524" s="627"/>
      <c r="M524" s="627"/>
      <c r="AE524" s="510"/>
      <c r="AF524" s="510"/>
    </row>
    <row r="525" spans="1:32" s="175" customFormat="1">
      <c r="A525" s="567"/>
      <c r="B525" s="567"/>
      <c r="C525" s="567"/>
      <c r="D525" s="567"/>
      <c r="E525" s="567"/>
      <c r="F525" s="567"/>
      <c r="G525" s="567"/>
      <c r="H525" s="567"/>
      <c r="I525" s="567"/>
      <c r="J525" s="567"/>
      <c r="K525" s="567"/>
      <c r="L525" s="567"/>
      <c r="M525" s="567"/>
      <c r="AE525" s="598"/>
      <c r="AF525" s="598"/>
    </row>
    <row r="526" spans="1:32">
      <c r="A526" s="567"/>
      <c r="B526" s="567"/>
      <c r="C526" s="567"/>
      <c r="D526" s="567"/>
      <c r="E526" s="567"/>
      <c r="F526" s="567"/>
      <c r="G526" s="567"/>
      <c r="H526" s="567"/>
      <c r="I526" s="567"/>
      <c r="J526" s="567"/>
      <c r="K526" s="567"/>
      <c r="L526" s="567"/>
      <c r="M526" s="567"/>
      <c r="N526" s="175"/>
      <c r="O526" s="175"/>
      <c r="P526" s="175"/>
      <c r="Q526" s="175"/>
      <c r="R526" s="175"/>
      <c r="S526" s="175"/>
      <c r="T526" s="175"/>
      <c r="U526" s="175"/>
    </row>
    <row r="527" spans="1:32">
      <c r="A527" s="567"/>
      <c r="B527" s="567"/>
      <c r="C527" s="567"/>
      <c r="D527" s="567"/>
      <c r="E527" s="567"/>
      <c r="F527" s="567"/>
      <c r="G527" s="567"/>
      <c r="H527" s="567"/>
      <c r="I527" s="567"/>
      <c r="J527" s="567"/>
      <c r="K527" s="567"/>
      <c r="L527" s="567"/>
      <c r="M527" s="567"/>
      <c r="N527" s="175"/>
      <c r="O527" s="175"/>
      <c r="P527" s="175"/>
      <c r="Q527" s="175"/>
      <c r="R527" s="175"/>
      <c r="S527" s="175"/>
      <c r="T527" s="175"/>
      <c r="U527" s="175"/>
    </row>
    <row r="528" spans="1:32">
      <c r="A528" s="9"/>
      <c r="B528" s="175"/>
      <c r="C528" s="175"/>
      <c r="D528" s="175"/>
      <c r="E528" s="175"/>
      <c r="F528" s="175"/>
      <c r="G528" s="175"/>
      <c r="H528" s="175"/>
      <c r="I528" s="175"/>
      <c r="J528" s="175"/>
      <c r="K528" s="175"/>
      <c r="L528" s="175"/>
      <c r="M528" s="175"/>
      <c r="N528" s="175"/>
      <c r="O528" s="175"/>
      <c r="P528" s="175"/>
      <c r="Q528" s="175"/>
      <c r="R528" s="175"/>
      <c r="S528" s="175"/>
      <c r="T528" s="175"/>
      <c r="U528" s="175"/>
    </row>
    <row r="529" spans="1:21">
      <c r="A529" s="9"/>
      <c r="B529" s="175"/>
      <c r="C529" s="175"/>
      <c r="D529" s="175"/>
      <c r="E529" s="175"/>
      <c r="F529" s="175"/>
      <c r="G529" s="175"/>
      <c r="H529" s="175"/>
      <c r="I529" s="175"/>
      <c r="J529" s="175"/>
      <c r="K529" s="175"/>
      <c r="L529" s="175"/>
      <c r="M529" s="175"/>
      <c r="N529" s="175"/>
      <c r="O529" s="175"/>
      <c r="P529" s="175"/>
      <c r="Q529" s="175"/>
      <c r="R529" s="175"/>
      <c r="S529" s="175"/>
      <c r="T529" s="175"/>
      <c r="U529" s="175"/>
    </row>
    <row r="530" spans="1:21">
      <c r="A530" s="9"/>
      <c r="B530" s="175"/>
      <c r="C530" s="175"/>
      <c r="D530" s="175"/>
      <c r="E530" s="175"/>
      <c r="F530" s="175"/>
      <c r="G530" s="175"/>
      <c r="H530" s="175"/>
      <c r="I530" s="175"/>
      <c r="J530" s="175"/>
      <c r="K530" s="175"/>
      <c r="L530" s="175"/>
      <c r="M530" s="175"/>
      <c r="N530" s="175"/>
      <c r="O530" s="175"/>
      <c r="P530" s="175"/>
      <c r="Q530" s="175"/>
      <c r="R530" s="175"/>
      <c r="S530" s="175"/>
      <c r="T530" s="175"/>
      <c r="U530" s="175"/>
    </row>
    <row r="531" spans="1:21">
      <c r="A531" s="9"/>
      <c r="B531" s="175"/>
      <c r="C531" s="175"/>
      <c r="D531" s="175"/>
      <c r="E531" s="175"/>
      <c r="F531" s="175"/>
      <c r="G531" s="175"/>
      <c r="H531" s="175"/>
      <c r="I531" s="175"/>
      <c r="J531" s="175"/>
      <c r="K531" s="175"/>
      <c r="L531" s="175"/>
      <c r="M531" s="175"/>
      <c r="N531" s="175"/>
      <c r="O531" s="175"/>
      <c r="P531" s="175"/>
      <c r="Q531" s="175"/>
      <c r="R531" s="175"/>
      <c r="S531" s="175"/>
      <c r="T531" s="175"/>
      <c r="U531" s="175"/>
    </row>
    <row r="532" spans="1:21">
      <c r="A532" s="9"/>
      <c r="B532" s="175"/>
      <c r="C532" s="175"/>
      <c r="D532" s="175"/>
      <c r="E532" s="175"/>
      <c r="F532" s="175"/>
      <c r="G532" s="175"/>
      <c r="H532" s="175"/>
      <c r="I532" s="175"/>
      <c r="J532" s="175"/>
      <c r="K532" s="175"/>
      <c r="L532" s="175"/>
      <c r="M532" s="175"/>
      <c r="N532" s="175"/>
      <c r="O532" s="175"/>
      <c r="P532" s="175"/>
      <c r="Q532" s="175"/>
      <c r="R532" s="175"/>
      <c r="S532" s="175"/>
      <c r="T532" s="175"/>
      <c r="U532" s="175"/>
    </row>
    <row r="533" spans="1:21">
      <c r="A533" s="9"/>
      <c r="B533" s="175"/>
      <c r="C533" s="175"/>
      <c r="D533" s="175"/>
      <c r="E533" s="175"/>
      <c r="F533" s="175"/>
      <c r="G533" s="175"/>
      <c r="H533" s="175"/>
      <c r="I533" s="175"/>
      <c r="J533" s="175"/>
      <c r="K533" s="175"/>
      <c r="L533" s="175"/>
      <c r="M533" s="175"/>
      <c r="N533" s="175"/>
      <c r="O533" s="175"/>
      <c r="P533" s="175"/>
      <c r="Q533" s="175"/>
      <c r="R533" s="175"/>
      <c r="S533" s="175"/>
      <c r="T533" s="175"/>
      <c r="U533" s="175"/>
    </row>
    <row r="534" spans="1:21">
      <c r="A534" s="9"/>
      <c r="B534" s="175"/>
      <c r="C534" s="175"/>
      <c r="D534" s="175"/>
      <c r="E534" s="175"/>
      <c r="F534" s="175"/>
      <c r="G534" s="175"/>
      <c r="H534" s="175"/>
      <c r="I534" s="175"/>
      <c r="J534" s="175"/>
      <c r="K534" s="175"/>
      <c r="L534" s="175"/>
      <c r="M534" s="175"/>
      <c r="N534" s="175"/>
      <c r="O534" s="175"/>
      <c r="P534" s="175"/>
      <c r="Q534" s="175"/>
      <c r="R534" s="175"/>
      <c r="S534" s="175"/>
      <c r="T534" s="175"/>
      <c r="U534" s="175"/>
    </row>
    <row r="535" spans="1:21">
      <c r="A535" s="9"/>
      <c r="B535" s="175"/>
      <c r="C535" s="175"/>
      <c r="D535" s="175"/>
      <c r="E535" s="175"/>
      <c r="F535" s="175"/>
      <c r="G535" s="175"/>
      <c r="H535" s="175"/>
      <c r="I535" s="175"/>
      <c r="J535" s="175"/>
      <c r="K535" s="175"/>
      <c r="L535" s="175"/>
      <c r="M535" s="175"/>
      <c r="N535" s="175"/>
      <c r="O535" s="175"/>
      <c r="P535" s="175"/>
      <c r="Q535" s="175"/>
      <c r="R535" s="175"/>
      <c r="S535" s="175"/>
      <c r="T535" s="175"/>
      <c r="U535" s="175"/>
    </row>
    <row r="536" spans="1:21">
      <c r="A536" s="9"/>
      <c r="B536" s="175"/>
      <c r="C536" s="175"/>
      <c r="D536" s="175"/>
      <c r="E536" s="175"/>
      <c r="F536" s="175"/>
      <c r="G536" s="175"/>
      <c r="H536" s="175"/>
      <c r="I536" s="175"/>
      <c r="J536" s="175"/>
      <c r="K536" s="175"/>
      <c r="L536" s="175"/>
      <c r="M536" s="175"/>
      <c r="N536" s="175"/>
      <c r="O536" s="175"/>
      <c r="P536" s="175"/>
      <c r="Q536" s="175"/>
      <c r="R536" s="175"/>
      <c r="S536" s="175"/>
      <c r="T536" s="175"/>
      <c r="U536" s="175"/>
    </row>
    <row r="537" spans="1:21">
      <c r="A537" s="9"/>
      <c r="B537" s="175"/>
      <c r="C537" s="175"/>
      <c r="D537" s="175"/>
      <c r="E537" s="175"/>
      <c r="F537" s="175"/>
      <c r="G537" s="175"/>
      <c r="H537" s="175"/>
      <c r="I537" s="175"/>
      <c r="J537" s="175"/>
      <c r="K537" s="175"/>
      <c r="L537" s="175"/>
      <c r="M537" s="175"/>
      <c r="N537" s="175"/>
      <c r="O537" s="175"/>
      <c r="P537" s="175"/>
      <c r="Q537" s="175"/>
      <c r="R537" s="175"/>
      <c r="S537" s="175"/>
      <c r="T537" s="175"/>
      <c r="U537" s="175"/>
    </row>
    <row r="538" spans="1:21">
      <c r="A538" s="9"/>
      <c r="B538" s="175"/>
      <c r="C538" s="175"/>
      <c r="D538" s="175"/>
      <c r="E538" s="175"/>
      <c r="F538" s="175"/>
      <c r="G538" s="175"/>
      <c r="H538" s="175"/>
      <c r="I538" s="175"/>
      <c r="J538" s="175"/>
      <c r="K538" s="175"/>
      <c r="L538" s="175"/>
      <c r="M538" s="175"/>
      <c r="N538" s="175"/>
      <c r="O538" s="175"/>
      <c r="P538" s="175"/>
      <c r="Q538" s="175"/>
      <c r="R538" s="175"/>
      <c r="S538" s="175"/>
      <c r="T538" s="175"/>
      <c r="U538" s="175"/>
    </row>
    <row r="539" spans="1:21">
      <c r="A539" s="9"/>
      <c r="B539" s="175"/>
      <c r="C539" s="175"/>
      <c r="D539" s="175"/>
      <c r="E539" s="175"/>
      <c r="F539" s="175"/>
      <c r="G539" s="175"/>
      <c r="H539" s="175"/>
      <c r="I539" s="175"/>
      <c r="J539" s="175"/>
      <c r="K539" s="175"/>
      <c r="L539" s="175"/>
      <c r="M539" s="175"/>
      <c r="N539" s="175"/>
      <c r="O539" s="175"/>
      <c r="P539" s="175"/>
      <c r="Q539" s="175"/>
      <c r="R539" s="175"/>
      <c r="S539" s="175"/>
      <c r="T539" s="175"/>
      <c r="U539" s="175"/>
    </row>
    <row r="540" spans="1:21">
      <c r="A540" s="9"/>
      <c r="B540" s="175"/>
      <c r="C540" s="175"/>
      <c r="D540" s="175"/>
      <c r="E540" s="175"/>
      <c r="F540" s="175"/>
      <c r="G540" s="175"/>
      <c r="H540" s="175"/>
      <c r="I540" s="175"/>
      <c r="J540" s="175"/>
      <c r="K540" s="175"/>
      <c r="L540" s="175"/>
      <c r="M540" s="175"/>
      <c r="N540" s="175"/>
      <c r="O540" s="175"/>
      <c r="P540" s="175"/>
      <c r="Q540" s="175"/>
      <c r="R540" s="175"/>
      <c r="S540" s="175"/>
      <c r="T540" s="175"/>
      <c r="U540" s="175"/>
    </row>
    <row r="541" spans="1:21">
      <c r="A541" s="9"/>
      <c r="B541" s="175"/>
      <c r="C541" s="175"/>
      <c r="D541" s="175"/>
      <c r="E541" s="175"/>
      <c r="F541" s="175"/>
      <c r="G541" s="175"/>
      <c r="H541" s="175"/>
      <c r="I541" s="175"/>
      <c r="J541" s="175"/>
      <c r="K541" s="175"/>
      <c r="L541" s="175"/>
      <c r="M541" s="175"/>
      <c r="N541" s="175"/>
      <c r="O541" s="175"/>
      <c r="P541" s="175"/>
      <c r="Q541" s="175"/>
      <c r="R541" s="175"/>
      <c r="S541" s="175"/>
      <c r="T541" s="175"/>
      <c r="U541" s="175"/>
    </row>
    <row r="542" spans="1:21">
      <c r="A542" s="9"/>
      <c r="B542" s="175"/>
      <c r="C542" s="175"/>
      <c r="D542" s="175"/>
      <c r="E542" s="175"/>
      <c r="F542" s="175"/>
      <c r="G542" s="175"/>
      <c r="H542" s="175"/>
      <c r="I542" s="175"/>
      <c r="J542" s="175"/>
      <c r="K542" s="175"/>
      <c r="L542" s="175"/>
      <c r="M542" s="175"/>
      <c r="N542" s="175"/>
      <c r="O542" s="175"/>
      <c r="P542" s="175"/>
      <c r="Q542" s="175"/>
      <c r="R542" s="175"/>
      <c r="S542" s="175"/>
      <c r="T542" s="175"/>
      <c r="U542" s="175"/>
    </row>
    <row r="543" spans="1:21">
      <c r="A543" s="9"/>
      <c r="B543" s="175"/>
      <c r="C543" s="175"/>
      <c r="D543" s="175"/>
      <c r="E543" s="175"/>
      <c r="F543" s="175"/>
      <c r="G543" s="175"/>
      <c r="H543" s="175"/>
      <c r="I543" s="175"/>
      <c r="J543" s="175"/>
      <c r="K543" s="175"/>
      <c r="L543" s="175"/>
      <c r="M543" s="175"/>
      <c r="N543" s="175"/>
      <c r="O543" s="175"/>
      <c r="P543" s="175"/>
      <c r="Q543" s="175"/>
      <c r="R543" s="175"/>
      <c r="S543" s="175"/>
      <c r="T543" s="175"/>
      <c r="U543" s="175"/>
    </row>
    <row r="544" spans="1:21">
      <c r="A544" s="9"/>
      <c r="B544" s="175"/>
      <c r="C544" s="175"/>
      <c r="D544" s="175"/>
      <c r="E544" s="175"/>
      <c r="F544" s="175"/>
      <c r="G544" s="175"/>
      <c r="H544" s="175"/>
      <c r="I544" s="175"/>
      <c r="J544" s="175"/>
      <c r="K544" s="175"/>
      <c r="L544" s="175"/>
      <c r="M544" s="175"/>
      <c r="N544" s="175"/>
      <c r="O544" s="175"/>
      <c r="P544" s="175"/>
      <c r="Q544" s="175"/>
      <c r="R544" s="175"/>
      <c r="S544" s="175"/>
      <c r="T544" s="175"/>
      <c r="U544" s="175"/>
    </row>
    <row r="545" spans="1:21">
      <c r="A545" s="9"/>
      <c r="B545" s="175"/>
      <c r="C545" s="175"/>
      <c r="D545" s="175"/>
      <c r="E545" s="175"/>
      <c r="F545" s="175"/>
      <c r="G545" s="175"/>
      <c r="H545" s="175"/>
      <c r="I545" s="175"/>
      <c r="J545" s="175"/>
      <c r="K545" s="175"/>
      <c r="L545" s="175"/>
      <c r="M545" s="175"/>
      <c r="N545" s="175"/>
      <c r="O545" s="175"/>
      <c r="P545" s="175"/>
      <c r="Q545" s="175"/>
      <c r="R545" s="175"/>
      <c r="S545" s="175"/>
      <c r="T545" s="175"/>
      <c r="U545" s="175"/>
    </row>
    <row r="546" spans="1:21">
      <c r="A546" s="9"/>
      <c r="B546" s="175"/>
      <c r="C546" s="175"/>
      <c r="D546" s="175"/>
      <c r="E546" s="175"/>
      <c r="F546" s="175"/>
      <c r="G546" s="175"/>
      <c r="H546" s="175"/>
      <c r="I546" s="175"/>
      <c r="J546" s="175"/>
      <c r="K546" s="175"/>
      <c r="L546" s="175"/>
      <c r="M546" s="175"/>
      <c r="N546" s="175"/>
      <c r="O546" s="175"/>
      <c r="P546" s="175"/>
      <c r="Q546" s="175"/>
      <c r="R546" s="175"/>
      <c r="S546" s="175"/>
      <c r="T546" s="175"/>
      <c r="U546" s="175"/>
    </row>
    <row r="547" spans="1:21">
      <c r="A547" s="9"/>
      <c r="B547" s="175"/>
      <c r="C547" s="175"/>
      <c r="D547" s="175"/>
      <c r="E547" s="175"/>
      <c r="F547" s="175"/>
      <c r="G547" s="175"/>
      <c r="H547" s="175"/>
      <c r="I547" s="175"/>
      <c r="J547" s="175"/>
      <c r="K547" s="175"/>
      <c r="L547" s="175"/>
      <c r="M547" s="175"/>
      <c r="N547" s="175"/>
      <c r="O547" s="175"/>
      <c r="P547" s="175"/>
      <c r="Q547" s="175"/>
      <c r="R547" s="175"/>
      <c r="S547" s="175"/>
      <c r="T547" s="175"/>
      <c r="U547" s="175"/>
    </row>
    <row r="548" spans="1:21">
      <c r="A548" s="9"/>
      <c r="B548" s="175"/>
      <c r="C548" s="175"/>
      <c r="D548" s="175"/>
      <c r="E548" s="175"/>
      <c r="F548" s="175"/>
      <c r="G548" s="175"/>
      <c r="H548" s="175"/>
      <c r="I548" s="175"/>
      <c r="J548" s="175"/>
      <c r="K548" s="175"/>
      <c r="L548" s="175"/>
      <c r="M548" s="175"/>
      <c r="N548" s="175"/>
      <c r="O548" s="175"/>
      <c r="P548" s="175"/>
      <c r="Q548" s="175"/>
      <c r="R548" s="175"/>
      <c r="S548" s="175"/>
      <c r="T548" s="175"/>
      <c r="U548" s="175"/>
    </row>
    <row r="549" spans="1:21">
      <c r="A549" s="9"/>
      <c r="B549" s="175"/>
      <c r="C549" s="175"/>
      <c r="D549" s="175"/>
      <c r="E549" s="175"/>
      <c r="F549" s="175"/>
      <c r="G549" s="175"/>
      <c r="H549" s="175"/>
      <c r="I549" s="175"/>
      <c r="J549" s="175"/>
      <c r="K549" s="175"/>
      <c r="L549" s="175"/>
      <c r="M549" s="175"/>
      <c r="N549" s="175"/>
      <c r="O549" s="175"/>
      <c r="P549" s="175"/>
      <c r="Q549" s="175"/>
      <c r="R549" s="175"/>
      <c r="S549" s="175"/>
      <c r="T549" s="175"/>
      <c r="U549" s="175"/>
    </row>
    <row r="550" spans="1:21">
      <c r="A550" s="9"/>
      <c r="B550" s="175"/>
      <c r="C550" s="175"/>
      <c r="D550" s="175"/>
      <c r="E550" s="175"/>
      <c r="F550" s="175"/>
      <c r="G550" s="175"/>
      <c r="H550" s="175"/>
      <c r="I550" s="175"/>
      <c r="J550" s="175"/>
      <c r="K550" s="175"/>
      <c r="L550" s="175"/>
      <c r="M550" s="175"/>
      <c r="N550" s="175"/>
      <c r="O550" s="175"/>
      <c r="P550" s="175"/>
      <c r="Q550" s="175"/>
      <c r="R550" s="175"/>
      <c r="S550" s="175"/>
      <c r="T550" s="175"/>
      <c r="U550" s="175"/>
    </row>
    <row r="551" spans="1:21">
      <c r="A551" s="9"/>
      <c r="B551" s="175"/>
      <c r="C551" s="175"/>
      <c r="D551" s="175"/>
      <c r="E551" s="175"/>
      <c r="F551" s="175"/>
      <c r="G551" s="175"/>
      <c r="H551" s="175"/>
      <c r="I551" s="175"/>
      <c r="J551" s="175"/>
      <c r="K551" s="175"/>
      <c r="L551" s="175"/>
      <c r="M551" s="175"/>
      <c r="N551" s="175"/>
      <c r="O551" s="175"/>
      <c r="P551" s="175"/>
      <c r="Q551" s="175"/>
      <c r="R551" s="175"/>
      <c r="S551" s="175"/>
      <c r="T551" s="175"/>
      <c r="U551" s="175"/>
    </row>
    <row r="552" spans="1:21">
      <c r="A552" s="9"/>
      <c r="B552" s="175"/>
      <c r="C552" s="175"/>
      <c r="D552" s="175"/>
      <c r="E552" s="175"/>
      <c r="F552" s="175"/>
      <c r="G552" s="175"/>
      <c r="H552" s="175"/>
      <c r="I552" s="175"/>
      <c r="J552" s="175"/>
      <c r="K552" s="175"/>
      <c r="L552" s="175"/>
      <c r="M552" s="175"/>
      <c r="N552" s="175"/>
      <c r="O552" s="175"/>
      <c r="P552" s="175"/>
      <c r="Q552" s="175"/>
      <c r="R552" s="175"/>
      <c r="S552" s="175"/>
      <c r="T552" s="175"/>
      <c r="U552" s="175"/>
    </row>
    <row r="553" spans="1:21">
      <c r="A553" s="9"/>
      <c r="B553" s="175"/>
      <c r="C553" s="175"/>
      <c r="D553" s="175"/>
      <c r="E553" s="175"/>
      <c r="F553" s="175"/>
      <c r="G553" s="175"/>
      <c r="H553" s="175"/>
      <c r="I553" s="175"/>
      <c r="J553" s="175"/>
      <c r="K553" s="175"/>
      <c r="L553" s="175"/>
      <c r="M553" s="175"/>
      <c r="N553" s="175"/>
      <c r="O553" s="175"/>
      <c r="P553" s="175"/>
      <c r="Q553" s="175"/>
      <c r="R553" s="175"/>
      <c r="S553" s="175"/>
      <c r="T553" s="175"/>
      <c r="U553" s="175"/>
    </row>
    <row r="554" spans="1:21">
      <c r="A554" s="9"/>
      <c r="B554" s="175"/>
      <c r="C554" s="175"/>
      <c r="D554" s="175"/>
      <c r="E554" s="175"/>
      <c r="F554" s="175"/>
      <c r="G554" s="175"/>
      <c r="H554" s="175"/>
      <c r="I554" s="175"/>
      <c r="J554" s="175"/>
      <c r="K554" s="175"/>
      <c r="L554" s="175"/>
      <c r="M554" s="175"/>
      <c r="N554" s="175"/>
      <c r="O554" s="175"/>
      <c r="P554" s="175"/>
      <c r="Q554" s="175"/>
      <c r="R554" s="175"/>
      <c r="S554" s="175"/>
      <c r="T554" s="175"/>
      <c r="U554" s="175"/>
    </row>
    <row r="555" spans="1:21">
      <c r="A555" s="9"/>
      <c r="B555" s="175"/>
      <c r="C555" s="175"/>
      <c r="D555" s="175"/>
      <c r="E555" s="175"/>
      <c r="F555" s="175"/>
      <c r="G555" s="175"/>
      <c r="H555" s="175"/>
      <c r="I555" s="175"/>
      <c r="J555" s="175"/>
      <c r="K555" s="175"/>
      <c r="L555" s="175"/>
      <c r="M555" s="175"/>
      <c r="N555" s="175"/>
      <c r="O555" s="175"/>
      <c r="P555" s="175"/>
      <c r="Q555" s="175"/>
      <c r="R555" s="175"/>
      <c r="S555" s="175"/>
      <c r="T555" s="175"/>
      <c r="U555" s="175"/>
    </row>
    <row r="556" spans="1:21">
      <c r="A556" s="9"/>
      <c r="B556" s="175"/>
      <c r="C556" s="175"/>
      <c r="D556" s="175"/>
      <c r="E556" s="175"/>
      <c r="F556" s="175"/>
      <c r="G556" s="175"/>
      <c r="H556" s="175"/>
      <c r="I556" s="175"/>
      <c r="J556" s="175"/>
      <c r="K556" s="175"/>
      <c r="L556" s="175"/>
      <c r="M556" s="175"/>
      <c r="N556" s="175"/>
      <c r="O556" s="175"/>
      <c r="P556" s="175"/>
      <c r="Q556" s="175"/>
      <c r="R556" s="175"/>
      <c r="S556" s="175"/>
      <c r="T556" s="175"/>
      <c r="U556" s="175"/>
    </row>
    <row r="557" spans="1:21">
      <c r="A557" s="9"/>
      <c r="B557" s="175"/>
      <c r="C557" s="175"/>
      <c r="D557" s="175"/>
      <c r="E557" s="175"/>
      <c r="F557" s="175"/>
      <c r="G557" s="175"/>
      <c r="H557" s="175"/>
      <c r="I557" s="175"/>
      <c r="J557" s="175"/>
      <c r="K557" s="175"/>
      <c r="L557" s="175"/>
      <c r="M557" s="175"/>
      <c r="N557" s="175"/>
      <c r="O557" s="175"/>
      <c r="P557" s="175"/>
      <c r="Q557" s="175"/>
      <c r="R557" s="175"/>
      <c r="S557" s="175"/>
      <c r="T557" s="175"/>
      <c r="U557" s="175"/>
    </row>
    <row r="558" spans="1:21">
      <c r="A558" s="9"/>
      <c r="B558" s="175"/>
      <c r="C558" s="175"/>
      <c r="D558" s="175"/>
      <c r="E558" s="175"/>
      <c r="F558" s="175"/>
      <c r="G558" s="175"/>
      <c r="H558" s="175"/>
      <c r="I558" s="175"/>
      <c r="J558" s="175"/>
      <c r="K558" s="175"/>
      <c r="L558" s="175"/>
      <c r="M558" s="175"/>
      <c r="N558" s="175"/>
      <c r="O558" s="175"/>
      <c r="P558" s="175"/>
      <c r="Q558" s="175"/>
      <c r="R558" s="175"/>
      <c r="S558" s="175"/>
      <c r="T558" s="175"/>
      <c r="U558" s="175"/>
    </row>
    <row r="559" spans="1:21">
      <c r="A559" s="9"/>
      <c r="B559" s="175"/>
      <c r="C559" s="175"/>
      <c r="D559" s="175"/>
      <c r="E559" s="175"/>
      <c r="F559" s="175"/>
      <c r="G559" s="175"/>
      <c r="H559" s="175"/>
      <c r="I559" s="175"/>
      <c r="J559" s="175"/>
      <c r="K559" s="175"/>
      <c r="L559" s="175"/>
      <c r="M559" s="175"/>
      <c r="N559" s="175"/>
      <c r="O559" s="175"/>
      <c r="P559" s="175"/>
      <c r="Q559" s="175"/>
      <c r="R559" s="175"/>
      <c r="S559" s="175"/>
      <c r="T559" s="175"/>
      <c r="U559" s="175"/>
    </row>
    <row r="560" spans="1:21">
      <c r="A560" s="9"/>
      <c r="B560" s="175"/>
      <c r="C560" s="175"/>
      <c r="D560" s="175"/>
      <c r="E560" s="175"/>
      <c r="F560" s="175"/>
      <c r="G560" s="175"/>
      <c r="H560" s="175"/>
      <c r="I560" s="175"/>
      <c r="J560" s="175"/>
      <c r="K560" s="175"/>
      <c r="L560" s="175"/>
      <c r="M560" s="175"/>
      <c r="N560" s="175"/>
      <c r="O560" s="175"/>
      <c r="P560" s="175"/>
      <c r="Q560" s="175"/>
      <c r="R560" s="175"/>
      <c r="S560" s="175"/>
      <c r="T560" s="175"/>
      <c r="U560" s="175"/>
    </row>
    <row r="561" spans="1:21">
      <c r="A561" s="9"/>
      <c r="B561" s="175"/>
      <c r="C561" s="175"/>
      <c r="D561" s="175"/>
      <c r="E561" s="175"/>
      <c r="F561" s="175"/>
      <c r="G561" s="175"/>
      <c r="H561" s="175"/>
      <c r="I561" s="175"/>
      <c r="J561" s="175"/>
      <c r="K561" s="175"/>
      <c r="L561" s="175"/>
      <c r="M561" s="175"/>
      <c r="N561" s="175"/>
      <c r="O561" s="175"/>
      <c r="P561" s="175"/>
      <c r="Q561" s="175"/>
      <c r="R561" s="175"/>
      <c r="S561" s="175"/>
      <c r="T561" s="175"/>
      <c r="U561" s="175"/>
    </row>
    <row r="562" spans="1:21">
      <c r="A562" s="9"/>
      <c r="B562" s="175"/>
      <c r="C562" s="175"/>
      <c r="D562" s="175"/>
      <c r="E562" s="175"/>
      <c r="F562" s="175"/>
      <c r="G562" s="175"/>
      <c r="H562" s="175"/>
      <c r="I562" s="175"/>
      <c r="J562" s="175"/>
      <c r="K562" s="175"/>
      <c r="L562" s="175"/>
      <c r="M562" s="175"/>
      <c r="N562" s="175"/>
      <c r="O562" s="175"/>
      <c r="P562" s="175"/>
      <c r="Q562" s="175"/>
      <c r="R562" s="175"/>
      <c r="S562" s="175"/>
      <c r="T562" s="175"/>
      <c r="U562" s="175"/>
    </row>
    <row r="563" spans="1:21">
      <c r="A563" s="9"/>
      <c r="B563" s="175"/>
      <c r="C563" s="175"/>
      <c r="D563" s="175"/>
      <c r="E563" s="175"/>
      <c r="F563" s="175"/>
      <c r="G563" s="175"/>
      <c r="H563" s="175"/>
      <c r="I563" s="175"/>
      <c r="J563" s="175"/>
      <c r="K563" s="175"/>
      <c r="L563" s="175"/>
      <c r="M563" s="175"/>
      <c r="N563" s="175"/>
      <c r="O563" s="175"/>
      <c r="P563" s="175"/>
      <c r="Q563" s="175"/>
      <c r="R563" s="175"/>
      <c r="S563" s="175"/>
      <c r="T563" s="175"/>
      <c r="U563" s="175"/>
    </row>
    <row r="564" spans="1:21">
      <c r="A564" s="9"/>
      <c r="B564" s="175"/>
      <c r="C564" s="175"/>
      <c r="D564" s="175"/>
      <c r="E564" s="175"/>
      <c r="F564" s="175"/>
      <c r="G564" s="175"/>
      <c r="H564" s="175"/>
      <c r="I564" s="175"/>
      <c r="J564" s="175"/>
      <c r="K564" s="175"/>
      <c r="L564" s="175"/>
      <c r="M564" s="175"/>
      <c r="N564" s="175"/>
      <c r="O564" s="175"/>
      <c r="P564" s="175"/>
      <c r="Q564" s="175"/>
      <c r="R564" s="175"/>
      <c r="S564" s="175"/>
      <c r="T564" s="175"/>
      <c r="U564" s="175"/>
    </row>
    <row r="565" spans="1:21">
      <c r="A565" s="9"/>
      <c r="B565" s="175"/>
      <c r="C565" s="175"/>
      <c r="D565" s="175"/>
      <c r="E565" s="175"/>
      <c r="F565" s="175"/>
      <c r="G565" s="175"/>
      <c r="H565" s="175"/>
      <c r="I565" s="175"/>
      <c r="J565" s="175"/>
      <c r="K565" s="175"/>
      <c r="L565" s="175"/>
      <c r="M565" s="175"/>
      <c r="N565" s="175"/>
      <c r="O565" s="175"/>
      <c r="P565" s="175"/>
      <c r="Q565" s="175"/>
      <c r="R565" s="175"/>
      <c r="S565" s="175"/>
      <c r="T565" s="175"/>
      <c r="U565" s="175"/>
    </row>
    <row r="566" spans="1:21">
      <c r="A566" s="9"/>
      <c r="B566" s="175"/>
      <c r="C566" s="175"/>
      <c r="D566" s="175"/>
      <c r="E566" s="175"/>
      <c r="F566" s="175"/>
      <c r="G566" s="175"/>
      <c r="H566" s="175"/>
      <c r="I566" s="175"/>
      <c r="J566" s="175"/>
      <c r="K566" s="175"/>
      <c r="L566" s="175"/>
      <c r="M566" s="175"/>
      <c r="N566" s="175"/>
      <c r="O566" s="175"/>
      <c r="P566" s="175"/>
      <c r="Q566" s="175"/>
      <c r="R566" s="175"/>
      <c r="S566" s="175"/>
      <c r="T566" s="175"/>
      <c r="U566" s="175"/>
    </row>
    <row r="567" spans="1:21">
      <c r="A567" s="9"/>
      <c r="B567" s="175"/>
      <c r="C567" s="175"/>
      <c r="D567" s="175"/>
      <c r="E567" s="175"/>
      <c r="F567" s="175"/>
      <c r="G567" s="175"/>
      <c r="H567" s="175"/>
      <c r="I567" s="175"/>
      <c r="J567" s="175"/>
      <c r="K567" s="175"/>
      <c r="L567" s="175"/>
      <c r="M567" s="175"/>
      <c r="N567" s="175"/>
      <c r="O567" s="175"/>
      <c r="P567" s="175"/>
      <c r="Q567" s="175"/>
      <c r="R567" s="175"/>
      <c r="S567" s="175"/>
      <c r="T567" s="175"/>
      <c r="U567" s="175"/>
    </row>
    <row r="568" spans="1:21">
      <c r="A568" s="9"/>
      <c r="B568" s="175"/>
      <c r="C568" s="175"/>
      <c r="D568" s="175"/>
      <c r="E568" s="175"/>
      <c r="F568" s="175"/>
      <c r="G568" s="175"/>
      <c r="H568" s="175"/>
      <c r="I568" s="175"/>
      <c r="J568" s="175"/>
      <c r="K568" s="175"/>
      <c r="L568" s="175"/>
      <c r="M568" s="175"/>
      <c r="N568" s="175"/>
      <c r="O568" s="175"/>
      <c r="P568" s="175"/>
      <c r="Q568" s="175"/>
      <c r="R568" s="175"/>
      <c r="S568" s="175"/>
      <c r="T568" s="175"/>
      <c r="U568" s="175"/>
    </row>
    <row r="569" spans="1:21">
      <c r="A569" s="9"/>
      <c r="B569" s="175"/>
      <c r="C569" s="175"/>
      <c r="D569" s="175"/>
      <c r="E569" s="175"/>
      <c r="F569" s="175"/>
      <c r="G569" s="175"/>
      <c r="H569" s="175"/>
      <c r="I569" s="175"/>
      <c r="J569" s="175"/>
      <c r="K569" s="175"/>
      <c r="L569" s="175"/>
      <c r="M569" s="175"/>
      <c r="N569" s="175"/>
      <c r="O569" s="175"/>
      <c r="P569" s="175"/>
      <c r="Q569" s="175"/>
      <c r="R569" s="175"/>
      <c r="S569" s="175"/>
      <c r="T569" s="175"/>
      <c r="U569" s="175"/>
    </row>
    <row r="570" spans="1:21">
      <c r="A570" s="9"/>
      <c r="B570" s="175"/>
      <c r="C570" s="175"/>
      <c r="D570" s="175"/>
      <c r="E570" s="175"/>
      <c r="F570" s="175"/>
      <c r="G570" s="175"/>
      <c r="H570" s="175"/>
      <c r="I570" s="175"/>
      <c r="J570" s="175"/>
      <c r="K570" s="175"/>
      <c r="L570" s="175"/>
      <c r="M570" s="175"/>
      <c r="N570" s="175"/>
      <c r="O570" s="175"/>
      <c r="P570" s="175"/>
      <c r="Q570" s="175"/>
      <c r="R570" s="175"/>
      <c r="S570" s="175"/>
      <c r="T570" s="175"/>
      <c r="U570" s="175"/>
    </row>
    <row r="571" spans="1:21">
      <c r="A571" s="9"/>
      <c r="B571" s="175"/>
      <c r="C571" s="175"/>
      <c r="D571" s="175"/>
      <c r="E571" s="175"/>
      <c r="F571" s="175"/>
      <c r="G571" s="175"/>
      <c r="H571" s="175"/>
      <c r="I571" s="175"/>
      <c r="J571" s="175"/>
      <c r="K571" s="175"/>
      <c r="L571" s="175"/>
      <c r="M571" s="175"/>
      <c r="N571" s="175"/>
      <c r="O571" s="175"/>
      <c r="P571" s="175"/>
      <c r="Q571" s="175"/>
      <c r="R571" s="175"/>
      <c r="S571" s="175"/>
      <c r="T571" s="175"/>
      <c r="U571" s="175"/>
    </row>
    <row r="572" spans="1:21">
      <c r="A572" s="9"/>
      <c r="B572" s="175"/>
      <c r="C572" s="175"/>
      <c r="D572" s="175"/>
      <c r="E572" s="175"/>
      <c r="F572" s="175"/>
      <c r="G572" s="175"/>
      <c r="H572" s="175"/>
      <c r="I572" s="175"/>
      <c r="J572" s="175"/>
      <c r="K572" s="175"/>
      <c r="L572" s="175"/>
      <c r="M572" s="175"/>
      <c r="N572" s="175"/>
      <c r="O572" s="175"/>
      <c r="P572" s="175"/>
      <c r="Q572" s="175"/>
      <c r="R572" s="175"/>
      <c r="S572" s="175"/>
      <c r="T572" s="175"/>
      <c r="U572" s="175"/>
    </row>
    <row r="573" spans="1:21">
      <c r="A573" s="9"/>
      <c r="B573" s="175"/>
      <c r="C573" s="175"/>
      <c r="D573" s="175"/>
      <c r="E573" s="175"/>
      <c r="F573" s="175"/>
      <c r="G573" s="175"/>
      <c r="H573" s="175"/>
      <c r="I573" s="175"/>
      <c r="J573" s="175"/>
      <c r="K573" s="175"/>
      <c r="L573" s="175"/>
      <c r="M573" s="175"/>
      <c r="N573" s="175"/>
      <c r="O573" s="175"/>
      <c r="P573" s="175"/>
      <c r="Q573" s="175"/>
      <c r="R573" s="175"/>
      <c r="S573" s="175"/>
      <c r="T573" s="175"/>
      <c r="U573" s="175"/>
    </row>
    <row r="574" spans="1:21">
      <c r="A574" s="9"/>
      <c r="B574" s="175"/>
      <c r="C574" s="175"/>
      <c r="D574" s="175"/>
      <c r="E574" s="175"/>
      <c r="F574" s="175"/>
      <c r="G574" s="175"/>
      <c r="H574" s="175"/>
      <c r="I574" s="175"/>
      <c r="J574" s="175"/>
      <c r="K574" s="175"/>
      <c r="L574" s="175"/>
      <c r="M574" s="175"/>
      <c r="N574" s="175"/>
      <c r="O574" s="175"/>
      <c r="P574" s="175"/>
      <c r="Q574" s="175"/>
      <c r="R574" s="175"/>
      <c r="S574" s="175"/>
      <c r="T574" s="175"/>
      <c r="U574" s="175"/>
    </row>
    <row r="575" spans="1:21">
      <c r="A575" s="9"/>
      <c r="B575" s="175"/>
      <c r="C575" s="175"/>
      <c r="D575" s="175"/>
      <c r="E575" s="175"/>
      <c r="F575" s="175"/>
      <c r="G575" s="175"/>
      <c r="H575" s="175"/>
      <c r="I575" s="175"/>
      <c r="J575" s="175"/>
      <c r="K575" s="175"/>
      <c r="L575" s="175"/>
      <c r="M575" s="175"/>
      <c r="N575" s="175"/>
      <c r="O575" s="175"/>
      <c r="P575" s="175"/>
      <c r="Q575" s="175"/>
      <c r="R575" s="175"/>
      <c r="S575" s="175"/>
      <c r="T575" s="175"/>
      <c r="U575" s="175"/>
    </row>
    <row r="576" spans="1:21">
      <c r="A576" s="9"/>
      <c r="B576" s="175"/>
      <c r="C576" s="175"/>
      <c r="D576" s="175"/>
      <c r="E576" s="175"/>
      <c r="F576" s="175"/>
      <c r="G576" s="175"/>
      <c r="H576" s="175"/>
      <c r="I576" s="175"/>
      <c r="J576" s="175"/>
      <c r="K576" s="175"/>
      <c r="L576" s="175"/>
      <c r="M576" s="175"/>
      <c r="N576" s="175"/>
      <c r="O576" s="175"/>
      <c r="P576" s="175"/>
      <c r="Q576" s="175"/>
      <c r="R576" s="175"/>
      <c r="S576" s="175"/>
      <c r="T576" s="175"/>
      <c r="U576" s="175"/>
    </row>
    <row r="577" spans="1:21">
      <c r="A577" s="9"/>
      <c r="B577" s="175"/>
      <c r="C577" s="175"/>
      <c r="D577" s="175"/>
      <c r="E577" s="175"/>
      <c r="F577" s="175"/>
      <c r="G577" s="175"/>
      <c r="H577" s="175"/>
      <c r="I577" s="175"/>
      <c r="J577" s="175"/>
      <c r="K577" s="175"/>
      <c r="L577" s="175"/>
      <c r="M577" s="175"/>
      <c r="N577" s="175"/>
      <c r="O577" s="175"/>
      <c r="P577" s="175"/>
      <c r="Q577" s="175"/>
      <c r="R577" s="175"/>
      <c r="S577" s="175"/>
      <c r="T577" s="175"/>
      <c r="U577" s="175"/>
    </row>
    <row r="578" spans="1:21">
      <c r="A578" s="9"/>
      <c r="B578" s="175"/>
      <c r="C578" s="175"/>
      <c r="D578" s="175"/>
      <c r="E578" s="175"/>
      <c r="F578" s="175"/>
      <c r="G578" s="175"/>
      <c r="H578" s="175"/>
      <c r="I578" s="175"/>
      <c r="J578" s="175"/>
      <c r="K578" s="175"/>
      <c r="L578" s="175"/>
      <c r="M578" s="175"/>
      <c r="N578" s="175"/>
      <c r="O578" s="175"/>
      <c r="P578" s="175"/>
      <c r="Q578" s="175"/>
      <c r="R578" s="175"/>
      <c r="S578" s="175"/>
      <c r="T578" s="175"/>
      <c r="U578" s="175"/>
    </row>
    <row r="579" spans="1:21">
      <c r="A579" s="9"/>
      <c r="B579" s="175"/>
      <c r="C579" s="175"/>
      <c r="D579" s="175"/>
      <c r="E579" s="175"/>
      <c r="F579" s="175"/>
      <c r="G579" s="175"/>
      <c r="H579" s="175"/>
      <c r="I579" s="175"/>
      <c r="J579" s="175"/>
      <c r="K579" s="175"/>
      <c r="L579" s="175"/>
      <c r="M579" s="175"/>
      <c r="N579" s="175"/>
      <c r="O579" s="175"/>
      <c r="P579" s="175"/>
      <c r="Q579" s="175"/>
      <c r="R579" s="175"/>
      <c r="S579" s="175"/>
      <c r="T579" s="175"/>
      <c r="U579" s="175"/>
    </row>
    <row r="580" spans="1:21">
      <c r="A580" s="9"/>
      <c r="B580" s="175"/>
      <c r="C580" s="175"/>
      <c r="D580" s="175"/>
      <c r="E580" s="175"/>
      <c r="F580" s="175"/>
      <c r="G580" s="175"/>
      <c r="H580" s="175"/>
      <c r="I580" s="175"/>
      <c r="J580" s="175"/>
      <c r="K580" s="175"/>
      <c r="L580" s="175"/>
      <c r="M580" s="175"/>
      <c r="N580" s="175"/>
      <c r="O580" s="175"/>
      <c r="P580" s="175"/>
      <c r="Q580" s="175"/>
      <c r="R580" s="175"/>
      <c r="S580" s="175"/>
      <c r="T580" s="175"/>
      <c r="U580" s="175"/>
    </row>
    <row r="581" spans="1:21">
      <c r="A581" s="9"/>
      <c r="B581" s="175"/>
      <c r="C581" s="175"/>
      <c r="D581" s="175"/>
      <c r="E581" s="175"/>
      <c r="F581" s="175"/>
      <c r="G581" s="175"/>
      <c r="H581" s="175"/>
      <c r="I581" s="175"/>
      <c r="J581" s="175"/>
      <c r="K581" s="175"/>
      <c r="L581" s="175"/>
      <c r="M581" s="175"/>
      <c r="N581" s="175"/>
      <c r="O581" s="175"/>
      <c r="P581" s="175"/>
      <c r="Q581" s="175"/>
      <c r="R581" s="175"/>
      <c r="S581" s="175"/>
      <c r="T581" s="175"/>
      <c r="U581" s="175"/>
    </row>
    <row r="582" spans="1:21">
      <c r="A582" s="9"/>
      <c r="B582" s="175"/>
      <c r="C582" s="175"/>
      <c r="D582" s="175"/>
      <c r="E582" s="175"/>
      <c r="F582" s="175"/>
      <c r="G582" s="175"/>
      <c r="H582" s="175"/>
      <c r="I582" s="175"/>
      <c r="J582" s="175"/>
      <c r="K582" s="175"/>
      <c r="L582" s="175"/>
      <c r="M582" s="175"/>
      <c r="N582" s="175"/>
      <c r="O582" s="175"/>
      <c r="P582" s="175"/>
      <c r="Q582" s="175"/>
      <c r="R582" s="175"/>
      <c r="S582" s="175"/>
      <c r="T582" s="175"/>
      <c r="U582" s="175"/>
    </row>
    <row r="583" spans="1:21">
      <c r="A583" s="9"/>
      <c r="B583" s="175"/>
      <c r="C583" s="175"/>
      <c r="D583" s="175"/>
      <c r="E583" s="175"/>
      <c r="F583" s="175"/>
      <c r="G583" s="175"/>
      <c r="H583" s="175"/>
      <c r="I583" s="175"/>
      <c r="J583" s="175"/>
      <c r="K583" s="175"/>
      <c r="L583" s="175"/>
      <c r="M583" s="175"/>
      <c r="N583" s="175"/>
      <c r="O583" s="175"/>
      <c r="P583" s="175"/>
      <c r="Q583" s="175"/>
      <c r="R583" s="175"/>
      <c r="S583" s="175"/>
      <c r="T583" s="175"/>
      <c r="U583" s="175"/>
    </row>
    <row r="584" spans="1:21">
      <c r="A584" s="9"/>
      <c r="B584" s="175"/>
      <c r="C584" s="175"/>
      <c r="D584" s="175"/>
      <c r="E584" s="175"/>
      <c r="F584" s="175"/>
      <c r="G584" s="175"/>
      <c r="H584" s="175"/>
      <c r="I584" s="175"/>
      <c r="J584" s="175"/>
      <c r="K584" s="175"/>
      <c r="L584" s="175"/>
      <c r="M584" s="175"/>
      <c r="N584" s="175"/>
      <c r="O584" s="175"/>
      <c r="P584" s="175"/>
      <c r="Q584" s="175"/>
      <c r="R584" s="175"/>
      <c r="S584" s="175"/>
      <c r="T584" s="175"/>
      <c r="U584" s="175"/>
    </row>
    <row r="585" spans="1:21">
      <c r="A585" s="9"/>
      <c r="B585" s="175"/>
      <c r="C585" s="175"/>
      <c r="D585" s="175"/>
      <c r="E585" s="175"/>
      <c r="F585" s="175"/>
      <c r="G585" s="175"/>
      <c r="H585" s="175"/>
      <c r="I585" s="175"/>
      <c r="J585" s="175"/>
      <c r="K585" s="175"/>
      <c r="L585" s="175"/>
      <c r="M585" s="175"/>
      <c r="N585" s="175"/>
      <c r="O585" s="175"/>
      <c r="P585" s="175"/>
      <c r="Q585" s="175"/>
      <c r="R585" s="175"/>
      <c r="S585" s="175"/>
      <c r="T585" s="175"/>
      <c r="U585" s="175"/>
    </row>
    <row r="586" spans="1:21">
      <c r="A586" s="9"/>
      <c r="B586" s="175"/>
      <c r="C586" s="175"/>
      <c r="D586" s="175"/>
      <c r="E586" s="175"/>
      <c r="F586" s="175"/>
      <c r="G586" s="175"/>
      <c r="H586" s="175"/>
      <c r="I586" s="175"/>
      <c r="J586" s="175"/>
      <c r="K586" s="175"/>
      <c r="L586" s="175"/>
      <c r="M586" s="175"/>
      <c r="N586" s="175"/>
      <c r="O586" s="175"/>
      <c r="P586" s="175"/>
      <c r="Q586" s="175"/>
      <c r="R586" s="175"/>
      <c r="S586" s="175"/>
      <c r="T586" s="175"/>
      <c r="U586" s="175"/>
    </row>
    <row r="587" spans="1:21">
      <c r="A587" s="9"/>
      <c r="B587" s="175"/>
      <c r="C587" s="175"/>
      <c r="D587" s="175"/>
      <c r="E587" s="175"/>
      <c r="F587" s="175"/>
      <c r="G587" s="175"/>
      <c r="H587" s="175"/>
      <c r="I587" s="175"/>
      <c r="J587" s="175"/>
      <c r="K587" s="175"/>
      <c r="L587" s="175"/>
      <c r="M587" s="175"/>
      <c r="N587" s="175"/>
      <c r="O587" s="175"/>
      <c r="P587" s="175"/>
      <c r="Q587" s="175"/>
      <c r="R587" s="175"/>
      <c r="S587" s="175"/>
      <c r="T587" s="175"/>
      <c r="U587" s="175"/>
    </row>
    <row r="588" spans="1:21">
      <c r="A588" s="9"/>
      <c r="B588" s="175"/>
      <c r="C588" s="175"/>
      <c r="D588" s="175"/>
      <c r="E588" s="175"/>
      <c r="F588" s="175"/>
      <c r="G588" s="175"/>
      <c r="H588" s="175"/>
      <c r="I588" s="175"/>
      <c r="J588" s="175"/>
      <c r="K588" s="175"/>
      <c r="L588" s="175"/>
      <c r="M588" s="175"/>
      <c r="N588" s="175"/>
      <c r="O588" s="175"/>
      <c r="P588" s="175"/>
      <c r="Q588" s="175"/>
      <c r="R588" s="175"/>
      <c r="S588" s="175"/>
      <c r="T588" s="175"/>
      <c r="U588" s="175"/>
    </row>
    <row r="589" spans="1:21">
      <c r="A589" s="9"/>
      <c r="B589" s="175"/>
      <c r="C589" s="175"/>
      <c r="D589" s="175"/>
      <c r="E589" s="175"/>
      <c r="F589" s="175"/>
      <c r="G589" s="175"/>
      <c r="H589" s="175"/>
      <c r="I589" s="175"/>
      <c r="J589" s="175"/>
      <c r="K589" s="175"/>
      <c r="L589" s="175"/>
      <c r="M589" s="175"/>
      <c r="N589" s="175"/>
      <c r="O589" s="175"/>
      <c r="P589" s="175"/>
      <c r="Q589" s="175"/>
      <c r="R589" s="175"/>
      <c r="S589" s="175"/>
      <c r="T589" s="175"/>
      <c r="U589" s="175"/>
    </row>
    <row r="590" spans="1:21">
      <c r="B590" s="175"/>
      <c r="C590" s="175"/>
      <c r="D590" s="175"/>
      <c r="E590" s="175"/>
      <c r="F590" s="175"/>
      <c r="G590" s="175"/>
      <c r="H590" s="175"/>
      <c r="I590" s="175"/>
      <c r="J590" s="175"/>
      <c r="K590" s="175"/>
      <c r="L590" s="175"/>
      <c r="M590" s="175"/>
      <c r="N590" s="175"/>
      <c r="O590" s="175"/>
      <c r="P590" s="175"/>
      <c r="Q590" s="175"/>
      <c r="R590" s="175"/>
      <c r="S590" s="175"/>
      <c r="T590" s="175"/>
      <c r="U590" s="175"/>
    </row>
    <row r="591" spans="1:21">
      <c r="B591" s="175"/>
      <c r="C591" s="175"/>
      <c r="D591" s="175"/>
      <c r="E591" s="175"/>
      <c r="F591" s="175"/>
      <c r="G591" s="175"/>
      <c r="H591" s="175"/>
      <c r="I591" s="175"/>
      <c r="J591" s="175"/>
      <c r="K591" s="175"/>
      <c r="L591" s="175"/>
      <c r="M591" s="175"/>
      <c r="N591" s="175"/>
      <c r="O591" s="175"/>
      <c r="P591" s="175"/>
      <c r="Q591" s="175"/>
      <c r="R591" s="175"/>
      <c r="S591" s="175"/>
      <c r="T591" s="175"/>
      <c r="U591" s="175"/>
    </row>
    <row r="592" spans="1:21">
      <c r="B592" s="175"/>
      <c r="C592" s="175"/>
      <c r="D592" s="175"/>
      <c r="E592" s="175"/>
      <c r="F592" s="175"/>
      <c r="G592" s="175"/>
      <c r="H592" s="175"/>
      <c r="I592" s="175"/>
      <c r="J592" s="175"/>
      <c r="K592" s="175"/>
      <c r="L592" s="175"/>
      <c r="M592" s="175"/>
      <c r="N592" s="175"/>
      <c r="O592" s="175"/>
      <c r="P592" s="175"/>
      <c r="Q592" s="175"/>
      <c r="R592" s="175"/>
      <c r="S592" s="175"/>
      <c r="T592" s="175"/>
      <c r="U592" s="175"/>
    </row>
    <row r="593" spans="2:21">
      <c r="B593" s="175"/>
      <c r="C593" s="175"/>
      <c r="D593" s="175"/>
      <c r="E593" s="175"/>
      <c r="F593" s="175"/>
      <c r="G593" s="175"/>
      <c r="H593" s="175"/>
      <c r="I593" s="175"/>
      <c r="J593" s="175"/>
      <c r="K593" s="175"/>
      <c r="L593" s="175"/>
      <c r="M593" s="175"/>
      <c r="N593" s="175"/>
      <c r="O593" s="175"/>
      <c r="P593" s="175"/>
      <c r="Q593" s="175"/>
      <c r="R593" s="175"/>
      <c r="S593" s="175"/>
      <c r="T593" s="175"/>
      <c r="U593" s="175"/>
    </row>
    <row r="594" spans="2:21">
      <c r="B594" s="175"/>
      <c r="C594" s="175"/>
      <c r="D594" s="175"/>
      <c r="E594" s="175"/>
      <c r="F594" s="175"/>
      <c r="G594" s="175"/>
      <c r="H594" s="175"/>
      <c r="I594" s="175"/>
      <c r="J594" s="175"/>
      <c r="K594" s="175"/>
      <c r="L594" s="175"/>
      <c r="M594" s="175"/>
      <c r="N594" s="175"/>
      <c r="O594" s="175"/>
      <c r="P594" s="175"/>
      <c r="Q594" s="175"/>
      <c r="R594" s="175"/>
      <c r="S594" s="175"/>
      <c r="T594" s="175"/>
      <c r="U594" s="175"/>
    </row>
    <row r="595" spans="2:21">
      <c r="B595" s="175"/>
      <c r="C595" s="175"/>
      <c r="D595" s="175"/>
      <c r="E595" s="175"/>
      <c r="F595" s="175"/>
      <c r="G595" s="175"/>
      <c r="H595" s="175"/>
      <c r="I595" s="175"/>
      <c r="J595" s="175"/>
      <c r="K595" s="175"/>
      <c r="L595" s="175"/>
      <c r="M595" s="175"/>
      <c r="N595" s="175"/>
      <c r="O595" s="175"/>
      <c r="P595" s="175"/>
      <c r="Q595" s="175"/>
      <c r="R595" s="175"/>
      <c r="S595" s="175"/>
      <c r="T595" s="175"/>
      <c r="U595" s="175"/>
    </row>
    <row r="596" spans="2:21">
      <c r="B596" s="175"/>
      <c r="C596" s="175"/>
      <c r="D596" s="175"/>
      <c r="E596" s="175"/>
      <c r="F596" s="175"/>
      <c r="G596" s="175"/>
      <c r="H596" s="175"/>
      <c r="I596" s="175"/>
      <c r="J596" s="175"/>
      <c r="K596" s="175"/>
      <c r="L596" s="175"/>
      <c r="M596" s="175"/>
      <c r="N596" s="175"/>
      <c r="O596" s="175"/>
      <c r="P596" s="175"/>
      <c r="Q596" s="175"/>
      <c r="R596" s="175"/>
      <c r="S596" s="175"/>
      <c r="T596" s="175"/>
      <c r="U596" s="175"/>
    </row>
    <row r="597" spans="2:21">
      <c r="B597" s="175"/>
      <c r="C597" s="175"/>
      <c r="D597" s="175"/>
      <c r="E597" s="175"/>
      <c r="F597" s="175"/>
      <c r="G597" s="175"/>
      <c r="H597" s="175"/>
      <c r="I597" s="175"/>
      <c r="J597" s="175"/>
      <c r="K597" s="175"/>
      <c r="L597" s="175"/>
      <c r="M597" s="175"/>
      <c r="N597" s="175"/>
      <c r="O597" s="175"/>
      <c r="P597" s="175"/>
      <c r="Q597" s="175"/>
      <c r="R597" s="175"/>
      <c r="S597" s="175"/>
      <c r="T597" s="175"/>
      <c r="U597" s="175"/>
    </row>
    <row r="598" spans="2:21">
      <c r="B598" s="175"/>
      <c r="C598" s="175"/>
      <c r="D598" s="175"/>
      <c r="E598" s="175"/>
      <c r="F598" s="175"/>
      <c r="G598" s="175"/>
      <c r="H598" s="175"/>
      <c r="I598" s="175"/>
      <c r="J598" s="175"/>
      <c r="K598" s="175"/>
      <c r="L598" s="175"/>
      <c r="M598" s="175"/>
      <c r="N598" s="175"/>
      <c r="O598" s="175"/>
      <c r="P598" s="175"/>
      <c r="Q598" s="175"/>
      <c r="R598" s="175"/>
      <c r="S598" s="175"/>
      <c r="T598" s="175"/>
      <c r="U598" s="175"/>
    </row>
    <row r="599" spans="2:21">
      <c r="B599" s="175"/>
      <c r="C599" s="175"/>
      <c r="D599" s="175"/>
      <c r="E599" s="175"/>
      <c r="F599" s="175"/>
      <c r="G599" s="175"/>
      <c r="H599" s="175"/>
      <c r="I599" s="175"/>
      <c r="J599" s="175"/>
      <c r="K599" s="175"/>
      <c r="L599" s="175"/>
      <c r="M599" s="175"/>
      <c r="N599" s="175"/>
      <c r="O599" s="175"/>
      <c r="P599" s="175"/>
      <c r="Q599" s="175"/>
      <c r="R599" s="175"/>
      <c r="S599" s="175"/>
      <c r="T599" s="175"/>
      <c r="U599" s="175"/>
    </row>
    <row r="600" spans="2:21">
      <c r="B600" s="175"/>
      <c r="C600" s="175"/>
      <c r="D600" s="175"/>
      <c r="E600" s="175"/>
      <c r="F600" s="175"/>
      <c r="G600" s="175"/>
      <c r="H600" s="175"/>
      <c r="I600" s="175"/>
      <c r="J600" s="175"/>
      <c r="K600" s="175"/>
      <c r="L600" s="175"/>
      <c r="M600" s="175"/>
      <c r="N600" s="175"/>
      <c r="O600" s="175"/>
      <c r="P600" s="175"/>
      <c r="Q600" s="175"/>
      <c r="R600" s="175"/>
      <c r="S600" s="175"/>
      <c r="T600" s="175"/>
      <c r="U600" s="175"/>
    </row>
    <row r="601" spans="2:21">
      <c r="B601" s="175"/>
      <c r="C601" s="175"/>
      <c r="D601" s="175"/>
      <c r="E601" s="175"/>
      <c r="F601" s="175"/>
      <c r="G601" s="175"/>
      <c r="H601" s="175"/>
      <c r="I601" s="175"/>
      <c r="J601" s="175"/>
      <c r="K601" s="175"/>
      <c r="L601" s="175"/>
      <c r="M601" s="175"/>
      <c r="N601" s="175"/>
      <c r="O601" s="175"/>
      <c r="P601" s="175"/>
      <c r="Q601" s="175"/>
      <c r="R601" s="175"/>
      <c r="S601" s="175"/>
      <c r="T601" s="175"/>
      <c r="U601" s="175"/>
    </row>
    <row r="602" spans="2:21">
      <c r="B602" s="175"/>
      <c r="C602" s="175"/>
      <c r="D602" s="175"/>
      <c r="E602" s="175"/>
      <c r="F602" s="175"/>
      <c r="G602" s="175"/>
      <c r="H602" s="175"/>
      <c r="I602" s="175"/>
      <c r="J602" s="175"/>
      <c r="K602" s="175"/>
      <c r="L602" s="175"/>
      <c r="M602" s="175"/>
      <c r="N602" s="175"/>
      <c r="O602" s="175"/>
      <c r="P602" s="175"/>
      <c r="Q602" s="175"/>
      <c r="R602" s="175"/>
      <c r="S602" s="175"/>
      <c r="T602" s="175"/>
      <c r="U602" s="175"/>
    </row>
    <row r="603" spans="2:21">
      <c r="B603" s="175"/>
      <c r="C603" s="175"/>
      <c r="D603" s="175"/>
      <c r="E603" s="175"/>
      <c r="F603" s="175"/>
      <c r="G603" s="175"/>
      <c r="H603" s="175"/>
      <c r="I603" s="175"/>
      <c r="J603" s="175"/>
      <c r="K603" s="175"/>
      <c r="L603" s="175"/>
      <c r="M603" s="175"/>
      <c r="N603" s="175"/>
      <c r="O603" s="175"/>
      <c r="P603" s="175"/>
      <c r="Q603" s="175"/>
      <c r="R603" s="175"/>
      <c r="S603" s="175"/>
      <c r="T603" s="175"/>
      <c r="U603" s="175"/>
    </row>
    <row r="604" spans="2:21">
      <c r="B604" s="175"/>
      <c r="C604" s="175"/>
      <c r="D604" s="175"/>
      <c r="E604" s="175"/>
      <c r="F604" s="175"/>
      <c r="G604" s="175"/>
      <c r="H604" s="175"/>
      <c r="I604" s="175"/>
      <c r="J604" s="175"/>
      <c r="K604" s="175"/>
      <c r="L604" s="175"/>
      <c r="M604" s="175"/>
      <c r="N604" s="175"/>
      <c r="O604" s="175"/>
      <c r="P604" s="175"/>
      <c r="Q604" s="175"/>
      <c r="R604" s="175"/>
      <c r="S604" s="175"/>
      <c r="T604" s="175"/>
      <c r="U604" s="175"/>
    </row>
    <row r="686" spans="1:32" s="50" customFormat="1" ht="11.25" customHeight="1">
      <c r="A686" s="82"/>
      <c r="B686" s="82"/>
      <c r="C686" s="82"/>
      <c r="D686" s="43"/>
      <c r="E686" s="43"/>
      <c r="F686" s="43"/>
      <c r="G686" s="48"/>
      <c r="H686" s="48"/>
      <c r="I686" s="48"/>
      <c r="J686" s="48"/>
      <c r="K686" s="82"/>
      <c r="L686" s="82"/>
      <c r="M686" s="82"/>
      <c r="N686" s="43"/>
      <c r="O686" s="48"/>
      <c r="P686" s="48"/>
      <c r="Q686" s="82"/>
      <c r="AE686" s="58"/>
      <c r="AF686" s="58"/>
    </row>
    <row r="687" spans="1:32" s="50" customFormat="1" ht="11.25" customHeight="1">
      <c r="A687" s="48"/>
      <c r="B687" s="48"/>
      <c r="C687" s="48"/>
      <c r="D687" s="43"/>
      <c r="E687" s="43"/>
      <c r="F687" s="43"/>
      <c r="G687" s="48"/>
      <c r="H687" s="48"/>
      <c r="I687" s="48"/>
      <c r="J687" s="48"/>
      <c r="K687" s="48"/>
      <c r="L687" s="48"/>
      <c r="M687" s="48"/>
      <c r="N687" s="43"/>
      <c r="O687" s="48"/>
      <c r="P687" s="48"/>
      <c r="Q687" s="48"/>
      <c r="AE687" s="58"/>
      <c r="AF687" s="58"/>
    </row>
    <row r="688" spans="1:32" s="50" customFormat="1" ht="11.25" customHeight="1">
      <c r="A688" s="48"/>
      <c r="B688" s="48"/>
      <c r="C688" s="48"/>
      <c r="D688" s="43"/>
      <c r="E688" s="43"/>
      <c r="F688" s="43"/>
      <c r="G688" s="48"/>
      <c r="H688" s="48"/>
      <c r="I688" s="48"/>
      <c r="J688" s="48"/>
      <c r="K688" s="48"/>
      <c r="L688" s="48"/>
      <c r="M688" s="48"/>
      <c r="N688" s="43"/>
      <c r="O688" s="48"/>
      <c r="P688" s="48"/>
      <c r="Q688" s="48"/>
      <c r="AE688" s="58"/>
      <c r="AF688" s="58"/>
    </row>
    <row r="689" spans="1:32" s="50" customFormat="1" ht="11.25" customHeight="1">
      <c r="A689" s="48"/>
      <c r="B689" s="48"/>
      <c r="C689" s="48"/>
      <c r="D689" s="43"/>
      <c r="E689" s="43"/>
      <c r="F689" s="43"/>
      <c r="G689" s="48"/>
      <c r="H689" s="48"/>
      <c r="I689" s="48"/>
      <c r="J689" s="48"/>
      <c r="K689" s="48"/>
      <c r="L689" s="48"/>
      <c r="M689" s="48"/>
      <c r="N689" s="43"/>
      <c r="O689" s="48"/>
      <c r="P689" s="48"/>
      <c r="Q689" s="48"/>
      <c r="AE689" s="58"/>
      <c r="AF689" s="58"/>
    </row>
    <row r="690" spans="1:32" s="50" customFormat="1" ht="11.25" customHeight="1">
      <c r="A690" s="48"/>
      <c r="B690" s="48"/>
      <c r="C690" s="48"/>
      <c r="D690" s="43"/>
      <c r="E690" s="43"/>
      <c r="F690" s="43"/>
      <c r="G690" s="43"/>
      <c r="H690" s="43"/>
      <c r="I690" s="48"/>
      <c r="J690" s="48"/>
      <c r="K690" s="48"/>
      <c r="L690" s="48"/>
      <c r="M690" s="48"/>
      <c r="N690" s="43"/>
      <c r="O690" s="48"/>
      <c r="P690" s="43"/>
      <c r="Q690" s="48"/>
      <c r="AE690" s="58"/>
      <c r="AF690" s="58"/>
    </row>
    <row r="691" spans="1:32">
      <c r="A691" s="48"/>
      <c r="B691" s="48"/>
      <c r="C691" s="48"/>
      <c r="K691" s="48"/>
      <c r="L691" s="48"/>
      <c r="M691" s="48"/>
      <c r="Q691" s="48"/>
    </row>
  </sheetData>
  <sheetProtection password="ACD2" sheet="1" objects="1" scenarios="1" formatColumns="0" formatRows="0"/>
  <mergeCells count="233">
    <mergeCell ref="C322:N322"/>
    <mergeCell ref="C395:N395"/>
    <mergeCell ref="A43:E46"/>
    <mergeCell ref="C396:N396"/>
    <mergeCell ref="P351:Q351"/>
    <mergeCell ref="A346:Q346"/>
    <mergeCell ref="P48:Q52"/>
    <mergeCell ref="A326:Q326"/>
    <mergeCell ref="P317:Q317"/>
    <mergeCell ref="A324:Q324"/>
    <mergeCell ref="A315:Q315"/>
    <mergeCell ref="C318:N318"/>
    <mergeCell ref="C319:N319"/>
    <mergeCell ref="J342:L342"/>
    <mergeCell ref="C294:M294"/>
    <mergeCell ref="A303:Q303"/>
    <mergeCell ref="A144:Q144"/>
    <mergeCell ref="C161:N161"/>
    <mergeCell ref="C255:N255"/>
    <mergeCell ref="G296:N296"/>
    <mergeCell ref="A337:Q337"/>
    <mergeCell ref="D296:F296"/>
    <mergeCell ref="M311:O311"/>
    <mergeCell ref="D227:H227"/>
    <mergeCell ref="A406:Q406"/>
    <mergeCell ref="M81:P81"/>
    <mergeCell ref="A387:Q387"/>
    <mergeCell ref="A385:Q385"/>
    <mergeCell ref="A398:Q398"/>
    <mergeCell ref="C392:N392"/>
    <mergeCell ref="C393:N393"/>
    <mergeCell ref="C391:N391"/>
    <mergeCell ref="C390:N390"/>
    <mergeCell ref="P360:Q360"/>
    <mergeCell ref="A348:Q348"/>
    <mergeCell ref="K149:L149"/>
    <mergeCell ref="M342:Q342"/>
    <mergeCell ref="A313:Q313"/>
    <mergeCell ref="C344:N344"/>
    <mergeCell ref="A215:Q215"/>
    <mergeCell ref="C293:N293"/>
    <mergeCell ref="N383:Q383"/>
    <mergeCell ref="C321:N321"/>
    <mergeCell ref="C298:N298"/>
    <mergeCell ref="D300:N300"/>
    <mergeCell ref="D299:N299"/>
    <mergeCell ref="G295:N295"/>
    <mergeCell ref="G206:K206"/>
    <mergeCell ref="M310:O310"/>
    <mergeCell ref="P252:Q252"/>
    <mergeCell ref="P217:Q217"/>
    <mergeCell ref="C351:L351"/>
    <mergeCell ref="P350:Q350"/>
    <mergeCell ref="C333:N333"/>
    <mergeCell ref="A288:Q288"/>
    <mergeCell ref="A286:Q286"/>
    <mergeCell ref="L220:M220"/>
    <mergeCell ref="A277:Q277"/>
    <mergeCell ref="P289:Q289"/>
    <mergeCell ref="M251:O251"/>
    <mergeCell ref="A257:Q257"/>
    <mergeCell ref="P270:Q270"/>
    <mergeCell ref="C272:N272"/>
    <mergeCell ref="C263:N263"/>
    <mergeCell ref="C273:N273"/>
    <mergeCell ref="A266:Q266"/>
    <mergeCell ref="M253:O253"/>
    <mergeCell ref="P249:Q249"/>
    <mergeCell ref="A275:Q275"/>
    <mergeCell ref="A259:Q259"/>
    <mergeCell ref="L227:O227"/>
    <mergeCell ref="D228:H228"/>
    <mergeCell ref="A189:Q189"/>
    <mergeCell ref="M252:O252"/>
    <mergeCell ref="L228:O228"/>
    <mergeCell ref="A245:Q245"/>
    <mergeCell ref="L221:M221"/>
    <mergeCell ref="N221:P221"/>
    <mergeCell ref="L222:N222"/>
    <mergeCell ref="D284:N284"/>
    <mergeCell ref="D282:N282"/>
    <mergeCell ref="D281:N281"/>
    <mergeCell ref="D280:N280"/>
    <mergeCell ref="D283:N283"/>
    <mergeCell ref="A247:Q247"/>
    <mergeCell ref="A268:Q268"/>
    <mergeCell ref="P261:Q261"/>
    <mergeCell ref="P279:Q279"/>
    <mergeCell ref="P191:Q191"/>
    <mergeCell ref="K196:N196"/>
    <mergeCell ref="K195:N195"/>
    <mergeCell ref="P202:Q202"/>
    <mergeCell ref="C195:G196"/>
    <mergeCell ref="M79:P79"/>
    <mergeCell ref="D99:N99"/>
    <mergeCell ref="P148:Q148"/>
    <mergeCell ref="B167:D167"/>
    <mergeCell ref="A400:Q400"/>
    <mergeCell ref="P328:Q328"/>
    <mergeCell ref="A404:Q404"/>
    <mergeCell ref="P389:Q389"/>
    <mergeCell ref="H365:O365"/>
    <mergeCell ref="P402:Q402"/>
    <mergeCell ref="C376:N376"/>
    <mergeCell ref="C330:N330"/>
    <mergeCell ref="A369:Q369"/>
    <mergeCell ref="C334:N334"/>
    <mergeCell ref="A339:Q339"/>
    <mergeCell ref="C394:N394"/>
    <mergeCell ref="A367:Q367"/>
    <mergeCell ref="E342:I342"/>
    <mergeCell ref="A358:Q358"/>
    <mergeCell ref="K329:P329"/>
    <mergeCell ref="H352:P352"/>
    <mergeCell ref="P341:Q341"/>
    <mergeCell ref="A355:Q355"/>
    <mergeCell ref="N351:O351"/>
    <mergeCell ref="O84:Q84"/>
    <mergeCell ref="A156:Q156"/>
    <mergeCell ref="J84:L84"/>
    <mergeCell ref="P371:Q371"/>
    <mergeCell ref="R8:S11"/>
    <mergeCell ref="P307:Q307"/>
    <mergeCell ref="P150:Q150"/>
    <mergeCell ref="P253:Q253"/>
    <mergeCell ref="P251:Q251"/>
    <mergeCell ref="A39:Q39"/>
    <mergeCell ref="A36:Q36"/>
    <mergeCell ref="R15:S18"/>
    <mergeCell ref="J32:N32"/>
    <mergeCell ref="R22:S25"/>
    <mergeCell ref="A23:Q23"/>
    <mergeCell ref="A24:Q24"/>
    <mergeCell ref="A27:Q27"/>
    <mergeCell ref="A305:Q305"/>
    <mergeCell ref="C66:M66"/>
    <mergeCell ref="P76:Q76"/>
    <mergeCell ref="A72:Q72"/>
    <mergeCell ref="K56:Q56"/>
    <mergeCell ref="A74:Q74"/>
    <mergeCell ref="M78:P78"/>
    <mergeCell ref="F45:I45"/>
    <mergeCell ref="K62:Q62"/>
    <mergeCell ref="K45:N45"/>
    <mergeCell ref="P45:Q46"/>
    <mergeCell ref="P53:Q53"/>
    <mergeCell ref="A163:Q163"/>
    <mergeCell ref="P158:Q158"/>
    <mergeCell ref="M95:P95"/>
    <mergeCell ref="N150:O150"/>
    <mergeCell ref="C82:Q82"/>
    <mergeCell ref="M80:P80"/>
    <mergeCell ref="A88:Q88"/>
    <mergeCell ref="A90:Q90"/>
    <mergeCell ref="P91:Q91"/>
    <mergeCell ref="P110:Q110"/>
    <mergeCell ref="D96:N96"/>
    <mergeCell ref="K151:P151"/>
    <mergeCell ref="O85:Q85"/>
    <mergeCell ref="J85:L85"/>
    <mergeCell ref="E85:G85"/>
    <mergeCell ref="A106:Q106"/>
    <mergeCell ref="A108:Q108"/>
    <mergeCell ref="M115:P115"/>
    <mergeCell ref="D118:Q118"/>
    <mergeCell ref="K68:Q68"/>
    <mergeCell ref="K69:Q69"/>
    <mergeCell ref="A16:Q16"/>
    <mergeCell ref="A18:Q18"/>
    <mergeCell ref="A15:Q15"/>
    <mergeCell ref="A34:Q34"/>
    <mergeCell ref="P41:Q41"/>
    <mergeCell ref="A56:J56"/>
    <mergeCell ref="N46:N47"/>
    <mergeCell ref="I46:I47"/>
    <mergeCell ref="P64:Q64"/>
    <mergeCell ref="A17:Q17"/>
    <mergeCell ref="K44:N44"/>
    <mergeCell ref="A37:Q37"/>
    <mergeCell ref="P58:Q58"/>
    <mergeCell ref="K60:M60"/>
    <mergeCell ref="A62:J62"/>
    <mergeCell ref="A38:Q38"/>
    <mergeCell ref="F43:I43"/>
    <mergeCell ref="K43:N43"/>
    <mergeCell ref="F44:I44"/>
    <mergeCell ref="F46:F47"/>
    <mergeCell ref="K46:K47"/>
    <mergeCell ref="P47:Q47"/>
    <mergeCell ref="A1:Q1"/>
    <mergeCell ref="B4:D4"/>
    <mergeCell ref="P29:Q29"/>
    <mergeCell ref="A10:Q10"/>
    <mergeCell ref="P6:Q6"/>
    <mergeCell ref="A8:Q8"/>
    <mergeCell ref="H3:N3"/>
    <mergeCell ref="A3:G3"/>
    <mergeCell ref="A11:Q11"/>
    <mergeCell ref="A9:Q9"/>
    <mergeCell ref="A19:Q19"/>
    <mergeCell ref="A20:Q20"/>
    <mergeCell ref="A26:Q26"/>
    <mergeCell ref="A14:Q14"/>
    <mergeCell ref="A21:Q21"/>
    <mergeCell ref="A22:Q22"/>
    <mergeCell ref="O3:P3"/>
    <mergeCell ref="A12:Q12"/>
    <mergeCell ref="A13:Q13"/>
    <mergeCell ref="A25:Q25"/>
    <mergeCell ref="K70:Q70"/>
    <mergeCell ref="D136:P136"/>
    <mergeCell ref="C159:N159"/>
    <mergeCell ref="P225:Q225"/>
    <mergeCell ref="E84:G84"/>
    <mergeCell ref="P183:Q183"/>
    <mergeCell ref="C160:N160"/>
    <mergeCell ref="P167:Q167"/>
    <mergeCell ref="C176:N176"/>
    <mergeCell ref="A212:Q212"/>
    <mergeCell ref="A179:Q179"/>
    <mergeCell ref="A154:Q154"/>
    <mergeCell ref="A200:Q200"/>
    <mergeCell ref="A187:Q187"/>
    <mergeCell ref="F173:N173"/>
    <mergeCell ref="F175:N175"/>
    <mergeCell ref="A181:Q181"/>
    <mergeCell ref="A198:Q198"/>
    <mergeCell ref="A165:Q165"/>
    <mergeCell ref="C184:G184"/>
    <mergeCell ref="M112:P112"/>
    <mergeCell ref="A146:Q146"/>
    <mergeCell ref="K185:N185"/>
    <mergeCell ref="K184:N184"/>
  </mergeCells>
  <phoneticPr fontId="6" type="noConversion"/>
  <dataValidations count="19">
    <dataValidation type="list" allowBlank="1" showInputMessage="1" showErrorMessage="1" sqref="P361:Q365 P318:Q322 Q340 P330:P335 Q329:Q335 P295:Q296 P299:Q300 Q43 P152:Q152 P168:Q177 P149:Q149 Q136 P127:Q129 P138:Q140 P120:Q121 P123:Q125 P231:Q237 Q95 P96:Q100 P93:Q94 P102:Q104 P86:Q86 Q78:Q81 P159:Q161 P193:Q196 P184:Q185 Q190 P240:Q243 I227:I228 P218:Q218 P227:P228 P254:Q254 P263:Q264 Q269 Q112:Q115 P113:P114 P31:Q31 P280:Q284 P293:Q293 P290:Q291 L131:M134 Q151 F131:G134 P210:Q210 P204:Q204 P207:Q208 P131:Q133 P308:Q309 Q316 N382:O382 P353 P422 P372:Q373 P375:Q376 P410:Q416 P419:P420 Q419:Q422 Q401 Q388 P424:Q424 Q352:Q353 Q349 G382:H383 P343:Q344">
      <formula1>"Yes, No"</formula1>
    </dataValidation>
    <dataValidation type="list" allowBlank="1" showInputMessage="1" showErrorMessage="1" sqref="H424:I424">
      <formula1>"&lt;&lt;Select&gt;&gt;, Direct Contact, Comparable Projects, Appraisal Estimates"</formula1>
    </dataValidation>
    <dataValidation allowBlank="1" showErrorMessage="1" errorTitle=" Optional Physical Improvements" error="Please select the appropriate optional physical improvement  from the list provided by the drop-down arrow on the right-hand side of the cell." promptTitle=" Optional Physical Improvements" prompt="Please select the appropriate optional physical improvement from the list provided by the drop-down arrow on the right-hand side of the cell." sqref="C441:C446 C436:C437"/>
    <dataValidation type="list" allowBlank="1" showInputMessage="1" showErrorMessage="1" sqref="P402 P328 P307 P41 P29 P58 P167 P158 P148 P110 P91 P76 P64 P183 P191 P202 P217 P249 P261 P270 P279 P289 P317 P371 P389 P350 P360 P341">
      <formula1>"Conditional Pass, Pass, Fail, N/A, TBD"</formula1>
    </dataValidation>
    <dataValidation type="list" allowBlank="1" showInputMessage="1" showErrorMessage="1" sqref="P390:Q396 P66 P230:Q230 P224:Q224 P255:Q255 P272:Q273 Q220:Q222 P239:Q239">
      <formula1>"Agree, Disagree"</formula1>
    </dataValidation>
    <dataValidation type="list" allowBlank="1" showInputMessage="1" showErrorMessage="1" sqref="N351:Q351">
      <formula1>"&lt;&lt;Select&gt;&gt;, Minority concentration, Racially mixed, Non-minority"</formula1>
    </dataValidation>
    <dataValidation type="list" allowBlank="1" showInputMessage="1" showErrorMessage="1" sqref="M310:M311">
      <formula1>$O$427:$O$435</formula1>
    </dataValidation>
    <dataValidation type="list" allowBlank="1" showInputMessage="1" showErrorMessage="1" sqref="G296:N296">
      <formula1>$K$489:$K$491</formula1>
    </dataValidation>
    <dataValidation type="list" allowBlank="1" showInputMessage="1" showErrorMessage="1" sqref="G295">
      <formula1>$K$494:$K$498</formula1>
    </dataValidation>
    <dataValidation type="list" allowBlank="1" showInputMessage="1" showErrorMessage="1" sqref="L220">
      <formula1>"&lt;&lt;Select&gt;&gt;, Room, Building"</formula1>
    </dataValidation>
    <dataValidation type="list" allowBlank="1" showInputMessage="1" showErrorMessage="1" sqref="L221">
      <formula1>"&lt;&lt;Select&gt;&gt;, Gazebo, Covered Porch, Other - explain:"</formula1>
    </dataValidation>
    <dataValidation type="list" allowBlank="1" showInputMessage="1" showErrorMessage="1" sqref="L222:N222">
      <formula1>"&lt;&lt;Select&gt;&gt;, On-site laundry, Washer and dryer in each unit"</formula1>
    </dataValidation>
    <dataValidation type="list" allowBlank="1" showInputMessage="1" showErrorMessage="1" sqref="Q227:Q228 P137:Q137 P141:Q141 J227:J228">
      <formula1>"Yes, No, N/A"</formula1>
    </dataValidation>
    <dataValidation type="list" allowBlank="1" showInputMessage="1" showErrorMessage="1" sqref="P150:Q150">
      <formula1>"&lt;&lt;Select&gt;&gt;, Warranty Deed, Contract/Option, Ground lease, No site control, Other (see comments)"</formula1>
    </dataValidation>
    <dataValidation type="list" allowBlank="1" showInputMessage="1" showErrorMessage="1" sqref="N150:O150">
      <formula1>"&lt;&lt;Select&gt;&gt;, Warranty Deed, Contract/Option, Ground lease/Option, Other (see comments)"</formula1>
    </dataValidation>
    <dataValidation type="list" allowBlank="1" showInputMessage="1" showErrorMessage="1" sqref="J32">
      <formula1>"&lt;&lt; Select &gt;&gt;, USDA, FHLB-AHP, CDBG, HOME, Permanent Supportive Housing Loan, DCA CHDO Loan, Other(see comments)"</formula1>
    </dataValidation>
    <dataValidation type="list" allowBlank="1" showInputMessage="1" showErrorMessage="1" sqref="P6:Q6">
      <formula1>"PASS, FAIL, W/DRWN"</formula1>
    </dataValidation>
    <dataValidation type="list" allowBlank="1" showInputMessage="1" showErrorMessage="1" sqref="M251:Q251">
      <formula1>"&lt;&lt;Select&gt;&gt;, Substantial Gut Rehab, Historic Preservation, Pre-Application Waiver"</formula1>
    </dataValidation>
    <dataValidation type="list" allowBlank="1" showInputMessage="1" showErrorMessage="1" sqref="P209:Q209">
      <formula1>"Yes, No, n/a"</formula1>
    </dataValidation>
  </dataValidations>
  <printOptions horizontalCentered="1"/>
  <pageMargins left="0.35" right="0.35" top="0.5" bottom="0.4" header="0.3" footer="0.25"/>
  <pageSetup fitToHeight="0" orientation="landscape" r:id="rId1"/>
  <headerFooter alignWithMargins="0">
    <oddHeader>&amp;L&amp;11Georgia Department of Community Affairs&amp;C&amp;11 2014 Funding Application&amp;R&amp;11Housing Finance and Development Division</oddHeader>
    <oddFooter>&amp;L&amp;"Arial Narrow,Regular"&amp;G &amp;F&amp;C&amp;"Arial Narrow,Regular"&amp;A&amp;R&amp;"Arial Narrow,Regular"&amp;P of &amp;N</oddFooter>
  </headerFooter>
  <rowBreaks count="10" manualBreakCount="10">
    <brk id="28" max="16383" man="1"/>
    <brk id="75" max="16383" man="1"/>
    <brk id="109" max="16383" man="1"/>
    <brk id="147" max="16383" man="1"/>
    <brk id="182" max="16383" man="1"/>
    <brk id="216" max="16383" man="1"/>
    <brk id="260" max="16383" man="1"/>
    <brk id="288" max="16383" man="1"/>
    <brk id="327" max="16383" man="1"/>
    <brk id="369" max="16383" man="1"/>
  </rowBreaks>
  <legacyDrawingHF r:id="rId2"/>
</worksheet>
</file>

<file path=xl/worksheets/sheet12.xml><?xml version="1.0" encoding="utf-8"?>
<worksheet xmlns="http://schemas.openxmlformats.org/spreadsheetml/2006/main" xmlns:r="http://schemas.openxmlformats.org/officeDocument/2006/relationships">
  <sheetPr codeName="Sheet1">
    <pageSetUpPr fitToPage="1"/>
  </sheetPr>
  <dimension ref="A1:S438"/>
  <sheetViews>
    <sheetView showGridLines="0" topLeftCell="A329" zoomScaleNormal="100" workbookViewId="0">
      <selection activeCell="A329" sqref="A1:XFD1048576"/>
    </sheetView>
  </sheetViews>
  <sheetFormatPr defaultColWidth="9.140625" defaultRowHeight="12.75"/>
  <cols>
    <col min="1" max="1" width="3.140625" style="31" customWidth="1"/>
    <col min="2" max="2" width="3" style="31" customWidth="1"/>
    <col min="3" max="3" width="10.5703125" style="31" customWidth="1"/>
    <col min="4" max="4" width="10.140625" style="31" customWidth="1"/>
    <col min="5" max="5" width="6.28515625" style="31" customWidth="1"/>
    <col min="6" max="6" width="9.140625" style="31" customWidth="1"/>
    <col min="7" max="9" width="11.5703125" style="31" customWidth="1"/>
    <col min="10" max="10" width="9.28515625" style="31" customWidth="1"/>
    <col min="11" max="11" width="11.7109375" style="31" customWidth="1"/>
    <col min="12" max="12" width="14.85546875" style="31" customWidth="1"/>
    <col min="13" max="13" width="6.7109375" style="31" customWidth="1"/>
    <col min="14" max="14" width="2.7109375" style="88" customWidth="1"/>
    <col min="15" max="16" width="5.5703125" style="1167" customWidth="1"/>
    <col min="17" max="17" width="6" style="31" customWidth="1"/>
    <col min="18" max="21" width="9.140625" style="31" customWidth="1"/>
    <col min="22" max="22" width="8.85546875" style="31" customWidth="1"/>
    <col min="23" max="16384" width="9.140625" style="31"/>
  </cols>
  <sheetData>
    <row r="1" spans="1:19" s="43" customFormat="1" ht="13.9" customHeight="1">
      <c r="A1" s="1622" t="str">
        <f>CONCATENATE("PART NINE - SCORING CRITERIA","  -  ",'Part I-Project Information'!$O$4," ",'Part I-Project Information'!$F$23,", ",'Part I-Project Information'!F27,", ",'Part I-Project Information'!J28," County")</f>
        <v>PART NINE - SCORING CRITERIA  -  2014-028 Highland Estates, Rome, Floyd County</v>
      </c>
      <c r="B1" s="1623"/>
      <c r="C1" s="1623"/>
      <c r="D1" s="1623"/>
      <c r="E1" s="1623"/>
      <c r="F1" s="1623"/>
      <c r="G1" s="1623"/>
      <c r="H1" s="1623"/>
      <c r="I1" s="1623"/>
      <c r="J1" s="1623"/>
      <c r="K1" s="1623"/>
      <c r="L1" s="1623"/>
      <c r="M1" s="1623"/>
      <c r="N1" s="1623"/>
      <c r="O1" s="1623"/>
      <c r="P1" s="1624"/>
    </row>
    <row r="2" spans="1:19" s="43" customFormat="1" ht="4.1500000000000004" customHeight="1">
      <c r="A2" s="44"/>
      <c r="B2" s="44"/>
      <c r="C2" s="45"/>
      <c r="D2" s="44"/>
      <c r="E2" s="44"/>
      <c r="F2" s="44"/>
      <c r="G2" s="44"/>
      <c r="H2" s="44"/>
      <c r="I2" s="44"/>
      <c r="J2" s="44"/>
      <c r="K2" s="44"/>
      <c r="L2" s="44"/>
      <c r="M2" s="46"/>
      <c r="N2" s="85"/>
      <c r="O2" s="2"/>
      <c r="P2" s="2"/>
    </row>
    <row r="3" spans="1:19" s="43" customFormat="1" ht="12.6" customHeight="1">
      <c r="A3" s="50"/>
      <c r="B3" s="44"/>
      <c r="C3" s="44"/>
      <c r="D3" s="44"/>
      <c r="E3" s="44"/>
      <c r="F3" s="44"/>
      <c r="G3" s="44"/>
      <c r="H3" s="44"/>
      <c r="I3" s="44"/>
      <c r="J3" s="44"/>
      <c r="K3" s="50"/>
      <c r="M3" s="107" t="s">
        <v>2356</v>
      </c>
      <c r="N3" s="86"/>
      <c r="O3" s="97" t="s">
        <v>2355</v>
      </c>
      <c r="P3" s="214" t="s">
        <v>270</v>
      </c>
    </row>
    <row r="4" spans="1:19" s="52" customFormat="1" ht="12.6" customHeight="1">
      <c r="A4" s="50"/>
      <c r="B4" s="50"/>
      <c r="C4" s="50"/>
      <c r="D4" s="50"/>
      <c r="E4" s="50"/>
      <c r="F4" s="50"/>
      <c r="G4" s="50"/>
      <c r="H4" s="50"/>
      <c r="I4" s="50"/>
      <c r="J4" s="50"/>
      <c r="K4" s="50"/>
      <c r="M4" s="216" t="s">
        <v>96</v>
      </c>
      <c r="N4" s="99"/>
      <c r="O4" s="215" t="s">
        <v>2356</v>
      </c>
      <c r="P4" s="98" t="s">
        <v>2356</v>
      </c>
    </row>
    <row r="5" spans="1:19" s="52" customFormat="1" ht="3" customHeight="1">
      <c r="A5" s="50"/>
      <c r="B5" s="50"/>
      <c r="C5" s="50"/>
      <c r="D5" s="50"/>
      <c r="E5" s="50"/>
      <c r="F5" s="50"/>
      <c r="G5" s="50"/>
      <c r="H5" s="50"/>
      <c r="I5" s="50"/>
      <c r="J5" s="50"/>
      <c r="K5" s="50"/>
      <c r="M5" s="107"/>
      <c r="N5" s="11"/>
      <c r="O5" s="612"/>
      <c r="P5" s="34"/>
    </row>
    <row r="6" spans="1:19" s="52" customFormat="1" ht="12.75" customHeight="1">
      <c r="A6" s="50"/>
      <c r="B6" s="58"/>
      <c r="C6" s="50"/>
      <c r="D6" s="50"/>
      <c r="E6" s="50"/>
      <c r="F6" s="50"/>
      <c r="G6" s="50"/>
      <c r="I6" s="50"/>
      <c r="J6" s="50"/>
      <c r="L6" s="82" t="s">
        <v>1297</v>
      </c>
      <c r="M6" s="328">
        <f>M352</f>
        <v>87</v>
      </c>
      <c r="N6" s="10"/>
      <c r="O6" s="76">
        <f>O352</f>
        <v>54</v>
      </c>
      <c r="P6" s="76">
        <f>P352</f>
        <v>12</v>
      </c>
    </row>
    <row r="7" spans="1:19" s="52" customFormat="1" ht="3" customHeight="1">
      <c r="A7" s="50"/>
      <c r="B7" s="58"/>
      <c r="C7" s="50"/>
      <c r="D7" s="50"/>
      <c r="E7" s="50"/>
      <c r="F7" s="50"/>
      <c r="G7" s="50"/>
      <c r="H7" s="50"/>
      <c r="I7" s="50"/>
      <c r="J7" s="50"/>
      <c r="K7" s="50"/>
      <c r="M7" s="107"/>
      <c r="N7" s="11"/>
      <c r="O7" s="612"/>
      <c r="P7" s="34"/>
    </row>
    <row r="8" spans="1:19" s="50" customFormat="1" ht="12.6" customHeight="1">
      <c r="A8" s="182" t="s">
        <v>2114</v>
      </c>
      <c r="B8" s="123" t="s">
        <v>3061</v>
      </c>
      <c r="C8" s="5"/>
      <c r="D8" s="5"/>
      <c r="E8" s="5"/>
      <c r="F8" s="11"/>
      <c r="H8" s="57" t="s">
        <v>1722</v>
      </c>
      <c r="M8" s="2">
        <v>10</v>
      </c>
      <c r="N8" s="124"/>
      <c r="O8" s="76">
        <f>MIN($M8, $M8-O10-O12-O11)</f>
        <v>10</v>
      </c>
      <c r="P8" s="76">
        <f>MIN($M8, $M8-P10-P12-P11)</f>
        <v>10</v>
      </c>
      <c r="Q8" s="126" t="s">
        <v>461</v>
      </c>
    </row>
    <row r="9" spans="1:19" s="51" customFormat="1" ht="3.6" customHeight="1">
      <c r="A9" s="50"/>
      <c r="B9" s="75"/>
      <c r="C9" s="44"/>
      <c r="D9" s="56"/>
      <c r="E9" s="56"/>
      <c r="F9" s="63"/>
      <c r="G9" s="56"/>
      <c r="H9" s="56"/>
      <c r="I9" s="56"/>
      <c r="J9" s="56"/>
      <c r="K9" s="56"/>
      <c r="L9" s="50"/>
      <c r="M9" s="54"/>
      <c r="N9" s="73"/>
      <c r="O9" s="4"/>
      <c r="P9" s="612"/>
      <c r="R9" s="50"/>
      <c r="S9" s="50"/>
    </row>
    <row r="10" spans="1:19" s="50" customFormat="1" ht="11.25" customHeight="1">
      <c r="A10" s="222" t="s">
        <v>2110</v>
      </c>
      <c r="B10" s="205" t="s">
        <v>1990</v>
      </c>
      <c r="D10" s="56"/>
      <c r="E10" s="56"/>
      <c r="F10" s="1189" t="s">
        <v>2756</v>
      </c>
      <c r="G10" s="38">
        <f>F16</f>
        <v>0</v>
      </c>
      <c r="H10" s="213" t="s">
        <v>3274</v>
      </c>
      <c r="M10" s="7"/>
      <c r="N10" s="77" t="s">
        <v>2110</v>
      </c>
      <c r="O10" s="1104"/>
      <c r="P10" s="1303"/>
    </row>
    <row r="11" spans="1:19" s="51" customFormat="1" ht="11.25" customHeight="1">
      <c r="A11" s="222"/>
      <c r="B11" s="127" t="s">
        <v>2243</v>
      </c>
      <c r="D11" s="56"/>
      <c r="E11" s="56"/>
      <c r="F11" s="1189" t="s">
        <v>2756</v>
      </c>
      <c r="G11" s="38">
        <f>P16</f>
        <v>0</v>
      </c>
      <c r="H11" s="213" t="s">
        <v>3034</v>
      </c>
      <c r="J11" s="57"/>
      <c r="M11" s="7">
        <v>1</v>
      </c>
      <c r="N11" s="77"/>
      <c r="O11" s="1105"/>
      <c r="P11" s="1304"/>
    </row>
    <row r="12" spans="1:19" s="50" customFormat="1" ht="11.25" customHeight="1">
      <c r="A12" s="222" t="s">
        <v>2113</v>
      </c>
      <c r="B12" s="205" t="s">
        <v>770</v>
      </c>
      <c r="D12" s="56"/>
      <c r="E12" s="56"/>
      <c r="F12" s="1189" t="s">
        <v>2756</v>
      </c>
      <c r="G12" s="38">
        <f>K16</f>
        <v>0</v>
      </c>
      <c r="H12" s="213" t="s">
        <v>2970</v>
      </c>
      <c r="J12" s="57"/>
      <c r="M12" s="7"/>
      <c r="N12" s="77" t="s">
        <v>2113</v>
      </c>
      <c r="O12" s="1106"/>
      <c r="P12" s="1305"/>
      <c r="Q12" s="126"/>
    </row>
    <row r="13" spans="1:19" s="50" customFormat="1" ht="11.25" customHeight="1">
      <c r="A13" s="57" t="s">
        <v>269</v>
      </c>
      <c r="D13" s="56"/>
      <c r="E13" s="56"/>
      <c r="F13" s="56"/>
      <c r="G13" s="56"/>
      <c r="H13" s="44"/>
      <c r="I13" s="44"/>
      <c r="J13" s="44"/>
      <c r="K13" s="44"/>
      <c r="L13" s="51"/>
      <c r="M13" s="54"/>
      <c r="N13" s="73"/>
      <c r="O13" s="4"/>
      <c r="P13" s="1175"/>
    </row>
    <row r="14" spans="1:19" s="50" customFormat="1" ht="12.6" customHeight="1">
      <c r="A14" s="1830"/>
      <c r="B14" s="1831"/>
      <c r="C14" s="1831"/>
      <c r="D14" s="1831"/>
      <c r="E14" s="1831"/>
      <c r="F14" s="1831"/>
      <c r="G14" s="1831"/>
      <c r="H14" s="1831"/>
      <c r="I14" s="1831"/>
      <c r="J14" s="1831"/>
      <c r="K14" s="1831"/>
      <c r="L14" s="1831"/>
      <c r="M14" s="1831"/>
      <c r="N14" s="1831"/>
      <c r="O14" s="1831"/>
      <c r="P14" s="1832"/>
      <c r="Q14" s="562" t="s">
        <v>1326</v>
      </c>
      <c r="R14" s="563"/>
    </row>
    <row r="15" spans="1:19" s="50" customFormat="1" ht="10.9" customHeight="1">
      <c r="A15" s="79" t="s">
        <v>1988</v>
      </c>
      <c r="C15" s="111"/>
      <c r="D15" s="111"/>
      <c r="F15" s="1186" t="s">
        <v>1826</v>
      </c>
      <c r="K15" s="1186" t="s">
        <v>1826</v>
      </c>
      <c r="P15" s="594" t="s">
        <v>1826</v>
      </c>
      <c r="R15" s="564"/>
      <c r="S15" s="188"/>
    </row>
    <row r="16" spans="1:19" s="50" customFormat="1" ht="12" customHeight="1">
      <c r="A16" s="2035" t="s">
        <v>2555</v>
      </c>
      <c r="B16" s="2035"/>
      <c r="C16" s="2035"/>
      <c r="D16" s="2035"/>
      <c r="E16" s="78" t="s">
        <v>536</v>
      </c>
      <c r="F16" s="89">
        <f>SUM(F17:F28)</f>
        <v>0</v>
      </c>
      <c r="G16" s="2036" t="s">
        <v>2556</v>
      </c>
      <c r="H16" s="2035"/>
      <c r="I16" s="2035"/>
      <c r="J16" s="78" t="s">
        <v>536</v>
      </c>
      <c r="K16" s="89">
        <f>SUM(K17:K28)</f>
        <v>0</v>
      </c>
      <c r="L16" s="1187" t="s">
        <v>3033</v>
      </c>
      <c r="M16" s="111"/>
      <c r="N16" s="110"/>
      <c r="O16" s="78"/>
      <c r="P16" s="89">
        <f>SUM(P17:P28)</f>
        <v>0</v>
      </c>
      <c r="R16" s="564"/>
      <c r="S16" s="188"/>
    </row>
    <row r="17" spans="1:19" s="50" customFormat="1" ht="23.25" customHeight="1">
      <c r="A17" s="2032">
        <v>1</v>
      </c>
      <c r="B17" s="2033"/>
      <c r="C17" s="2033"/>
      <c r="D17" s="2033"/>
      <c r="E17" s="2034"/>
      <c r="F17" s="1306"/>
      <c r="G17" s="2030">
        <v>1</v>
      </c>
      <c r="H17" s="2031"/>
      <c r="I17" s="2031"/>
      <c r="J17" s="2031"/>
      <c r="K17" s="1107" t="s">
        <v>1846</v>
      </c>
      <c r="L17" s="2030">
        <v>1</v>
      </c>
      <c r="M17" s="2031"/>
      <c r="N17" s="2031"/>
      <c r="O17" s="2031"/>
      <c r="P17" s="1306"/>
      <c r="Q17" s="562" t="s">
        <v>1326</v>
      </c>
      <c r="R17" s="563"/>
      <c r="S17" s="188"/>
    </row>
    <row r="18" spans="1:19" s="50" customFormat="1" ht="23.25" customHeight="1">
      <c r="A18" s="2027">
        <v>2</v>
      </c>
      <c r="B18" s="2028"/>
      <c r="C18" s="2028"/>
      <c r="D18" s="2028"/>
      <c r="E18" s="2029"/>
      <c r="F18" s="1307"/>
      <c r="G18" s="2025">
        <v>2</v>
      </c>
      <c r="H18" s="2026"/>
      <c r="I18" s="2026"/>
      <c r="J18" s="2026"/>
      <c r="K18" s="1307"/>
      <c r="L18" s="2025">
        <v>2</v>
      </c>
      <c r="M18" s="2026"/>
      <c r="N18" s="2026"/>
      <c r="O18" s="2026"/>
      <c r="P18" s="1307"/>
      <c r="Q18" s="562"/>
      <c r="R18" s="563"/>
      <c r="S18" s="188"/>
    </row>
    <row r="19" spans="1:19" s="50" customFormat="1" ht="23.25" customHeight="1">
      <c r="A19" s="2027">
        <v>3</v>
      </c>
      <c r="B19" s="2028"/>
      <c r="C19" s="2028"/>
      <c r="D19" s="2028"/>
      <c r="E19" s="2029"/>
      <c r="F19" s="1307"/>
      <c r="G19" s="2025">
        <v>3</v>
      </c>
      <c r="H19" s="2026"/>
      <c r="I19" s="2026"/>
      <c r="J19" s="2026"/>
      <c r="K19" s="1108" t="s">
        <v>3345</v>
      </c>
      <c r="L19" s="2025">
        <v>3</v>
      </c>
      <c r="M19" s="2026"/>
      <c r="N19" s="2026"/>
      <c r="O19" s="2026"/>
      <c r="P19" s="1307"/>
      <c r="Q19" s="562"/>
      <c r="R19" s="563"/>
      <c r="S19" s="188"/>
    </row>
    <row r="20" spans="1:19" s="50" customFormat="1" ht="23.25" customHeight="1">
      <c r="A20" s="2027">
        <v>4</v>
      </c>
      <c r="B20" s="2028"/>
      <c r="C20" s="2028"/>
      <c r="D20" s="2028"/>
      <c r="E20" s="2029"/>
      <c r="F20" s="1307"/>
      <c r="G20" s="2025">
        <v>4</v>
      </c>
      <c r="H20" s="2026"/>
      <c r="I20" s="2026"/>
      <c r="J20" s="2026"/>
      <c r="K20" s="1108" t="s">
        <v>3345</v>
      </c>
      <c r="L20" s="2025">
        <v>4</v>
      </c>
      <c r="M20" s="2026"/>
      <c r="N20" s="2026"/>
      <c r="O20" s="2026"/>
      <c r="P20" s="1307"/>
      <c r="Q20" s="562"/>
      <c r="R20" s="563"/>
      <c r="S20" s="188"/>
    </row>
    <row r="21" spans="1:19" s="50" customFormat="1" ht="23.25" customHeight="1">
      <c r="A21" s="2027">
        <v>5</v>
      </c>
      <c r="B21" s="2028"/>
      <c r="C21" s="2028"/>
      <c r="D21" s="2028"/>
      <c r="E21" s="2029"/>
      <c r="F21" s="1307"/>
      <c r="G21" s="2025">
        <v>5</v>
      </c>
      <c r="H21" s="2026"/>
      <c r="I21" s="2026"/>
      <c r="J21" s="2026"/>
      <c r="K21" s="1307"/>
      <c r="L21" s="2025">
        <v>5</v>
      </c>
      <c r="M21" s="2026"/>
      <c r="N21" s="2026"/>
      <c r="O21" s="2026"/>
      <c r="P21" s="1307"/>
      <c r="R21" s="188"/>
      <c r="S21" s="188"/>
    </row>
    <row r="22" spans="1:19" s="50" customFormat="1" ht="23.25" customHeight="1">
      <c r="A22" s="2027">
        <v>6</v>
      </c>
      <c r="B22" s="2028"/>
      <c r="C22" s="2028"/>
      <c r="D22" s="2028"/>
      <c r="E22" s="2029"/>
      <c r="F22" s="1307"/>
      <c r="G22" s="2025">
        <v>6</v>
      </c>
      <c r="H22" s="2026"/>
      <c r="I22" s="2026"/>
      <c r="J22" s="2026"/>
      <c r="K22" s="1307"/>
      <c r="L22" s="2025">
        <v>6</v>
      </c>
      <c r="M22" s="2026"/>
      <c r="N22" s="2026"/>
      <c r="O22" s="2026"/>
      <c r="P22" s="1307"/>
      <c r="R22" s="188"/>
      <c r="S22" s="188"/>
    </row>
    <row r="23" spans="1:19" s="50" customFormat="1" ht="23.25" customHeight="1">
      <c r="A23" s="2027">
        <v>7</v>
      </c>
      <c r="B23" s="2028"/>
      <c r="C23" s="2028"/>
      <c r="D23" s="2028"/>
      <c r="E23" s="2029"/>
      <c r="F23" s="1307"/>
      <c r="G23" s="2025">
        <v>7</v>
      </c>
      <c r="H23" s="2026"/>
      <c r="I23" s="2026"/>
      <c r="J23" s="2026"/>
      <c r="K23" s="1307"/>
      <c r="L23" s="2025">
        <v>7</v>
      </c>
      <c r="M23" s="2026"/>
      <c r="N23" s="2026"/>
      <c r="O23" s="2026"/>
      <c r="P23" s="1307"/>
      <c r="R23" s="188"/>
      <c r="S23" s="188"/>
    </row>
    <row r="24" spans="1:19" s="50" customFormat="1" ht="23.25" customHeight="1">
      <c r="A24" s="2027">
        <v>8</v>
      </c>
      <c r="B24" s="2028"/>
      <c r="C24" s="2028"/>
      <c r="D24" s="2028"/>
      <c r="E24" s="2029"/>
      <c r="F24" s="1307"/>
      <c r="G24" s="2025">
        <v>8</v>
      </c>
      <c r="H24" s="2026"/>
      <c r="I24" s="2026"/>
      <c r="J24" s="2026"/>
      <c r="K24" s="1307"/>
      <c r="L24" s="2025">
        <v>8</v>
      </c>
      <c r="M24" s="2026"/>
      <c r="N24" s="2026"/>
      <c r="O24" s="2026"/>
      <c r="P24" s="1307"/>
      <c r="R24" s="188"/>
      <c r="S24" s="188"/>
    </row>
    <row r="25" spans="1:19" s="50" customFormat="1" ht="23.25" customHeight="1">
      <c r="A25" s="2027">
        <v>9</v>
      </c>
      <c r="B25" s="2028"/>
      <c r="C25" s="2028"/>
      <c r="D25" s="2028"/>
      <c r="E25" s="2029"/>
      <c r="F25" s="1307"/>
      <c r="G25" s="2025">
        <v>9</v>
      </c>
      <c r="H25" s="2026"/>
      <c r="I25" s="2026"/>
      <c r="J25" s="2026"/>
      <c r="K25" s="1307"/>
      <c r="L25" s="2025">
        <v>9</v>
      </c>
      <c r="M25" s="2026"/>
      <c r="N25" s="2026"/>
      <c r="O25" s="2026"/>
      <c r="P25" s="1307"/>
      <c r="R25" s="188"/>
      <c r="S25" s="188"/>
    </row>
    <row r="26" spans="1:19" s="50" customFormat="1" ht="23.25" customHeight="1">
      <c r="A26" s="2027">
        <v>10</v>
      </c>
      <c r="B26" s="2028"/>
      <c r="C26" s="2028"/>
      <c r="D26" s="2028"/>
      <c r="E26" s="2029"/>
      <c r="F26" s="1307"/>
      <c r="G26" s="2025">
        <v>10</v>
      </c>
      <c r="H26" s="2026"/>
      <c r="I26" s="2026"/>
      <c r="J26" s="2026"/>
      <c r="K26" s="1307"/>
      <c r="L26" s="2025">
        <v>10</v>
      </c>
      <c r="M26" s="2026"/>
      <c r="N26" s="2026"/>
      <c r="O26" s="2026"/>
      <c r="P26" s="1307"/>
      <c r="R26" s="188"/>
      <c r="S26" s="188"/>
    </row>
    <row r="27" spans="1:19" s="50" customFormat="1" ht="23.25" customHeight="1">
      <c r="A27" s="2027">
        <v>11</v>
      </c>
      <c r="B27" s="2028"/>
      <c r="C27" s="2028"/>
      <c r="D27" s="2028"/>
      <c r="E27" s="2029"/>
      <c r="F27" s="1307"/>
      <c r="G27" s="2025">
        <v>11</v>
      </c>
      <c r="H27" s="2026"/>
      <c r="I27" s="2026"/>
      <c r="J27" s="2026"/>
      <c r="K27" s="1307"/>
      <c r="L27" s="2025">
        <v>11</v>
      </c>
      <c r="M27" s="2026"/>
      <c r="N27" s="2026"/>
      <c r="O27" s="2026"/>
      <c r="P27" s="1307"/>
      <c r="R27" s="188"/>
      <c r="S27" s="188"/>
    </row>
    <row r="28" spans="1:19" s="50" customFormat="1" ht="23.25" customHeight="1">
      <c r="A28" s="2041">
        <v>12</v>
      </c>
      <c r="B28" s="2042"/>
      <c r="C28" s="2042"/>
      <c r="D28" s="2042"/>
      <c r="E28" s="2043"/>
      <c r="F28" s="1308"/>
      <c r="G28" s="2037">
        <v>12</v>
      </c>
      <c r="H28" s="2038"/>
      <c r="I28" s="2038"/>
      <c r="J28" s="2038"/>
      <c r="K28" s="1308"/>
      <c r="L28" s="2037">
        <v>12</v>
      </c>
      <c r="M28" s="2038"/>
      <c r="N28" s="2038"/>
      <c r="O28" s="2038"/>
      <c r="P28" s="1308"/>
    </row>
    <row r="29" spans="1:19" s="51" customFormat="1" ht="4.9000000000000004" customHeight="1">
      <c r="D29" s="47"/>
      <c r="E29" s="44"/>
      <c r="F29" s="612"/>
      <c r="G29" s="612"/>
      <c r="H29" s="612"/>
      <c r="I29" s="612"/>
      <c r="J29" s="38"/>
      <c r="K29" s="38"/>
      <c r="L29" s="38"/>
      <c r="M29" s="71"/>
      <c r="N29" s="612"/>
      <c r="O29" s="1175"/>
      <c r="P29" s="4"/>
    </row>
    <row r="30" spans="1:19" s="51" customFormat="1" ht="12.6" customHeight="1">
      <c r="A30" s="554" t="s">
        <v>2116</v>
      </c>
      <c r="B30" s="130" t="s">
        <v>1071</v>
      </c>
      <c r="E30" s="68"/>
      <c r="G30" s="102"/>
      <c r="H30" s="62"/>
      <c r="J30" s="529"/>
      <c r="K30" s="2039" t="s">
        <v>2879</v>
      </c>
      <c r="L30" s="2039"/>
      <c r="M30" s="612">
        <v>3</v>
      </c>
      <c r="N30" s="8"/>
      <c r="O30" s="179">
        <f>IF($K32 &gt;= $P32,$M32,IF($K31&gt;=$P31,$M31,0))</f>
        <v>3</v>
      </c>
      <c r="P30" s="179">
        <f>IF($L32 &gt;= $P32,$M32,IF($L31&gt;=$P31,$M31,0))</f>
        <v>0</v>
      </c>
      <c r="Q30" s="126" t="s">
        <v>461</v>
      </c>
      <c r="R30" s="458" t="str">
        <f>IF(OR($O30=$M30,$O30=0,$O30=""),"","* * Check Score! * *")</f>
        <v/>
      </c>
    </row>
    <row r="31" spans="1:19" s="529" customFormat="1" ht="11.25" customHeight="1">
      <c r="A31" s="528" t="s">
        <v>2110</v>
      </c>
      <c r="B31" s="133" t="s">
        <v>2799</v>
      </c>
      <c r="E31" s="530"/>
      <c r="H31" s="508" t="s">
        <v>2877</v>
      </c>
      <c r="I31" s="1109">
        <v>22</v>
      </c>
      <c r="J31" s="1309"/>
      <c r="K31" s="728">
        <f>IF(OR('Part VI-Revenues &amp; Expenses'!$M$60="", 'Part VI-Revenues &amp; Expenses'!$M$60=0),0,I31/'Part VI-Revenues &amp; Expenses'!$M$60)</f>
        <v>0.26190476190476192</v>
      </c>
      <c r="L31" s="728">
        <f>IF(OR('Part VI-Revenues &amp; Expenses'!$M$60="", 'Part VI-Revenues &amp; Expenses'!$M$60=0),0,J31/'Part VI-Revenues &amp; Expenses'!$M$60)</f>
        <v>0</v>
      </c>
      <c r="M31" s="535">
        <v>3</v>
      </c>
      <c r="N31" s="531"/>
      <c r="O31" s="2067" t="s">
        <v>2901</v>
      </c>
      <c r="P31" s="561">
        <v>0.15</v>
      </c>
    </row>
    <row r="32" spans="1:19" s="529" customFormat="1" ht="11.25" customHeight="1">
      <c r="A32" s="528" t="s">
        <v>2113</v>
      </c>
      <c r="B32" s="133" t="s">
        <v>2800</v>
      </c>
      <c r="E32" s="530"/>
      <c r="H32" s="508" t="s">
        <v>2801</v>
      </c>
      <c r="I32" s="1110"/>
      <c r="J32" s="1310"/>
      <c r="K32" s="729">
        <f>IF(OR('Part VI-Revenues &amp; Expenses'!$M$60="", 'Part VI-Revenues &amp; Expenses'!$M$60=0),0,I32/'Part VI-Revenues &amp; Expenses'!$M$60)</f>
        <v>0</v>
      </c>
      <c r="L32" s="729">
        <f>IF(OR('Part VI-Revenues &amp; Expenses'!$M$60="", 'Part VI-Revenues &amp; Expenses'!$M$60=0),0,J32/'Part VI-Revenues &amp; Expenses'!$M$60)</f>
        <v>0</v>
      </c>
      <c r="M32" s="535">
        <v>3</v>
      </c>
      <c r="N32" s="531"/>
      <c r="O32" s="2068"/>
      <c r="P32" s="561">
        <v>0.15</v>
      </c>
    </row>
    <row r="33" spans="1:18" s="51" customFormat="1" ht="11.25" customHeight="1">
      <c r="A33" s="50"/>
      <c r="B33" s="57" t="s">
        <v>269</v>
      </c>
      <c r="C33" s="50"/>
      <c r="D33" s="56"/>
      <c r="E33" s="56"/>
      <c r="F33" s="56"/>
      <c r="G33" s="56"/>
      <c r="H33" s="44"/>
      <c r="I33" s="44"/>
      <c r="J33" s="44"/>
      <c r="K33" s="44"/>
      <c r="M33" s="54"/>
      <c r="N33" s="73"/>
      <c r="O33" s="4"/>
      <c r="P33" s="1175"/>
    </row>
    <row r="34" spans="1:18" s="51" customFormat="1" ht="12.6" customHeight="1">
      <c r="A34" s="1830" t="s">
        <v>3543</v>
      </c>
      <c r="B34" s="1831"/>
      <c r="C34" s="1831"/>
      <c r="D34" s="1831"/>
      <c r="E34" s="1831"/>
      <c r="F34" s="1831"/>
      <c r="G34" s="1831"/>
      <c r="H34" s="1831"/>
      <c r="I34" s="1831"/>
      <c r="J34" s="1831"/>
      <c r="K34" s="1831"/>
      <c r="L34" s="1831"/>
      <c r="M34" s="1831"/>
      <c r="N34" s="1831"/>
      <c r="O34" s="1831"/>
      <c r="P34" s="1832"/>
      <c r="Q34" s="562" t="s">
        <v>1326</v>
      </c>
    </row>
    <row r="35" spans="1:18" s="51" customFormat="1" ht="11.45" customHeight="1">
      <c r="A35" s="50"/>
      <c r="B35" s="114" t="s">
        <v>1988</v>
      </c>
      <c r="C35" s="50"/>
      <c r="D35" s="100"/>
      <c r="E35" s="1176"/>
      <c r="F35" s="1176"/>
      <c r="G35" s="1176"/>
      <c r="H35" s="1176"/>
      <c r="I35" s="1176"/>
      <c r="J35" s="1176"/>
      <c r="K35" s="1176"/>
      <c r="L35" s="1176"/>
      <c r="M35" s="1176"/>
      <c r="N35" s="87"/>
      <c r="O35" s="83"/>
      <c r="P35" s="2"/>
      <c r="Q35" s="529"/>
    </row>
    <row r="36" spans="1:18" s="51" customFormat="1" ht="12.6" customHeight="1">
      <c r="A36" s="1833"/>
      <c r="B36" s="1834"/>
      <c r="C36" s="1834"/>
      <c r="D36" s="1834"/>
      <c r="E36" s="1834"/>
      <c r="F36" s="1834"/>
      <c r="G36" s="1834"/>
      <c r="H36" s="1834"/>
      <c r="I36" s="1834"/>
      <c r="J36" s="1834"/>
      <c r="K36" s="1834"/>
      <c r="L36" s="1834"/>
      <c r="M36" s="1834"/>
      <c r="N36" s="1834"/>
      <c r="O36" s="1834"/>
      <c r="P36" s="1835"/>
      <c r="Q36" s="562" t="s">
        <v>1326</v>
      </c>
    </row>
    <row r="37" spans="1:18" ht="3" customHeight="1"/>
    <row r="38" spans="1:18" s="51" customFormat="1" ht="12.6" customHeight="1">
      <c r="A38" s="182" t="s">
        <v>2698</v>
      </c>
      <c r="B38" s="122" t="s">
        <v>1996</v>
      </c>
      <c r="D38" s="49"/>
      <c r="H38" s="1967" t="s">
        <v>631</v>
      </c>
      <c r="I38" s="1967"/>
      <c r="J38" s="1967"/>
      <c r="K38" s="1967"/>
      <c r="M38" s="2">
        <v>12</v>
      </c>
      <c r="N38" s="594"/>
      <c r="O38" s="179">
        <f>IF(OR($M40-$O41&lt;0,$O40-$O41&lt;0),0,IF($O40&lt;=$M40,$O40-$O41,IF($O40&gt;$M40,$M40-$O41,0)))</f>
        <v>12</v>
      </c>
      <c r="P38" s="179">
        <f>IF(OR($M40-$P41&lt;0,$P40-$P41&lt;0),0,IF($P40&lt;=$M40,$P40-$P41,IF($P40&gt;$M40,$M40-$P41,0)))</f>
        <v>0</v>
      </c>
      <c r="Q38" s="126" t="s">
        <v>461</v>
      </c>
    </row>
    <row r="39" spans="1:18" s="51" customFormat="1" ht="3" customHeight="1">
      <c r="A39" s="50"/>
      <c r="D39" s="47"/>
      <c r="E39" s="44"/>
      <c r="F39" s="612"/>
      <c r="G39" s="612"/>
      <c r="H39" s="1967"/>
      <c r="I39" s="1967"/>
      <c r="J39" s="1967"/>
      <c r="K39" s="1967"/>
      <c r="L39" s="38"/>
      <c r="M39" s="71"/>
      <c r="N39" s="612"/>
      <c r="O39" s="1175"/>
      <c r="P39" s="4"/>
    </row>
    <row r="40" spans="1:18" s="51" customFormat="1" ht="12" customHeight="1">
      <c r="A40" s="165" t="s">
        <v>2110</v>
      </c>
      <c r="B40" s="205" t="s">
        <v>1997</v>
      </c>
      <c r="C40" s="5"/>
      <c r="D40" s="5"/>
      <c r="E40" s="213" t="s">
        <v>2950</v>
      </c>
      <c r="F40" s="366"/>
      <c r="G40" s="366"/>
      <c r="H40" s="1967"/>
      <c r="I40" s="1967"/>
      <c r="J40" s="1967"/>
      <c r="K40" s="1967"/>
      <c r="M40" s="85">
        <v>12</v>
      </c>
      <c r="N40" s="217" t="s">
        <v>2110</v>
      </c>
      <c r="O40" s="1111">
        <v>12</v>
      </c>
      <c r="P40" s="1311"/>
      <c r="Q40" s="474" t="s">
        <v>2929</v>
      </c>
      <c r="R40" s="458"/>
    </row>
    <row r="41" spans="1:18" s="51" customFormat="1" ht="12.6" customHeight="1">
      <c r="A41" s="165" t="s">
        <v>2113</v>
      </c>
      <c r="B41" s="205" t="s">
        <v>1998</v>
      </c>
      <c r="D41" s="49"/>
      <c r="E41" s="213" t="s">
        <v>447</v>
      </c>
      <c r="F41" s="478"/>
      <c r="G41" s="478"/>
      <c r="H41" s="478"/>
      <c r="M41" s="1186" t="s">
        <v>1310</v>
      </c>
      <c r="N41" s="594" t="s">
        <v>2113</v>
      </c>
      <c r="O41" s="1106"/>
      <c r="P41" s="1312"/>
      <c r="Q41" s="474" t="s">
        <v>2929</v>
      </c>
      <c r="R41" s="458"/>
    </row>
    <row r="42" spans="1:18" s="51" customFormat="1" ht="11.25" customHeight="1">
      <c r="A42" s="50"/>
      <c r="B42" s="57" t="s">
        <v>269</v>
      </c>
      <c r="C42" s="50"/>
      <c r="D42" s="56"/>
      <c r="E42" s="56"/>
      <c r="F42" s="56"/>
      <c r="G42" s="56"/>
      <c r="H42" s="44"/>
      <c r="I42" s="44"/>
      <c r="J42" s="44"/>
      <c r="K42" s="44"/>
      <c r="M42" s="54"/>
      <c r="N42" s="73"/>
      <c r="O42" s="4"/>
      <c r="P42" s="1175"/>
    </row>
    <row r="43" spans="1:18" s="51" customFormat="1" ht="23.45" customHeight="1">
      <c r="A43" s="1830" t="s">
        <v>3544</v>
      </c>
      <c r="B43" s="1831"/>
      <c r="C43" s="1831"/>
      <c r="D43" s="1831"/>
      <c r="E43" s="1831"/>
      <c r="F43" s="1831"/>
      <c r="G43" s="1831"/>
      <c r="H43" s="1831"/>
      <c r="I43" s="1831"/>
      <c r="J43" s="1831"/>
      <c r="K43" s="1831"/>
      <c r="L43" s="1831"/>
      <c r="M43" s="1831"/>
      <c r="N43" s="1831"/>
      <c r="O43" s="1831"/>
      <c r="P43" s="1832"/>
      <c r="Q43" s="562" t="s">
        <v>1326</v>
      </c>
      <c r="R43" s="563"/>
    </row>
    <row r="44" spans="1:18" s="51" customFormat="1" ht="11.45" customHeight="1">
      <c r="A44" s="50"/>
      <c r="B44" s="79" t="s">
        <v>1988</v>
      </c>
      <c r="C44" s="50"/>
      <c r="D44" s="163"/>
      <c r="E44" s="1176"/>
      <c r="F44" s="1176"/>
      <c r="G44" s="1176"/>
      <c r="H44" s="1176"/>
      <c r="I44" s="1176"/>
      <c r="J44" s="1176"/>
      <c r="K44" s="1176"/>
      <c r="L44" s="1176"/>
      <c r="M44" s="1176"/>
      <c r="N44" s="87"/>
      <c r="O44" s="83"/>
      <c r="P44" s="2"/>
      <c r="Q44" s="529"/>
      <c r="R44" s="529"/>
    </row>
    <row r="45" spans="1:18" s="51" customFormat="1" ht="23.45" customHeight="1">
      <c r="A45" s="1833"/>
      <c r="B45" s="1834"/>
      <c r="C45" s="1834"/>
      <c r="D45" s="1834"/>
      <c r="E45" s="1834"/>
      <c r="F45" s="1834"/>
      <c r="G45" s="1834"/>
      <c r="H45" s="1834"/>
      <c r="I45" s="1834"/>
      <c r="J45" s="1834"/>
      <c r="K45" s="1834"/>
      <c r="L45" s="1834"/>
      <c r="M45" s="1834"/>
      <c r="N45" s="1834"/>
      <c r="O45" s="1834"/>
      <c r="P45" s="1835"/>
      <c r="Q45" s="562" t="s">
        <v>1326</v>
      </c>
      <c r="R45" s="563"/>
    </row>
    <row r="46" spans="1:18" ht="3.6" customHeight="1">
      <c r="M46" s="40"/>
      <c r="N46" s="134"/>
      <c r="O46" s="180"/>
      <c r="P46" s="180"/>
    </row>
    <row r="47" spans="1:18" s="51" customFormat="1" ht="12.6" customHeight="1">
      <c r="A47" s="182" t="s">
        <v>1295</v>
      </c>
      <c r="B47" s="122" t="s">
        <v>2816</v>
      </c>
      <c r="D47" s="49"/>
      <c r="H47" s="53" t="s">
        <v>2880</v>
      </c>
      <c r="I47" s="57" t="s">
        <v>2004</v>
      </c>
      <c r="J47" s="56"/>
      <c r="K47" s="56"/>
      <c r="M47" s="2">
        <v>4</v>
      </c>
      <c r="N47" s="594"/>
      <c r="O47" s="179">
        <f>IF(J48="Flexible",MIN($M47,(O49+O50+O51+O52)),IF(AND(J48="Rural",O55&gt;0),MIN($M55,O55),0))</f>
        <v>3</v>
      </c>
      <c r="P47" s="179">
        <f>IF(K48="Flexible",MIN($M47,(P49+P50+P51+P52)),IF(AND(K48="Rural",P55&gt;0),MIN($M55,P55),0))</f>
        <v>0</v>
      </c>
      <c r="Q47" s="126" t="s">
        <v>461</v>
      </c>
    </row>
    <row r="48" spans="1:18" s="51" customFormat="1" ht="12.6" customHeight="1">
      <c r="A48" s="675" t="s">
        <v>3062</v>
      </c>
      <c r="B48" s="122"/>
      <c r="D48" s="49"/>
      <c r="H48" s="205" t="s">
        <v>3072</v>
      </c>
      <c r="I48" s="676"/>
      <c r="J48" s="674" t="str">
        <f>'Part I-Project Information'!$H$85</f>
        <v>Flexible</v>
      </c>
      <c r="L48" s="31"/>
      <c r="M48" s="2"/>
      <c r="N48" s="2"/>
      <c r="O48" s="2"/>
      <c r="P48" s="2"/>
      <c r="Q48" s="126"/>
    </row>
    <row r="49" spans="1:19" s="505" customFormat="1" ht="23.25" customHeight="1">
      <c r="A49" s="170" t="s">
        <v>2110</v>
      </c>
      <c r="B49" s="2040" t="s">
        <v>3275</v>
      </c>
      <c r="C49" s="2040"/>
      <c r="D49" s="2040"/>
      <c r="E49" s="2040"/>
      <c r="F49" s="2040"/>
      <c r="G49" s="2040"/>
      <c r="H49" s="2040"/>
      <c r="I49" s="2040"/>
      <c r="J49" s="2040"/>
      <c r="K49" s="2040"/>
      <c r="L49" s="2040"/>
      <c r="M49" s="671">
        <v>4</v>
      </c>
      <c r="N49" s="475" t="s">
        <v>2110</v>
      </c>
      <c r="O49" s="1112">
        <v>0</v>
      </c>
      <c r="P49" s="1313"/>
      <c r="Q49" s="672" t="str">
        <f>IF(OR($O49=$M49,$O49=0,$O49=""),"","* * Check Score! * *")</f>
        <v/>
      </c>
      <c r="S49" s="474" t="s">
        <v>2929</v>
      </c>
    </row>
    <row r="50" spans="1:19" s="505" customFormat="1" ht="12" customHeight="1">
      <c r="A50" s="170" t="s">
        <v>2113</v>
      </c>
      <c r="B50" s="2040" t="s">
        <v>3290</v>
      </c>
      <c r="C50" s="2040"/>
      <c r="D50" s="2040"/>
      <c r="E50" s="2040"/>
      <c r="F50" s="2040"/>
      <c r="G50" s="2040"/>
      <c r="H50" s="2040"/>
      <c r="I50" s="2040"/>
      <c r="J50" s="2040"/>
      <c r="K50" s="2040"/>
      <c r="L50" s="2040"/>
      <c r="M50" s="671">
        <v>3</v>
      </c>
      <c r="N50" s="192" t="s">
        <v>2113</v>
      </c>
      <c r="O50" s="1113">
        <v>3</v>
      </c>
      <c r="P50" s="1314"/>
      <c r="Q50" s="672" t="str">
        <f>IF(OR($O50=$M50,$O50=0,$O50=""),"","* * Check Score! * *")</f>
        <v/>
      </c>
      <c r="S50" s="474" t="s">
        <v>2929</v>
      </c>
    </row>
    <row r="51" spans="1:19" s="51" customFormat="1" ht="12.6" customHeight="1">
      <c r="A51" s="165" t="s">
        <v>793</v>
      </c>
      <c r="B51" s="205" t="s">
        <v>3220</v>
      </c>
      <c r="E51" s="49"/>
      <c r="K51" s="56"/>
      <c r="M51" s="85">
        <v>2</v>
      </c>
      <c r="N51" s="217" t="s">
        <v>793</v>
      </c>
      <c r="O51" s="1114">
        <v>0</v>
      </c>
      <c r="P51" s="1315"/>
      <c r="Q51" s="458" t="str">
        <f>IF(OR($O51=$M51,$O51=0,$O51=""),"","* * Check Score! * *")</f>
        <v/>
      </c>
      <c r="S51" s="474" t="s">
        <v>2929</v>
      </c>
    </row>
    <row r="52" spans="1:19" s="51" customFormat="1" ht="12.6" customHeight="1">
      <c r="A52" s="165" t="s">
        <v>2245</v>
      </c>
      <c r="B52" s="205" t="s">
        <v>3221</v>
      </c>
      <c r="E52" s="49"/>
      <c r="K52" s="56"/>
      <c r="M52" s="85">
        <v>1</v>
      </c>
      <c r="N52" s="217" t="s">
        <v>2245</v>
      </c>
      <c r="O52" s="1115">
        <v>0</v>
      </c>
      <c r="P52" s="1312"/>
      <c r="Q52" s="458" t="str">
        <f>IF(OR($O52=$M52,$O52=0,$O52=""),"","* * Check Score! * *")</f>
        <v/>
      </c>
      <c r="S52" s="474" t="s">
        <v>2929</v>
      </c>
    </row>
    <row r="53" spans="1:19" s="51" customFormat="1" ht="12.6" customHeight="1">
      <c r="A53" s="44" t="s">
        <v>3289</v>
      </c>
      <c r="B53" s="205"/>
      <c r="E53" s="49"/>
      <c r="K53" s="56"/>
      <c r="M53" s="85"/>
      <c r="N53" s="85"/>
      <c r="O53" s="85"/>
      <c r="P53" s="85"/>
      <c r="Q53" s="458"/>
      <c r="R53" s="458"/>
    </row>
    <row r="54" spans="1:19" s="51" customFormat="1" ht="12.6" customHeight="1">
      <c r="A54" s="675" t="s">
        <v>3065</v>
      </c>
      <c r="B54" s="205"/>
      <c r="E54" s="49"/>
      <c r="K54" s="56"/>
      <c r="M54" s="85"/>
      <c r="N54" s="85"/>
      <c r="O54" s="85"/>
      <c r="P54" s="85"/>
      <c r="Q54" s="458"/>
      <c r="R54" s="458"/>
    </row>
    <row r="55" spans="1:19" s="119" customFormat="1" ht="12" customHeight="1">
      <c r="A55" s="165" t="s">
        <v>1848</v>
      </c>
      <c r="B55" s="205" t="s">
        <v>3123</v>
      </c>
      <c r="C55" s="205"/>
      <c r="D55" s="205"/>
      <c r="E55" s="205"/>
      <c r="F55" s="205"/>
      <c r="G55" s="205"/>
      <c r="H55" s="205"/>
      <c r="I55" s="205"/>
      <c r="J55" s="205"/>
      <c r="K55" s="205"/>
      <c r="L55" s="205"/>
      <c r="M55" s="85">
        <v>2</v>
      </c>
      <c r="N55" s="217" t="s">
        <v>1848</v>
      </c>
      <c r="O55" s="1116">
        <v>0</v>
      </c>
      <c r="P55" s="1316"/>
      <c r="Q55" s="458" t="str">
        <f>IF(OR($O55=$M55,$O55=0,$O55=""),"","* * Check Score! * *")</f>
        <v/>
      </c>
      <c r="R55" s="458"/>
    </row>
    <row r="56" spans="1:19" s="119" customFormat="1" ht="11.45" customHeight="1">
      <c r="A56" s="50"/>
      <c r="B56" s="57" t="s">
        <v>269</v>
      </c>
      <c r="C56" s="50"/>
      <c r="D56" s="56"/>
      <c r="E56" s="56"/>
      <c r="F56" s="56"/>
      <c r="G56" s="56"/>
      <c r="H56" s="44"/>
      <c r="I56" s="44"/>
      <c r="J56" s="44"/>
      <c r="K56" s="44"/>
      <c r="M56" s="54"/>
      <c r="N56" s="7"/>
      <c r="O56" s="4"/>
      <c r="P56" s="2"/>
    </row>
    <row r="57" spans="1:19" s="51" customFormat="1" ht="12.75" customHeight="1">
      <c r="A57" s="1830" t="s">
        <v>3545</v>
      </c>
      <c r="B57" s="1831"/>
      <c r="C57" s="1831"/>
      <c r="D57" s="1831"/>
      <c r="E57" s="1831"/>
      <c r="F57" s="1831"/>
      <c r="G57" s="1831"/>
      <c r="H57" s="1831"/>
      <c r="I57" s="1831"/>
      <c r="J57" s="1831"/>
      <c r="K57" s="1831"/>
      <c r="L57" s="1831"/>
      <c r="M57" s="1831"/>
      <c r="N57" s="1831"/>
      <c r="O57" s="1831"/>
      <c r="P57" s="1832"/>
      <c r="Q57" s="562" t="s">
        <v>1326</v>
      </c>
    </row>
    <row r="58" spans="1:19" s="119" customFormat="1" ht="11.45" customHeight="1">
      <c r="A58" s="50"/>
      <c r="B58" s="114" t="s">
        <v>1988</v>
      </c>
      <c r="C58" s="50"/>
      <c r="D58" s="114"/>
      <c r="E58" s="1174"/>
      <c r="F58" s="1174"/>
      <c r="G58" s="1174"/>
      <c r="H58" s="1174"/>
      <c r="I58" s="1174"/>
      <c r="J58" s="1174"/>
      <c r="K58" s="1174"/>
      <c r="L58" s="1174"/>
      <c r="M58" s="1174"/>
      <c r="N58" s="110"/>
      <c r="O58" s="224"/>
      <c r="P58" s="2"/>
      <c r="Q58" s="529"/>
    </row>
    <row r="59" spans="1:19" s="51" customFormat="1" ht="12.75" customHeight="1">
      <c r="A59" s="1833"/>
      <c r="B59" s="1834"/>
      <c r="C59" s="1834"/>
      <c r="D59" s="1834"/>
      <c r="E59" s="1834"/>
      <c r="F59" s="1834"/>
      <c r="G59" s="1834"/>
      <c r="H59" s="1834"/>
      <c r="I59" s="1834"/>
      <c r="J59" s="1834"/>
      <c r="K59" s="1834"/>
      <c r="L59" s="1834"/>
      <c r="M59" s="1834"/>
      <c r="N59" s="1834"/>
      <c r="O59" s="1834"/>
      <c r="P59" s="1835"/>
      <c r="Q59" s="562" t="s">
        <v>1326</v>
      </c>
    </row>
    <row r="60" spans="1:19" s="51" customFormat="1" ht="3" customHeight="1">
      <c r="A60" s="218"/>
      <c r="B60" s="59"/>
      <c r="G60" s="49"/>
      <c r="J60" s="56"/>
      <c r="K60" s="56"/>
      <c r="M60" s="119"/>
      <c r="N60" s="59"/>
      <c r="O60" s="119"/>
      <c r="P60" s="119"/>
    </row>
    <row r="61" spans="1:19" s="51" customFormat="1" ht="12.6" customHeight="1">
      <c r="A61" s="182" t="s">
        <v>1296</v>
      </c>
      <c r="B61" s="122" t="s">
        <v>2817</v>
      </c>
      <c r="D61" s="49"/>
      <c r="E61" s="44" t="s">
        <v>1466</v>
      </c>
      <c r="I61" s="57" t="s">
        <v>2004</v>
      </c>
      <c r="M61" s="2">
        <v>2</v>
      </c>
      <c r="N61" s="482" t="str">
        <f>IF(OR($O61=$M61,$O61=0,$O61=""),"","***")</f>
        <v/>
      </c>
      <c r="O61" s="1117">
        <v>0</v>
      </c>
      <c r="P61" s="1316"/>
      <c r="Q61" s="126" t="s">
        <v>461</v>
      </c>
    </row>
    <row r="62" spans="1:19" s="51" customFormat="1" ht="12.6" customHeight="1">
      <c r="A62" s="182"/>
      <c r="B62" s="479" t="s">
        <v>2802</v>
      </c>
      <c r="D62" s="49"/>
      <c r="E62" s="44"/>
      <c r="L62" s="2064"/>
      <c r="M62" s="2065"/>
      <c r="N62" s="2065"/>
      <c r="O62" s="2066"/>
      <c r="P62" s="594"/>
      <c r="Q62" s="126"/>
    </row>
    <row r="63" spans="1:19" s="51" customFormat="1" ht="12.6" customHeight="1">
      <c r="A63" s="182"/>
      <c r="B63" s="479" t="s">
        <v>3063</v>
      </c>
      <c r="D63" s="49"/>
      <c r="E63" s="44"/>
      <c r="L63" s="2064"/>
      <c r="M63" s="2065"/>
      <c r="N63" s="2065"/>
      <c r="O63" s="2066"/>
      <c r="P63" s="594"/>
      <c r="Q63" s="126"/>
    </row>
    <row r="64" spans="1:19" s="119" customFormat="1" ht="11.45" customHeight="1">
      <c r="A64" s="50"/>
      <c r="B64" s="57" t="s">
        <v>269</v>
      </c>
      <c r="C64" s="50"/>
      <c r="D64" s="56"/>
      <c r="E64" s="56"/>
      <c r="F64" s="56"/>
      <c r="G64" s="56"/>
      <c r="I64" s="44"/>
      <c r="J64" s="44"/>
      <c r="K64" s="44"/>
      <c r="M64" s="54"/>
      <c r="N64" s="7"/>
      <c r="O64" s="4"/>
      <c r="P64" s="2"/>
    </row>
    <row r="65" spans="1:18" s="51" customFormat="1" ht="12.75" customHeight="1">
      <c r="A65" s="1830"/>
      <c r="B65" s="1831"/>
      <c r="C65" s="1831"/>
      <c r="D65" s="1831"/>
      <c r="E65" s="1831"/>
      <c r="F65" s="1831"/>
      <c r="G65" s="1831"/>
      <c r="H65" s="1831"/>
      <c r="I65" s="1831"/>
      <c r="J65" s="1831"/>
      <c r="K65" s="1831"/>
      <c r="L65" s="1831"/>
      <c r="M65" s="1831"/>
      <c r="N65" s="1831"/>
      <c r="O65" s="1831"/>
      <c r="P65" s="1832"/>
      <c r="Q65" s="562" t="s">
        <v>1326</v>
      </c>
    </row>
    <row r="66" spans="1:18" s="119" customFormat="1" ht="11.45" customHeight="1">
      <c r="A66" s="50"/>
      <c r="B66" s="114" t="s">
        <v>1988</v>
      </c>
      <c r="C66" s="50"/>
      <c r="D66" s="114"/>
      <c r="E66" s="1174"/>
      <c r="F66" s="1174"/>
      <c r="G66" s="1174"/>
      <c r="H66" s="1174"/>
      <c r="I66" s="1174"/>
      <c r="J66" s="1174"/>
      <c r="K66" s="1174"/>
      <c r="L66" s="1174"/>
      <c r="M66" s="1174"/>
      <c r="N66" s="110"/>
      <c r="O66" s="224"/>
      <c r="P66" s="2"/>
      <c r="Q66" s="529"/>
    </row>
    <row r="67" spans="1:18" s="51" customFormat="1" ht="12.75" customHeight="1">
      <c r="A67" s="1833"/>
      <c r="B67" s="1834"/>
      <c r="C67" s="1834"/>
      <c r="D67" s="1834"/>
      <c r="E67" s="1834"/>
      <c r="F67" s="1834"/>
      <c r="G67" s="1834"/>
      <c r="H67" s="1834"/>
      <c r="I67" s="1834"/>
      <c r="J67" s="1834"/>
      <c r="K67" s="1834"/>
      <c r="L67" s="1834"/>
      <c r="M67" s="1834"/>
      <c r="N67" s="1834"/>
      <c r="O67" s="1834"/>
      <c r="P67" s="1835"/>
      <c r="Q67" s="562" t="s">
        <v>1326</v>
      </c>
    </row>
    <row r="68" spans="1:18" ht="3" customHeight="1">
      <c r="B68" s="137"/>
      <c r="C68" s="137"/>
      <c r="D68" s="137"/>
      <c r="E68" s="137"/>
      <c r="R68" s="51"/>
    </row>
    <row r="69" spans="1:18" s="51" customFormat="1" ht="12.6" customHeight="1">
      <c r="A69" s="182" t="s">
        <v>2006</v>
      </c>
      <c r="B69" s="123" t="s">
        <v>225</v>
      </c>
      <c r="D69" s="47"/>
      <c r="E69" s="44"/>
      <c r="I69" s="559" t="s">
        <v>2870</v>
      </c>
      <c r="J69" s="1423" t="s">
        <v>3481</v>
      </c>
      <c r="K69" s="2069"/>
      <c r="L69" s="1424"/>
      <c r="M69" s="2">
        <v>3</v>
      </c>
      <c r="N69" s="482"/>
      <c r="O69" s="545">
        <f>IF(AND($J70="Flexible",OR($J69="Earth Craft Communities",$J69="LEED-ND")),$M70,IF(OR($J69="Earth Craft House Multifamily",$J69="Earth Craft House Single Family",$J69="Earth Craft House Renovation",$J69="LEED for Homes",$J69="EF Green Communities",$J69="NAHB Natl Green Bdlg Stds",$J69="EnergyStar v3"),$M77,0))</f>
        <v>2</v>
      </c>
      <c r="P69" s="1317">
        <f>IF(AND($J70="Flexible",OR($J69="Earth Craft Communities",$J69="LEED-ND")),$M70,IF(OR($J69="Earth Craft House Multifamily",$J69="Earth Craft House Single Family",$J69="Earth Craft House Renovation",$J69="LEED for Homes",$J69="EF Green Communities",$J69="NAHB Natl Green Bdlg Stds",$J69="EnergyStar v3"),$M77,0))</f>
        <v>2</v>
      </c>
      <c r="Q69" s="126" t="s">
        <v>461</v>
      </c>
    </row>
    <row r="70" spans="1:18" ht="11.45" customHeight="1">
      <c r="A70" s="165" t="s">
        <v>2110</v>
      </c>
      <c r="B70" s="221" t="s">
        <v>2469</v>
      </c>
      <c r="D70" s="40"/>
      <c r="H70" s="205" t="s">
        <v>3072</v>
      </c>
      <c r="I70" s="676"/>
      <c r="J70" s="674" t="str">
        <f>'Part I-Project Information'!$H$85</f>
        <v>Flexible</v>
      </c>
      <c r="K70" s="51"/>
      <c r="M70" s="134">
        <v>3</v>
      </c>
      <c r="N70" s="31"/>
      <c r="O70" s="139" t="s">
        <v>2672</v>
      </c>
      <c r="P70" s="139" t="s">
        <v>2672</v>
      </c>
    </row>
    <row r="71" spans="1:18" s="51" customFormat="1" ht="12.6" customHeight="1">
      <c r="B71" s="533" t="s">
        <v>2907</v>
      </c>
      <c r="D71" s="49"/>
      <c r="M71" s="2"/>
      <c r="N71" s="217" t="s">
        <v>2110</v>
      </c>
      <c r="O71" s="1080" t="s">
        <v>3452</v>
      </c>
      <c r="P71" s="1287"/>
      <c r="Q71" s="126"/>
    </row>
    <row r="72" spans="1:18" ht="11.45" customHeight="1">
      <c r="B72" s="452" t="s">
        <v>2114</v>
      </c>
      <c r="C72" s="467" t="s">
        <v>2803</v>
      </c>
      <c r="E72" s="137"/>
      <c r="N72" s="31"/>
      <c r="O72" s="31"/>
      <c r="P72" s="31"/>
    </row>
    <row r="73" spans="1:18" ht="23.25" customHeight="1">
      <c r="A73" s="504" t="str">
        <f>IF(AND(O73="",$J$69="Earth Craft Communities"), "X","")</f>
        <v/>
      </c>
      <c r="B73" s="473"/>
      <c r="C73" s="2047" t="s">
        <v>2805</v>
      </c>
      <c r="D73" s="2047"/>
      <c r="E73" s="2047"/>
      <c r="F73" s="2047"/>
      <c r="G73" s="2047"/>
      <c r="H73" s="2047"/>
      <c r="I73" s="2047"/>
      <c r="J73" s="2047"/>
      <c r="K73" s="2047"/>
      <c r="L73" s="2047"/>
      <c r="M73" s="470" t="str">
        <f>IF(AND($I$87="Stable Communities &lt; 10%",O73=""), "X","")</f>
        <v/>
      </c>
      <c r="N73" s="617">
        <v>1</v>
      </c>
      <c r="O73" s="1091" t="s">
        <v>1602</v>
      </c>
      <c r="P73" s="1289"/>
    </row>
    <row r="74" spans="1:18" ht="11.45" customHeight="1">
      <c r="B74" s="452" t="s">
        <v>2116</v>
      </c>
      <c r="C74" s="467" t="s">
        <v>2804</v>
      </c>
      <c r="E74" s="137"/>
      <c r="M74" s="471"/>
      <c r="N74" s="31"/>
      <c r="O74" s="139" t="s">
        <v>2672</v>
      </c>
      <c r="P74" s="139" t="s">
        <v>2672</v>
      </c>
    </row>
    <row r="75" spans="1:18" ht="23.25" customHeight="1">
      <c r="A75" s="504" t="str">
        <f>IF(AND(O75="",$J$69="LEED-ND"), "X","")</f>
        <v/>
      </c>
      <c r="B75" s="473"/>
      <c r="C75" s="2047" t="s">
        <v>2971</v>
      </c>
      <c r="D75" s="2047"/>
      <c r="E75" s="2047"/>
      <c r="F75" s="2047"/>
      <c r="G75" s="2047"/>
      <c r="H75" s="2047"/>
      <c r="I75" s="2047"/>
      <c r="J75" s="2047"/>
      <c r="K75" s="2047"/>
      <c r="L75" s="2047"/>
      <c r="M75" s="470" t="str">
        <f>IF(AND($I$87="Stable Communities &lt; 10%",O75=""), "X","")</f>
        <v/>
      </c>
      <c r="N75" s="617" t="s">
        <v>2807</v>
      </c>
      <c r="O75" s="1118" t="s">
        <v>1602</v>
      </c>
      <c r="P75" s="1318"/>
    </row>
    <row r="76" spans="1:18" ht="6" customHeight="1">
      <c r="B76" s="473"/>
      <c r="E76" s="166"/>
      <c r="F76" s="166"/>
      <c r="I76" s="166"/>
      <c r="J76" s="166"/>
      <c r="K76" s="166"/>
      <c r="M76" s="470"/>
      <c r="N76" s="470"/>
      <c r="O76" s="470"/>
      <c r="P76" s="470"/>
    </row>
    <row r="77" spans="1:18" ht="11.45" customHeight="1">
      <c r="A77" s="165" t="s">
        <v>2113</v>
      </c>
      <c r="B77" s="221" t="s">
        <v>328</v>
      </c>
      <c r="D77" s="40"/>
      <c r="E77" s="40"/>
      <c r="F77" s="40"/>
      <c r="M77" s="66">
        <v>2</v>
      </c>
      <c r="N77" s="31"/>
      <c r="O77" s="139" t="s">
        <v>2672</v>
      </c>
      <c r="P77" s="139" t="s">
        <v>2672</v>
      </c>
    </row>
    <row r="78" spans="1:18" s="51" customFormat="1" ht="11.25" customHeight="1">
      <c r="A78" s="451" t="str">
        <f>IF(AND(O78="",OR($J$69="Earth Craft House Single Family",$J$69="Earth Craft House Multifamily",$J$69="Earth Craft House Renovation",$J$69="EF Green Communities",$J$69="LEED for Homes",$J$69="NAHB Natl Green Bdlg Stds",$J$69="EnergyStar v3")), "X","")</f>
        <v/>
      </c>
      <c r="B78" s="618" t="s">
        <v>2114</v>
      </c>
      <c r="C78" s="614" t="s">
        <v>2975</v>
      </c>
      <c r="D78" s="49"/>
      <c r="M78" s="2"/>
      <c r="N78" s="618" t="s">
        <v>2114</v>
      </c>
      <c r="O78" s="1094" t="s">
        <v>3452</v>
      </c>
      <c r="P78" s="1293"/>
      <c r="Q78" s="126"/>
    </row>
    <row r="79" spans="1:18" s="51" customFormat="1" ht="11.25" customHeight="1">
      <c r="A79" s="451" t="str">
        <f>IF(AND(O79="",OR($J$69="Earth Craft House Single Family",$J$69="Earth Craft House Multifamily",$J$69="Earth Craft House Renovation",$J$69="EF Green Communities",$J$69="LEED for Homes",$J$69="NAHB Natl Green Bdlg Stds",$J$69="EnergyStar v3")), "X","")</f>
        <v/>
      </c>
      <c r="B79" s="618" t="s">
        <v>2116</v>
      </c>
      <c r="C79" s="614" t="s">
        <v>2972</v>
      </c>
      <c r="D79" s="49"/>
      <c r="M79" s="2"/>
      <c r="N79" s="618" t="s">
        <v>2116</v>
      </c>
      <c r="O79" s="1095" t="s">
        <v>3452</v>
      </c>
      <c r="P79" s="1294"/>
      <c r="Q79" s="126"/>
    </row>
    <row r="80" spans="1:18" s="51" customFormat="1" ht="11.25" customHeight="1">
      <c r="A80" s="451" t="str">
        <f>IF(AND(O80="",OR($J$69="Earth Craft House Single Family",$J$69="Earth Craft House Multifamily",$J$69="Earth Craft House Renovation",$J$69="EF Green Communities",$J$69="LEED for Homes",$J$69="NAHB Natl Green Bdlg Stds",$J$69="EnergyStar v3")), "X","")</f>
        <v/>
      </c>
      <c r="B80" s="618" t="s">
        <v>2698</v>
      </c>
      <c r="C80" s="614" t="s">
        <v>2973</v>
      </c>
      <c r="D80" s="49"/>
      <c r="M80" s="2"/>
      <c r="N80" s="618" t="s">
        <v>2698</v>
      </c>
      <c r="O80" s="1095" t="s">
        <v>3452</v>
      </c>
      <c r="P80" s="1294"/>
      <c r="Q80" s="126"/>
    </row>
    <row r="81" spans="1:18" s="51" customFormat="1" ht="11.25" customHeight="1">
      <c r="A81" s="451" t="str">
        <f>IF(AND(O81="",OR($J$69="Earth Craft House Single Family",$J$69="Earth Craft House Multifamily",$J$69="Earth Craft House Renovation",$J$69="EF Green Communities",$J$69="LEED for Homes",$J$69="NAHB Natl Green Bdlg Stds",$J$69="EnergyStar v3")), "X","")</f>
        <v/>
      </c>
      <c r="B81" s="618" t="s">
        <v>1295</v>
      </c>
      <c r="C81" s="614" t="s">
        <v>2974</v>
      </c>
      <c r="D81" s="49"/>
      <c r="M81" s="2"/>
      <c r="N81" s="618" t="s">
        <v>1295</v>
      </c>
      <c r="O81" s="1096" t="s">
        <v>3452</v>
      </c>
      <c r="P81" s="1295"/>
      <c r="Q81" s="126"/>
    </row>
    <row r="82" spans="1:18" s="119" customFormat="1" ht="11.45" customHeight="1">
      <c r="A82" s="50"/>
      <c r="B82" s="57" t="s">
        <v>269</v>
      </c>
      <c r="C82" s="50"/>
      <c r="D82" s="56"/>
      <c r="E82" s="56"/>
      <c r="F82" s="56"/>
      <c r="G82" s="56"/>
      <c r="K82" s="44"/>
      <c r="M82" s="54"/>
      <c r="N82" s="7"/>
      <c r="O82" s="4"/>
      <c r="P82" s="2"/>
    </row>
    <row r="83" spans="1:18" s="51" customFormat="1" ht="12.75" customHeight="1">
      <c r="A83" s="2044" t="s">
        <v>3546</v>
      </c>
      <c r="B83" s="2045"/>
      <c r="C83" s="2045"/>
      <c r="D83" s="2045"/>
      <c r="E83" s="2045"/>
      <c r="F83" s="2045"/>
      <c r="G83" s="2045"/>
      <c r="H83" s="2045"/>
      <c r="I83" s="2045"/>
      <c r="J83" s="2045"/>
      <c r="K83" s="2045"/>
      <c r="L83" s="2045"/>
      <c r="M83" s="2045"/>
      <c r="N83" s="2045"/>
      <c r="O83" s="2045"/>
      <c r="P83" s="2046"/>
      <c r="Q83" s="562" t="s">
        <v>1326</v>
      </c>
    </row>
    <row r="84" spans="1:18" s="51" customFormat="1" ht="11.25" customHeight="1">
      <c r="B84" s="114" t="s">
        <v>1988</v>
      </c>
      <c r="C84" s="50"/>
      <c r="D84" s="100"/>
      <c r="E84" s="1176"/>
      <c r="F84" s="1176"/>
      <c r="G84" s="1176"/>
      <c r="H84" s="1176"/>
      <c r="I84" s="1176"/>
      <c r="J84" s="1176"/>
      <c r="K84" s="1176"/>
      <c r="L84" s="1176"/>
      <c r="M84" s="1176"/>
      <c r="N84" s="87"/>
      <c r="O84" s="83"/>
      <c r="P84" s="2"/>
      <c r="Q84" s="529"/>
    </row>
    <row r="85" spans="1:18" s="51" customFormat="1" ht="12.75" customHeight="1">
      <c r="A85" s="2050"/>
      <c r="B85" s="2051"/>
      <c r="C85" s="2051"/>
      <c r="D85" s="2051"/>
      <c r="E85" s="2051"/>
      <c r="F85" s="2051"/>
      <c r="G85" s="2051"/>
      <c r="H85" s="2051"/>
      <c r="I85" s="2051"/>
      <c r="J85" s="2051"/>
      <c r="K85" s="2051"/>
      <c r="L85" s="2051"/>
      <c r="M85" s="2051"/>
      <c r="N85" s="2051"/>
      <c r="O85" s="2051"/>
      <c r="P85" s="2052"/>
      <c r="Q85" s="562" t="s">
        <v>1326</v>
      </c>
    </row>
    <row r="86" spans="1:18" s="51" customFormat="1" ht="3" customHeight="1">
      <c r="A86" s="50"/>
      <c r="D86" s="47"/>
      <c r="E86" s="44"/>
      <c r="F86" s="612"/>
      <c r="G86" s="612"/>
      <c r="H86" s="612"/>
      <c r="I86" s="612"/>
      <c r="J86" s="38"/>
      <c r="K86" s="38"/>
      <c r="L86" s="38"/>
      <c r="M86" s="71"/>
      <c r="N86" s="612"/>
      <c r="O86" s="1175"/>
      <c r="P86" s="4"/>
    </row>
    <row r="87" spans="1:18" s="119" customFormat="1" ht="12.6" customHeight="1">
      <c r="A87" s="182" t="s">
        <v>530</v>
      </c>
      <c r="B87" s="123" t="s">
        <v>3064</v>
      </c>
      <c r="C87" s="109"/>
      <c r="D87" s="70"/>
      <c r="E87" s="70"/>
      <c r="M87" s="2">
        <v>4</v>
      </c>
      <c r="N87" s="8"/>
      <c r="O87" s="89">
        <f>IF(AND(E88="Flexible",D90=5%,O89="Yes",NOT(L91="")),4,IF(AND(E88="Flexible",D90=10%,O89="Yes",NOT(L91="")),3,IF(AND(E88="Flexible",D90=15%,O89="Yes",NOT(L91="")),2,IF(OR(AND(E88="Rural",D90=15%,L92&gt;100%,O89="Yes"),AND(E88="Rural",D90=10%,L92&gt;100%,O89="Yes"),AND(E88="Rural",D90=5%,L92&gt;100%,O89="Yes")),3,IF(AND(E88="Rural",D90=20%,L92&gt;100%,O89="Yes"),2,0)))))</f>
        <v>4</v>
      </c>
      <c r="P87" s="1316"/>
      <c r="Q87" s="126" t="s">
        <v>461</v>
      </c>
      <c r="R87" s="51"/>
    </row>
    <row r="88" spans="1:18" ht="11.45" customHeight="1">
      <c r="A88" s="165"/>
      <c r="B88" s="205" t="s">
        <v>3072</v>
      </c>
      <c r="C88" s="673"/>
      <c r="D88" s="673"/>
      <c r="E88" s="674" t="str">
        <f>'Part I-Project Information'!$H$85</f>
        <v>Flexible</v>
      </c>
      <c r="M88" s="134"/>
      <c r="N88" s="31"/>
      <c r="O88" s="139" t="s">
        <v>2672</v>
      </c>
      <c r="P88" s="139" t="s">
        <v>2672</v>
      </c>
    </row>
    <row r="89" spans="1:18" ht="11.45" customHeight="1">
      <c r="A89" s="451" t="str">
        <f>IF($I$87="Stable Communities &lt; 5%", "*","")</f>
        <v/>
      </c>
      <c r="B89" s="452" t="s">
        <v>2114</v>
      </c>
      <c r="C89" s="551" t="s">
        <v>2898</v>
      </c>
      <c r="E89" s="137"/>
      <c r="M89" s="94"/>
      <c r="N89" s="31"/>
      <c r="O89" s="1091" t="s">
        <v>3452</v>
      </c>
      <c r="P89" s="1289"/>
    </row>
    <row r="90" spans="1:18" ht="11.45" customHeight="1">
      <c r="B90" s="452" t="s">
        <v>2116</v>
      </c>
      <c r="C90" s="551" t="s">
        <v>2992</v>
      </c>
      <c r="D90" s="1119">
        <v>0.05</v>
      </c>
      <c r="E90" s="551" t="s">
        <v>2993</v>
      </c>
      <c r="H90" s="117" t="s">
        <v>2540</v>
      </c>
      <c r="K90" s="160" t="s">
        <v>2991</v>
      </c>
      <c r="L90" s="1120">
        <v>4.9700000000000001E-2</v>
      </c>
      <c r="M90" s="534"/>
      <c r="N90" s="532"/>
    </row>
    <row r="91" spans="1:18" ht="11.45" customHeight="1">
      <c r="B91" s="452" t="s">
        <v>2698</v>
      </c>
      <c r="C91" s="510" t="s">
        <v>2541</v>
      </c>
      <c r="E91" s="137"/>
      <c r="H91" s="117" t="s">
        <v>2542</v>
      </c>
      <c r="K91" s="609" t="s">
        <v>2980</v>
      </c>
      <c r="L91" s="1121" t="s">
        <v>3480</v>
      </c>
      <c r="M91" s="534"/>
    </row>
    <row r="92" spans="1:18" ht="11.45" customHeight="1">
      <c r="B92" s="452" t="s">
        <v>1295</v>
      </c>
      <c r="C92" s="510" t="s">
        <v>3222</v>
      </c>
      <c r="E92" s="137"/>
      <c r="H92" s="117"/>
      <c r="K92" s="160" t="s">
        <v>2991</v>
      </c>
      <c r="L92" s="1122"/>
      <c r="M92" s="534"/>
    </row>
    <row r="93" spans="1:18" s="51" customFormat="1" ht="13.9" customHeight="1">
      <c r="A93" s="50"/>
      <c r="B93" s="57" t="s">
        <v>269</v>
      </c>
      <c r="C93" s="50"/>
      <c r="D93" s="56"/>
      <c r="E93" s="56"/>
      <c r="F93" s="56"/>
      <c r="G93" s="56"/>
      <c r="H93" s="44"/>
      <c r="I93" s="44"/>
      <c r="J93" s="44"/>
      <c r="K93" s="44"/>
      <c r="M93" s="54"/>
      <c r="N93" s="73"/>
      <c r="O93" s="4"/>
      <c r="P93" s="1175"/>
    </row>
    <row r="94" spans="1:18" s="51" customFormat="1" ht="12.75" customHeight="1">
      <c r="A94" s="2044" t="s">
        <v>3547</v>
      </c>
      <c r="B94" s="2045"/>
      <c r="C94" s="2045"/>
      <c r="D94" s="2045"/>
      <c r="E94" s="2045"/>
      <c r="F94" s="2045"/>
      <c r="G94" s="2045"/>
      <c r="H94" s="2045"/>
      <c r="I94" s="2045"/>
      <c r="J94" s="2045"/>
      <c r="K94" s="2045"/>
      <c r="L94" s="2045"/>
      <c r="M94" s="2045"/>
      <c r="N94" s="2045"/>
      <c r="O94" s="2045"/>
      <c r="P94" s="2046"/>
      <c r="Q94" s="562" t="s">
        <v>1326</v>
      </c>
    </row>
    <row r="95" spans="1:18" s="51" customFormat="1" ht="11.25" customHeight="1">
      <c r="A95" s="50"/>
      <c r="B95" s="100" t="s">
        <v>1988</v>
      </c>
      <c r="C95" s="50"/>
      <c r="D95" s="100"/>
      <c r="E95" s="1176"/>
      <c r="F95" s="1176"/>
      <c r="G95" s="1176"/>
      <c r="H95" s="1176"/>
      <c r="I95" s="1176"/>
      <c r="J95" s="1176"/>
      <c r="K95" s="1176"/>
      <c r="L95" s="1176"/>
      <c r="M95" s="1176"/>
      <c r="N95" s="87"/>
      <c r="O95" s="83"/>
      <c r="P95" s="2"/>
      <c r="Q95" s="529"/>
    </row>
    <row r="96" spans="1:18" s="51" customFormat="1" ht="12.75" customHeight="1">
      <c r="A96" s="2050"/>
      <c r="B96" s="2051"/>
      <c r="C96" s="2051"/>
      <c r="D96" s="2051"/>
      <c r="E96" s="2051"/>
      <c r="F96" s="2051"/>
      <c r="G96" s="2051"/>
      <c r="H96" s="2051"/>
      <c r="I96" s="2051"/>
      <c r="J96" s="2051"/>
      <c r="K96" s="2051"/>
      <c r="L96" s="2051"/>
      <c r="M96" s="2051"/>
      <c r="N96" s="2051"/>
      <c r="O96" s="2051"/>
      <c r="P96" s="2052"/>
      <c r="Q96" s="562" t="s">
        <v>1326</v>
      </c>
    </row>
    <row r="97" spans="1:18" s="51" customFormat="1" ht="3" customHeight="1">
      <c r="A97" s="50"/>
      <c r="D97" s="47"/>
      <c r="E97" s="44"/>
      <c r="F97" s="612"/>
      <c r="G97" s="612"/>
      <c r="H97" s="612"/>
      <c r="I97" s="612"/>
      <c r="J97" s="38"/>
      <c r="K97" s="38"/>
      <c r="L97" s="38"/>
      <c r="M97" s="71"/>
      <c r="N97" s="612"/>
      <c r="O97" s="1175"/>
      <c r="P97" s="4"/>
    </row>
    <row r="98" spans="1:18" s="119" customFormat="1" ht="12.6" customHeight="1">
      <c r="A98" s="182" t="s">
        <v>531</v>
      </c>
      <c r="B98" s="123" t="s">
        <v>3073</v>
      </c>
      <c r="C98" s="109"/>
      <c r="D98" s="70"/>
      <c r="E98" s="70"/>
      <c r="H98" s="678"/>
      <c r="J98" s="2056" t="s">
        <v>3124</v>
      </c>
      <c r="K98" s="2057"/>
      <c r="L98" s="2058"/>
      <c r="M98" s="2">
        <v>3</v>
      </c>
      <c r="N98" s="8"/>
      <c r="O98" s="89">
        <f>IF(J98="Adopted Revitalization Plan",2,IF(J98="Designated Military Zone",1,IF(J98="Adptd Revital Plan &amp; Desig MZ",3,IF(J98="HUD Choice Neighborhood",2,0))))</f>
        <v>0</v>
      </c>
      <c r="P98" s="1316"/>
      <c r="Q98" s="126" t="s">
        <v>461</v>
      </c>
      <c r="R98" s="51"/>
    </row>
    <row r="99" spans="1:18" ht="11.45" customHeight="1">
      <c r="A99" s="165" t="s">
        <v>2110</v>
      </c>
      <c r="B99" s="221" t="s">
        <v>3078</v>
      </c>
      <c r="E99" s="40"/>
      <c r="F99" s="694" t="s">
        <v>3079</v>
      </c>
      <c r="I99" s="2061"/>
      <c r="J99" s="2062"/>
      <c r="K99" s="2062"/>
      <c r="L99" s="2062"/>
      <c r="M99" s="2062"/>
      <c r="N99" s="2062"/>
      <c r="O99" s="2062"/>
      <c r="P99" s="2063"/>
    </row>
    <row r="100" spans="1:18" s="51" customFormat="1" ht="12" customHeight="1">
      <c r="A100" s="165"/>
      <c r="B100" s="65" t="s">
        <v>3341</v>
      </c>
      <c r="D100" s="40"/>
      <c r="N100" s="594"/>
      <c r="O100" s="1096" t="s">
        <v>1602</v>
      </c>
      <c r="P100" s="1295"/>
      <c r="R100" s="458"/>
    </row>
    <row r="101" spans="1:18" s="51" customFormat="1" ht="11.45" customHeight="1">
      <c r="A101" s="534"/>
      <c r="B101" s="132" t="s">
        <v>3204</v>
      </c>
      <c r="E101" s="48"/>
      <c r="G101" s="609" t="s">
        <v>3144</v>
      </c>
      <c r="H101" s="2077" t="str">
        <f>'Part I-Project Information'!O27</f>
        <v>0003.00</v>
      </c>
      <c r="I101" s="2078"/>
      <c r="M101" s="535">
        <v>2</v>
      </c>
      <c r="O101" s="139" t="s">
        <v>2672</v>
      </c>
      <c r="P101" s="139" t="s">
        <v>2672</v>
      </c>
    </row>
    <row r="102" spans="1:18" s="51" customFormat="1" ht="11.45" customHeight="1">
      <c r="A102" s="451"/>
      <c r="B102" s="472" t="s">
        <v>2590</v>
      </c>
      <c r="C102" s="65" t="s">
        <v>3134</v>
      </c>
      <c r="D102" s="119"/>
      <c r="E102" s="48"/>
      <c r="G102" s="474" t="s">
        <v>3344</v>
      </c>
      <c r="I102" s="1123"/>
      <c r="M102" s="451"/>
      <c r="N102" s="472" t="s">
        <v>2590</v>
      </c>
      <c r="O102" s="1094" t="s">
        <v>1602</v>
      </c>
      <c r="P102" s="1293"/>
    </row>
    <row r="103" spans="1:18" s="51" customFormat="1" ht="11.45" customHeight="1">
      <c r="A103" s="451"/>
      <c r="B103" s="453" t="s">
        <v>2591</v>
      </c>
      <c r="C103" s="609" t="s">
        <v>3135</v>
      </c>
      <c r="D103" s="119"/>
      <c r="E103" s="48"/>
      <c r="G103" s="474" t="s">
        <v>3330</v>
      </c>
      <c r="H103" s="2059"/>
      <c r="I103" s="2060"/>
      <c r="K103" s="474" t="s">
        <v>3339</v>
      </c>
      <c r="L103" s="2048"/>
      <c r="M103" s="2049"/>
      <c r="N103" s="453" t="s">
        <v>2591</v>
      </c>
      <c r="O103" s="1096" t="s">
        <v>1602</v>
      </c>
      <c r="P103" s="1295"/>
    </row>
    <row r="104" spans="1:18" s="51" customFormat="1" ht="11.45" customHeight="1">
      <c r="A104" s="451"/>
      <c r="B104" s="453"/>
      <c r="C104" s="609"/>
      <c r="D104" s="119"/>
      <c r="E104" s="48"/>
      <c r="G104" s="474" t="s">
        <v>3131</v>
      </c>
      <c r="H104" s="2059"/>
      <c r="I104" s="2060"/>
      <c r="K104" s="474" t="s">
        <v>3130</v>
      </c>
      <c r="L104" s="2048" t="s">
        <v>3132</v>
      </c>
      <c r="M104" s="2049"/>
    </row>
    <row r="105" spans="1:18" ht="11.25" customHeight="1">
      <c r="B105" s="453" t="s">
        <v>2592</v>
      </c>
      <c r="C105" s="609" t="s">
        <v>3136</v>
      </c>
      <c r="D105" s="117"/>
      <c r="G105" s="348" t="s">
        <v>3340</v>
      </c>
      <c r="L105" s="1123"/>
      <c r="M105" s="451"/>
      <c r="N105" s="453" t="s">
        <v>2592</v>
      </c>
      <c r="O105" s="1091" t="s">
        <v>1602</v>
      </c>
      <c r="P105" s="1289"/>
    </row>
    <row r="106" spans="1:18" ht="10.9" customHeight="1">
      <c r="B106" s="453"/>
      <c r="C106" s="609"/>
      <c r="D106" s="117"/>
      <c r="G106" s="474" t="s">
        <v>3342</v>
      </c>
      <c r="L106" s="2059"/>
      <c r="M106" s="2060"/>
      <c r="N106" s="31"/>
      <c r="O106" s="31"/>
      <c r="P106" s="31"/>
    </row>
    <row r="107" spans="1:18" ht="10.9" customHeight="1">
      <c r="B107" s="453"/>
      <c r="C107" s="609" t="s">
        <v>3133</v>
      </c>
      <c r="D107" s="117"/>
      <c r="G107" s="348"/>
      <c r="K107" s="682" t="s">
        <v>2928</v>
      </c>
      <c r="L107" s="1124"/>
      <c r="M107" s="451"/>
      <c r="N107" s="453"/>
      <c r="O107" s="1094" t="s">
        <v>1602</v>
      </c>
      <c r="P107" s="1293"/>
    </row>
    <row r="108" spans="1:18" ht="10.9" customHeight="1">
      <c r="B108" s="453" t="s">
        <v>2593</v>
      </c>
      <c r="C108" s="650" t="s">
        <v>3137</v>
      </c>
      <c r="K108" s="682" t="s">
        <v>2928</v>
      </c>
      <c r="L108" s="1125"/>
      <c r="M108" s="451"/>
      <c r="N108" s="453" t="s">
        <v>2593</v>
      </c>
      <c r="O108" s="1095" t="s">
        <v>1602</v>
      </c>
      <c r="P108" s="1294"/>
    </row>
    <row r="109" spans="1:18" ht="10.9" customHeight="1">
      <c r="B109" s="453" t="s">
        <v>2594</v>
      </c>
      <c r="C109" s="650" t="s">
        <v>3138</v>
      </c>
      <c r="K109" s="682" t="s">
        <v>2928</v>
      </c>
      <c r="L109" s="1125"/>
      <c r="M109" s="451"/>
      <c r="N109" s="453" t="s">
        <v>2594</v>
      </c>
      <c r="O109" s="1095" t="s">
        <v>1602</v>
      </c>
      <c r="P109" s="1294"/>
    </row>
    <row r="110" spans="1:18" ht="10.9" customHeight="1">
      <c r="B110" s="453" t="s">
        <v>2610</v>
      </c>
      <c r="C110" s="62" t="s">
        <v>3141</v>
      </c>
      <c r="K110" s="682" t="s">
        <v>2928</v>
      </c>
      <c r="L110" s="1126"/>
      <c r="M110" s="451"/>
      <c r="N110" s="453" t="s">
        <v>2610</v>
      </c>
      <c r="O110" s="1095" t="s">
        <v>1602</v>
      </c>
      <c r="P110" s="1294"/>
    </row>
    <row r="111" spans="1:18" ht="10.9" customHeight="1">
      <c r="B111" s="453"/>
      <c r="C111" s="62" t="s">
        <v>3139</v>
      </c>
      <c r="K111" s="766"/>
      <c r="M111" s="451"/>
      <c r="N111" s="453"/>
      <c r="O111" s="1095" t="s">
        <v>1602</v>
      </c>
      <c r="P111" s="1294"/>
    </row>
    <row r="112" spans="1:18" ht="10.9" customHeight="1">
      <c r="B112" s="453" t="s">
        <v>2611</v>
      </c>
      <c r="C112" s="650" t="s">
        <v>3140</v>
      </c>
      <c r="D112" s="117"/>
      <c r="K112" s="682" t="s">
        <v>2928</v>
      </c>
      <c r="L112" s="1127"/>
      <c r="M112" s="451"/>
      <c r="N112" s="453" t="s">
        <v>2611</v>
      </c>
      <c r="O112" s="1095" t="s">
        <v>1602</v>
      </c>
      <c r="P112" s="1294"/>
    </row>
    <row r="113" spans="1:17" ht="10.9" customHeight="1">
      <c r="B113" s="472" t="s">
        <v>2612</v>
      </c>
      <c r="C113" s="650" t="s">
        <v>3142</v>
      </c>
      <c r="K113" s="682" t="s">
        <v>2928</v>
      </c>
      <c r="L113" s="1125"/>
      <c r="M113" s="451"/>
      <c r="N113" s="472" t="s">
        <v>2612</v>
      </c>
      <c r="O113" s="1095" t="s">
        <v>1602</v>
      </c>
      <c r="P113" s="1294"/>
    </row>
    <row r="114" spans="1:17" ht="10.9" customHeight="1">
      <c r="B114" s="472" t="s">
        <v>2613</v>
      </c>
      <c r="C114" s="650" t="s">
        <v>3143</v>
      </c>
      <c r="K114" s="682" t="s">
        <v>2928</v>
      </c>
      <c r="L114" s="1125"/>
      <c r="M114" s="451"/>
      <c r="N114" s="472" t="s">
        <v>2613</v>
      </c>
      <c r="O114" s="1095" t="s">
        <v>1602</v>
      </c>
      <c r="P114" s="1294"/>
    </row>
    <row r="115" spans="1:17" ht="10.9" customHeight="1">
      <c r="B115" s="472" t="s">
        <v>2614</v>
      </c>
      <c r="C115" s="650" t="s">
        <v>3145</v>
      </c>
      <c r="K115" s="682" t="s">
        <v>2928</v>
      </c>
      <c r="L115" s="1126"/>
      <c r="M115" s="451"/>
      <c r="N115" s="472" t="s">
        <v>2614</v>
      </c>
      <c r="O115" s="1096" t="s">
        <v>1602</v>
      </c>
      <c r="P115" s="1295"/>
    </row>
    <row r="116" spans="1:17" ht="11.45" customHeight="1">
      <c r="A116" s="165" t="s">
        <v>2113</v>
      </c>
      <c r="B116" s="221" t="s">
        <v>3075</v>
      </c>
      <c r="D116" s="40"/>
      <c r="M116" s="94">
        <v>1</v>
      </c>
      <c r="N116" s="31"/>
      <c r="O116" s="139" t="s">
        <v>2672</v>
      </c>
      <c r="P116" s="139" t="s">
        <v>2672</v>
      </c>
    </row>
    <row r="117" spans="1:17" ht="11.45" customHeight="1">
      <c r="A117" s="669" t="s">
        <v>1434</v>
      </c>
      <c r="B117" s="551" t="s">
        <v>3077</v>
      </c>
      <c r="E117" s="137"/>
      <c r="N117" s="31"/>
      <c r="O117" s="1091" t="s">
        <v>3425</v>
      </c>
      <c r="P117" s="1289"/>
      <c r="Q117" s="474"/>
    </row>
    <row r="118" spans="1:17" ht="11.45" customHeight="1">
      <c r="A118" s="165" t="s">
        <v>793</v>
      </c>
      <c r="B118" s="221" t="s">
        <v>3076</v>
      </c>
      <c r="C118" s="221"/>
      <c r="D118" s="40"/>
      <c r="M118" s="134">
        <v>2</v>
      </c>
      <c r="N118" s="31"/>
      <c r="O118" s="677" t="s">
        <v>2672</v>
      </c>
      <c r="P118" s="677" t="s">
        <v>2672</v>
      </c>
    </row>
    <row r="119" spans="1:17" ht="22.5" customHeight="1">
      <c r="B119" s="2079" t="s">
        <v>3276</v>
      </c>
      <c r="C119" s="2079"/>
      <c r="D119" s="2079"/>
      <c r="E119" s="2079"/>
      <c r="F119" s="2079"/>
      <c r="G119" s="2079"/>
      <c r="H119" s="2079"/>
      <c r="I119" s="2079"/>
      <c r="J119" s="2079"/>
      <c r="K119" s="2079"/>
      <c r="L119" s="2079"/>
      <c r="N119" s="31"/>
      <c r="O119" s="1091" t="s">
        <v>3425</v>
      </c>
      <c r="P119" s="1289"/>
    </row>
    <row r="120" spans="1:17" s="51" customFormat="1" ht="13.9" customHeight="1">
      <c r="A120" s="50"/>
      <c r="B120" s="57" t="s">
        <v>269</v>
      </c>
      <c r="C120" s="50"/>
      <c r="D120" s="56"/>
      <c r="E120" s="56"/>
      <c r="F120" s="56"/>
      <c r="G120" s="56"/>
      <c r="H120" s="44"/>
      <c r="I120" s="44"/>
      <c r="J120" s="44"/>
      <c r="K120" s="44"/>
      <c r="M120" s="54"/>
      <c r="N120" s="73"/>
      <c r="O120" s="4"/>
      <c r="P120" s="1175"/>
    </row>
    <row r="121" spans="1:17" s="51" customFormat="1" ht="12.75" customHeight="1">
      <c r="A121" s="2044"/>
      <c r="B121" s="2045"/>
      <c r="C121" s="2045"/>
      <c r="D121" s="2045"/>
      <c r="E121" s="2045"/>
      <c r="F121" s="2045"/>
      <c r="G121" s="2045"/>
      <c r="H121" s="2045"/>
      <c r="I121" s="2045"/>
      <c r="J121" s="2045"/>
      <c r="K121" s="2045"/>
      <c r="L121" s="2045"/>
      <c r="M121" s="2045"/>
      <c r="N121" s="2045"/>
      <c r="O121" s="2045"/>
      <c r="P121" s="2046"/>
      <c r="Q121" s="562" t="s">
        <v>1326</v>
      </c>
    </row>
    <row r="122" spans="1:17" s="51" customFormat="1" ht="11.25" customHeight="1">
      <c r="A122" s="50"/>
      <c r="B122" s="100" t="s">
        <v>1988</v>
      </c>
      <c r="C122" s="50"/>
      <c r="D122" s="100"/>
      <c r="E122" s="1176"/>
      <c r="F122" s="1176"/>
      <c r="G122" s="1176"/>
      <c r="H122" s="1176"/>
      <c r="I122" s="1176"/>
      <c r="J122" s="1176"/>
      <c r="K122" s="1176"/>
      <c r="L122" s="1176"/>
      <c r="M122" s="1176"/>
      <c r="N122" s="87"/>
      <c r="O122" s="83"/>
      <c r="P122" s="2"/>
      <c r="Q122" s="529"/>
    </row>
    <row r="123" spans="1:17" s="51" customFormat="1" ht="12.75" customHeight="1">
      <c r="A123" s="2050"/>
      <c r="B123" s="2051"/>
      <c r="C123" s="2051"/>
      <c r="D123" s="2051"/>
      <c r="E123" s="2051"/>
      <c r="F123" s="2051"/>
      <c r="G123" s="2051"/>
      <c r="H123" s="2051"/>
      <c r="I123" s="2051"/>
      <c r="J123" s="2051"/>
      <c r="K123" s="2051"/>
      <c r="L123" s="2051"/>
      <c r="M123" s="2051"/>
      <c r="N123" s="2051"/>
      <c r="O123" s="2051"/>
      <c r="P123" s="2052"/>
      <c r="Q123" s="562" t="s">
        <v>1326</v>
      </c>
    </row>
    <row r="124" spans="1:17" ht="3.6" customHeight="1">
      <c r="B124" s="137"/>
      <c r="C124" s="137"/>
      <c r="D124" s="137"/>
      <c r="E124" s="137"/>
    </row>
    <row r="125" spans="1:17" s="51" customFormat="1" ht="12" customHeight="1">
      <c r="A125" s="182" t="s">
        <v>227</v>
      </c>
      <c r="B125" s="122" t="s">
        <v>2615</v>
      </c>
      <c r="D125" s="49"/>
      <c r="E125" s="49"/>
      <c r="F125" s="49"/>
      <c r="H125" s="72"/>
      <c r="J125" s="72" t="s">
        <v>419</v>
      </c>
      <c r="K125" s="56"/>
      <c r="M125" s="2">
        <v>3</v>
      </c>
      <c r="N125" s="7"/>
      <c r="O125" s="89">
        <f>IF(AND(J126="Flexible",O126=$M126),$M126,IF(O132&gt;0,O132,0))</f>
        <v>3</v>
      </c>
      <c r="P125" s="89">
        <f>MIN($M125,(P126+P132))</f>
        <v>0</v>
      </c>
      <c r="Q125" s="126" t="s">
        <v>461</v>
      </c>
    </row>
    <row r="126" spans="1:17" ht="12" customHeight="1">
      <c r="A126" s="1169" t="s">
        <v>2110</v>
      </c>
      <c r="B126" s="221" t="s">
        <v>2371</v>
      </c>
      <c r="D126" s="40"/>
      <c r="E126" s="40"/>
      <c r="F126" s="40"/>
      <c r="G126" s="31" t="str">
        <f>IF(AND(O126&lt;0,L133&lt;0),"Select either A or B but not both!&gt;","")</f>
        <v/>
      </c>
      <c r="H126" s="205" t="s">
        <v>3072</v>
      </c>
      <c r="I126" s="673"/>
      <c r="J126" s="674" t="str">
        <f>'Part I-Project Information'!$H$85</f>
        <v>Flexible</v>
      </c>
      <c r="M126" s="85">
        <v>3</v>
      </c>
      <c r="N126" s="594" t="s">
        <v>2110</v>
      </c>
      <c r="O126" s="1111">
        <v>0</v>
      </c>
      <c r="P126" s="1311"/>
      <c r="Q126" s="474" t="s">
        <v>2929</v>
      </c>
    </row>
    <row r="127" spans="1:17" s="117" customFormat="1" ht="22.9" customHeight="1">
      <c r="B127" s="475" t="s">
        <v>2114</v>
      </c>
      <c r="C127" s="2079" t="s">
        <v>3277</v>
      </c>
      <c r="D127" s="1974"/>
      <c r="E127" s="1974"/>
      <c r="F127" s="1974"/>
      <c r="G127" s="1974"/>
      <c r="H127" s="1974"/>
      <c r="I127" s="1974"/>
      <c r="J127" s="1974"/>
      <c r="K127" s="1974"/>
      <c r="L127" s="1974"/>
      <c r="M127" s="507"/>
      <c r="N127" s="475" t="s">
        <v>2114</v>
      </c>
      <c r="O127" s="1096" t="s">
        <v>1602</v>
      </c>
      <c r="P127" s="1295"/>
    </row>
    <row r="128" spans="1:17" s="117" customFormat="1" ht="10.5" customHeight="1">
      <c r="B128" s="217"/>
      <c r="C128" s="138" t="s">
        <v>1014</v>
      </c>
      <c r="H128" s="542" t="s">
        <v>2756</v>
      </c>
      <c r="I128" s="1128"/>
      <c r="J128" s="542" t="s">
        <v>2442</v>
      </c>
      <c r="K128" s="2080"/>
      <c r="L128" s="2081"/>
      <c r="M128" s="2082"/>
    </row>
    <row r="129" spans="1:17" s="117" customFormat="1" ht="10.5" customHeight="1">
      <c r="B129" s="217" t="s">
        <v>2116</v>
      </c>
      <c r="C129" s="138" t="s">
        <v>1015</v>
      </c>
      <c r="M129" s="8"/>
      <c r="N129" s="217" t="s">
        <v>2116</v>
      </c>
      <c r="O129" s="1094" t="s">
        <v>1602</v>
      </c>
      <c r="P129" s="1293"/>
    </row>
    <row r="130" spans="1:17" s="117" customFormat="1" ht="10.5" customHeight="1">
      <c r="B130" s="217" t="s">
        <v>2698</v>
      </c>
      <c r="C130" s="138" t="s">
        <v>1016</v>
      </c>
      <c r="M130" s="8"/>
      <c r="N130" s="217" t="s">
        <v>2698</v>
      </c>
      <c r="O130" s="1095" t="s">
        <v>1602</v>
      </c>
      <c r="P130" s="1294"/>
    </row>
    <row r="131" spans="1:17" s="117" customFormat="1" ht="10.5" customHeight="1">
      <c r="A131" s="669" t="s">
        <v>1434</v>
      </c>
      <c r="B131" s="217" t="s">
        <v>1295</v>
      </c>
      <c r="C131" s="138" t="s">
        <v>1017</v>
      </c>
      <c r="M131" s="8"/>
      <c r="N131" s="217" t="s">
        <v>1295</v>
      </c>
      <c r="O131" s="1096" t="s">
        <v>1602</v>
      </c>
      <c r="P131" s="1295"/>
    </row>
    <row r="132" spans="1:17" ht="12" customHeight="1">
      <c r="A132" s="1169" t="s">
        <v>2113</v>
      </c>
      <c r="B132" s="221" t="s">
        <v>2372</v>
      </c>
      <c r="D132" s="137"/>
      <c r="E132" s="511" t="s">
        <v>3032</v>
      </c>
      <c r="M132" s="85">
        <v>3</v>
      </c>
      <c r="N132" s="594" t="s">
        <v>2113</v>
      </c>
      <c r="O132" s="727">
        <f>IF($L133=5,3,IF($L133=4,2,0))</f>
        <v>3</v>
      </c>
      <c r="P132" s="1316"/>
    </row>
    <row r="133" spans="1:17" ht="10.5" customHeight="1">
      <c r="B133" s="538" t="s">
        <v>3146</v>
      </c>
      <c r="D133" s="40"/>
      <c r="E133" s="40"/>
      <c r="F133" s="40"/>
      <c r="G133" s="48"/>
      <c r="H133" s="48"/>
      <c r="I133" s="48"/>
      <c r="J133" s="48"/>
      <c r="L133" s="1129">
        <v>5</v>
      </c>
      <c r="M133" s="160" t="s">
        <v>3147</v>
      </c>
      <c r="O133" s="119"/>
      <c r="P133" s="119"/>
    </row>
    <row r="134" spans="1:17" ht="10.5" customHeight="1">
      <c r="B134" s="538" t="s">
        <v>3148</v>
      </c>
      <c r="D134" s="40"/>
      <c r="E134" s="40"/>
      <c r="F134" s="40"/>
      <c r="G134" s="48"/>
      <c r="H134" s="48"/>
      <c r="I134" s="48"/>
      <c r="J134" s="48"/>
      <c r="N134" s="160"/>
      <c r="O134" s="119"/>
      <c r="P134" s="119"/>
    </row>
    <row r="135" spans="1:17" s="51" customFormat="1" ht="11.45" customHeight="1">
      <c r="A135" s="50"/>
      <c r="B135" s="57" t="s">
        <v>269</v>
      </c>
      <c r="C135" s="50"/>
      <c r="D135" s="56"/>
      <c r="E135" s="56"/>
      <c r="F135" s="56"/>
      <c r="G135" s="56"/>
      <c r="H135" s="44"/>
      <c r="I135" s="44"/>
      <c r="J135" s="44"/>
      <c r="K135" s="44"/>
      <c r="M135" s="54"/>
      <c r="N135" s="73"/>
      <c r="O135" s="4"/>
      <c r="P135" s="1175"/>
    </row>
    <row r="136" spans="1:17" s="51" customFormat="1" ht="11.45" customHeight="1">
      <c r="A136" s="1830" t="s">
        <v>3506</v>
      </c>
      <c r="B136" s="1831"/>
      <c r="C136" s="1831"/>
      <c r="D136" s="1831"/>
      <c r="E136" s="1831"/>
      <c r="F136" s="1831"/>
      <c r="G136" s="1831"/>
      <c r="H136" s="1831"/>
      <c r="I136" s="1831"/>
      <c r="J136" s="1831"/>
      <c r="K136" s="1831"/>
      <c r="L136" s="1831"/>
      <c r="M136" s="1831"/>
      <c r="N136" s="1831"/>
      <c r="O136" s="1831"/>
      <c r="P136" s="1832"/>
      <c r="Q136" s="562" t="s">
        <v>1326</v>
      </c>
    </row>
    <row r="137" spans="1:17" s="51" customFormat="1" ht="11.45" customHeight="1">
      <c r="B137" s="100" t="s">
        <v>1988</v>
      </c>
      <c r="C137" s="115"/>
      <c r="D137" s="100"/>
      <c r="E137" s="116"/>
      <c r="F137" s="1176"/>
      <c r="G137" s="1176"/>
      <c r="H137" s="1176"/>
      <c r="I137" s="1176"/>
      <c r="J137" s="1176"/>
      <c r="K137" s="1176"/>
      <c r="L137" s="1176"/>
      <c r="M137" s="1176"/>
      <c r="N137" s="87"/>
      <c r="O137" s="83"/>
      <c r="P137" s="2"/>
      <c r="Q137" s="529"/>
    </row>
    <row r="138" spans="1:17" s="51" customFormat="1" ht="11.45" customHeight="1">
      <c r="A138" s="1833"/>
      <c r="B138" s="1834"/>
      <c r="C138" s="1834"/>
      <c r="D138" s="1834"/>
      <c r="E138" s="1834"/>
      <c r="F138" s="1834"/>
      <c r="G138" s="1834"/>
      <c r="H138" s="1834"/>
      <c r="I138" s="1834"/>
      <c r="J138" s="1834"/>
      <c r="K138" s="1834"/>
      <c r="L138" s="1834"/>
      <c r="M138" s="1834"/>
      <c r="N138" s="1834"/>
      <c r="O138" s="1834"/>
      <c r="P138" s="1835"/>
      <c r="Q138" s="562" t="s">
        <v>1326</v>
      </c>
    </row>
    <row r="139" spans="1:17" ht="3" customHeight="1">
      <c r="B139" s="137"/>
      <c r="C139" s="137"/>
      <c r="D139" s="137"/>
      <c r="E139" s="137"/>
    </row>
    <row r="140" spans="1:17" s="51" customFormat="1" ht="12" customHeight="1">
      <c r="A140" s="182" t="s">
        <v>228</v>
      </c>
      <c r="B140" s="122" t="s">
        <v>2616</v>
      </c>
      <c r="E140" s="49"/>
      <c r="F140" s="49"/>
      <c r="H140" s="72"/>
      <c r="K140" s="56"/>
      <c r="L140" s="458" t="str">
        <f>IF(OR($O140=$M140,$O140=0,$O140=""),"","* * Check Score! * *")</f>
        <v/>
      </c>
      <c r="M140" s="2">
        <v>2</v>
      </c>
      <c r="N140" s="482" t="str">
        <f>IF(OR($O140=$M140,$O140=0,$O140=""),"","***")</f>
        <v/>
      </c>
      <c r="O140" s="1117">
        <v>2</v>
      </c>
      <c r="P140" s="1316"/>
      <c r="Q140" s="126" t="s">
        <v>461</v>
      </c>
    </row>
    <row r="141" spans="1:17" ht="11.45" customHeight="1">
      <c r="B141" s="203" t="s">
        <v>1774</v>
      </c>
      <c r="E141" s="137"/>
      <c r="M141" s="471"/>
      <c r="N141" s="31"/>
      <c r="O141" s="31"/>
      <c r="P141" s="139" t="s">
        <v>2672</v>
      </c>
    </row>
    <row r="142" spans="1:17" s="477" customFormat="1">
      <c r="A142" s="170" t="s">
        <v>2110</v>
      </c>
      <c r="B142" s="2076" t="s">
        <v>2815</v>
      </c>
      <c r="C142" s="1627"/>
      <c r="D142" s="1627"/>
      <c r="E142" s="1627"/>
      <c r="F142" s="1627"/>
      <c r="G142" s="1627"/>
      <c r="H142" s="1627"/>
      <c r="I142" s="1627"/>
      <c r="J142" s="1627"/>
      <c r="K142" s="1627"/>
      <c r="L142" s="1627"/>
      <c r="M142" s="1627"/>
      <c r="N142" s="1627"/>
      <c r="O142" s="473" t="s">
        <v>2590</v>
      </c>
      <c r="P142" s="1319"/>
    </row>
    <row r="143" spans="1:17" s="477" customFormat="1" ht="24" customHeight="1">
      <c r="A143" s="170" t="s">
        <v>2113</v>
      </c>
      <c r="B143" s="2076" t="s">
        <v>2976</v>
      </c>
      <c r="C143" s="1627"/>
      <c r="D143" s="1627"/>
      <c r="E143" s="1627"/>
      <c r="F143" s="1627"/>
      <c r="G143" s="1627"/>
      <c r="H143" s="1627"/>
      <c r="I143" s="1627"/>
      <c r="J143" s="1627"/>
      <c r="K143" s="1627"/>
      <c r="L143" s="1627"/>
      <c r="M143" s="1627"/>
      <c r="N143" s="1627"/>
      <c r="O143" s="473" t="s">
        <v>2591</v>
      </c>
      <c r="P143" s="1320"/>
    </row>
    <row r="144" spans="1:17" s="477" customFormat="1" ht="12.75" customHeight="1">
      <c r="A144" s="170" t="s">
        <v>793</v>
      </c>
      <c r="B144" s="260" t="s">
        <v>1775</v>
      </c>
      <c r="M144" s="549"/>
      <c r="N144" s="473"/>
      <c r="O144" s="473" t="s">
        <v>2592</v>
      </c>
      <c r="P144" s="1321"/>
    </row>
    <row r="145" spans="1:18" s="51" customFormat="1" ht="12.75" customHeight="1">
      <c r="A145" s="473"/>
      <c r="B145" s="57" t="s">
        <v>269</v>
      </c>
      <c r="C145" s="50"/>
      <c r="D145" s="56"/>
      <c r="E145" s="56"/>
      <c r="F145" s="56"/>
      <c r="G145" s="56"/>
      <c r="H145" s="44"/>
      <c r="I145" s="44"/>
      <c r="J145" s="44"/>
      <c r="K145" s="44"/>
      <c r="M145" s="54"/>
      <c r="N145" s="73"/>
      <c r="O145" s="4"/>
      <c r="P145" s="1175"/>
    </row>
    <row r="146" spans="1:18" s="51" customFormat="1" ht="24.6" customHeight="1">
      <c r="A146" s="1830" t="s">
        <v>3548</v>
      </c>
      <c r="B146" s="1831"/>
      <c r="C146" s="1831"/>
      <c r="D146" s="1831"/>
      <c r="E146" s="1831"/>
      <c r="F146" s="1831"/>
      <c r="G146" s="1831"/>
      <c r="H146" s="1831"/>
      <c r="I146" s="1831"/>
      <c r="J146" s="1831"/>
      <c r="K146" s="1831"/>
      <c r="L146" s="1831"/>
      <c r="M146" s="1831"/>
      <c r="N146" s="1831"/>
      <c r="O146" s="1831"/>
      <c r="P146" s="1832"/>
      <c r="Q146" s="562" t="s">
        <v>1326</v>
      </c>
    </row>
    <row r="147" spans="1:18" s="51" customFormat="1" ht="11.25" customHeight="1">
      <c r="A147" s="50"/>
      <c r="B147" s="100" t="s">
        <v>1988</v>
      </c>
      <c r="C147" s="50"/>
      <c r="D147" s="100"/>
      <c r="E147" s="1176"/>
      <c r="F147" s="1176"/>
      <c r="G147" s="1176"/>
      <c r="H147" s="1176"/>
      <c r="I147" s="1176"/>
      <c r="J147" s="1176"/>
      <c r="K147" s="1176"/>
      <c r="L147" s="1176"/>
      <c r="M147" s="1176"/>
      <c r="N147" s="87"/>
      <c r="O147" s="83"/>
      <c r="P147" s="2"/>
      <c r="Q147" s="529"/>
    </row>
    <row r="148" spans="1:18" s="51" customFormat="1" ht="40.5" customHeight="1">
      <c r="A148" s="1833"/>
      <c r="B148" s="1834"/>
      <c r="C148" s="1834"/>
      <c r="D148" s="1834"/>
      <c r="E148" s="1834"/>
      <c r="F148" s="1834"/>
      <c r="G148" s="1834"/>
      <c r="H148" s="1834"/>
      <c r="I148" s="1834"/>
      <c r="J148" s="1834"/>
      <c r="K148" s="1834"/>
      <c r="L148" s="1834"/>
      <c r="M148" s="1834"/>
      <c r="N148" s="1834"/>
      <c r="O148" s="1834"/>
      <c r="P148" s="1835"/>
      <c r="Q148" s="562" t="s">
        <v>1326</v>
      </c>
    </row>
    <row r="149" spans="1:18" ht="3" customHeight="1">
      <c r="B149" s="137"/>
      <c r="C149" s="137"/>
      <c r="D149" s="137"/>
      <c r="E149" s="137"/>
    </row>
    <row r="150" spans="1:18" s="51" customFormat="1" ht="12" customHeight="1">
      <c r="A150" s="183" t="s">
        <v>229</v>
      </c>
      <c r="B150" s="123" t="s">
        <v>3149</v>
      </c>
      <c r="C150" s="64"/>
      <c r="D150" s="136"/>
      <c r="E150" s="136"/>
      <c r="F150" s="49"/>
      <c r="H150" s="47"/>
      <c r="J150" s="72" t="s">
        <v>419</v>
      </c>
      <c r="K150" s="56"/>
      <c r="M150" s="2">
        <v>1</v>
      </c>
      <c r="N150" s="7"/>
      <c r="O150" s="89">
        <f>MIN($M150,SUM(O151:O152))</f>
        <v>1</v>
      </c>
      <c r="P150" s="89">
        <f>MIN($M150,SUM(P151:P152))</f>
        <v>0</v>
      </c>
      <c r="Q150" s="126" t="s">
        <v>461</v>
      </c>
    </row>
    <row r="151" spans="1:18" s="119" customFormat="1" ht="12" customHeight="1">
      <c r="A151" s="165" t="s">
        <v>2110</v>
      </c>
      <c r="B151" s="205" t="s">
        <v>2373</v>
      </c>
      <c r="D151" s="72"/>
      <c r="E151" s="72"/>
      <c r="F151" s="52"/>
      <c r="G151" s="31"/>
      <c r="K151" s="594" t="s">
        <v>2912</v>
      </c>
      <c r="L151" s="1094" t="s">
        <v>3452</v>
      </c>
      <c r="M151" s="8">
        <v>1</v>
      </c>
      <c r="N151" s="594" t="s">
        <v>2110</v>
      </c>
      <c r="O151" s="1111">
        <v>1</v>
      </c>
      <c r="P151" s="1311"/>
      <c r="Q151" s="474"/>
      <c r="R151" s="458" t="str">
        <f>IF(OR($O151=$M151,$O151=0,$O151=""),"","* * Check Score! * *")</f>
        <v/>
      </c>
    </row>
    <row r="152" spans="1:18" s="51" customFormat="1" ht="12" customHeight="1">
      <c r="A152" s="165" t="s">
        <v>2113</v>
      </c>
      <c r="B152" s="205" t="s">
        <v>2374</v>
      </c>
      <c r="D152" s="68"/>
      <c r="H152" s="1189" t="s">
        <v>2899</v>
      </c>
      <c r="K152" s="62"/>
      <c r="L152" s="1096" t="s">
        <v>3425</v>
      </c>
      <c r="M152" s="8">
        <v>1</v>
      </c>
      <c r="N152" s="594" t="s">
        <v>2113</v>
      </c>
      <c r="O152" s="1115">
        <v>0</v>
      </c>
      <c r="P152" s="1312"/>
      <c r="Q152" s="474"/>
      <c r="R152" s="458" t="str">
        <f>IF(OR($O152=$M152,$O152=0,$O152=""),"","* * Check Score! * *")</f>
        <v/>
      </c>
    </row>
    <row r="153" spans="1:18" s="51" customFormat="1" ht="11.25" customHeight="1">
      <c r="A153" s="50"/>
      <c r="B153" s="57" t="s">
        <v>269</v>
      </c>
      <c r="C153" s="50"/>
      <c r="D153" s="56"/>
      <c r="E153" s="56"/>
      <c r="F153" s="56"/>
      <c r="G153" s="56"/>
      <c r="H153" s="44"/>
      <c r="I153" s="44"/>
      <c r="J153" s="44"/>
      <c r="K153" s="44"/>
      <c r="M153" s="54"/>
      <c r="N153" s="73"/>
      <c r="O153" s="4"/>
      <c r="P153" s="1175"/>
    </row>
    <row r="154" spans="1:18" s="51" customFormat="1" ht="12.6" customHeight="1">
      <c r="A154" s="1830" t="s">
        <v>3507</v>
      </c>
      <c r="B154" s="1831"/>
      <c r="C154" s="1831"/>
      <c r="D154" s="1831"/>
      <c r="E154" s="1831"/>
      <c r="F154" s="1831"/>
      <c r="G154" s="1831"/>
      <c r="H154" s="1831"/>
      <c r="I154" s="1831"/>
      <c r="J154" s="1831"/>
      <c r="K154" s="1831"/>
      <c r="L154" s="1831"/>
      <c r="M154" s="1831"/>
      <c r="N154" s="1831"/>
      <c r="O154" s="1831"/>
      <c r="P154" s="1832"/>
      <c r="Q154" s="562" t="s">
        <v>1326</v>
      </c>
    </row>
    <row r="155" spans="1:18" s="51" customFormat="1" ht="11.25" customHeight="1">
      <c r="A155" s="50"/>
      <c r="B155" s="100" t="s">
        <v>1988</v>
      </c>
      <c r="C155" s="115"/>
      <c r="D155" s="100"/>
      <c r="E155" s="116"/>
      <c r="F155" s="1176"/>
      <c r="G155" s="1176"/>
      <c r="H155" s="1176"/>
      <c r="I155" s="1176"/>
      <c r="J155" s="1176"/>
      <c r="K155" s="1176"/>
      <c r="L155" s="1176"/>
      <c r="M155" s="1176"/>
      <c r="N155" s="87"/>
      <c r="O155" s="83"/>
      <c r="P155" s="2"/>
      <c r="Q155" s="529"/>
    </row>
    <row r="156" spans="1:18" s="51" customFormat="1" ht="12.6" customHeight="1">
      <c r="A156" s="1833"/>
      <c r="B156" s="1834"/>
      <c r="C156" s="1834"/>
      <c r="D156" s="1834"/>
      <c r="E156" s="1834"/>
      <c r="F156" s="1834"/>
      <c r="G156" s="1834"/>
      <c r="H156" s="1834"/>
      <c r="I156" s="1834"/>
      <c r="J156" s="1834"/>
      <c r="K156" s="1834"/>
      <c r="L156" s="1834"/>
      <c r="M156" s="1834"/>
      <c r="N156" s="1834"/>
      <c r="O156" s="1834"/>
      <c r="P156" s="1835"/>
      <c r="Q156" s="562" t="s">
        <v>1326</v>
      </c>
    </row>
    <row r="157" spans="1:18" s="51" customFormat="1" ht="3" customHeight="1">
      <c r="A157" s="50"/>
      <c r="B157" s="50"/>
      <c r="C157" s="1176"/>
      <c r="D157" s="1176"/>
      <c r="E157" s="1176"/>
      <c r="F157" s="1176"/>
      <c r="G157" s="1176"/>
      <c r="H157" s="1176"/>
      <c r="I157" s="1176"/>
      <c r="J157" s="1176"/>
      <c r="K157" s="1176"/>
      <c r="L157" s="1176"/>
      <c r="M157" s="1176"/>
      <c r="N157" s="87"/>
      <c r="O157" s="83"/>
      <c r="P157" s="612"/>
    </row>
    <row r="158" spans="1:18" s="51" customFormat="1" ht="15">
      <c r="A158" s="183" t="s">
        <v>247</v>
      </c>
      <c r="B158" s="130" t="s">
        <v>2891</v>
      </c>
      <c r="C158" s="102"/>
      <c r="D158" s="69"/>
      <c r="E158" s="62"/>
      <c r="M158" s="2">
        <v>3</v>
      </c>
      <c r="N158" s="7"/>
      <c r="O158" s="7"/>
      <c r="P158" s="1316"/>
      <c r="Q158" s="126" t="s">
        <v>461</v>
      </c>
    </row>
    <row r="159" spans="1:18" s="51" customFormat="1" ht="12" customHeight="1">
      <c r="A159" s="183"/>
      <c r="B159" s="682" t="s">
        <v>2902</v>
      </c>
      <c r="C159" s="102"/>
      <c r="D159" s="69"/>
      <c r="E159" s="62"/>
      <c r="G159" s="593">
        <f>'Part I-Project Information'!$H$81</f>
        <v>0</v>
      </c>
      <c r="J159" s="72"/>
      <c r="M159" s="2"/>
      <c r="N159" s="2"/>
      <c r="O159" s="139" t="s">
        <v>2672</v>
      </c>
      <c r="P159" s="139" t="s">
        <v>2672</v>
      </c>
      <c r="Q159" s="126"/>
    </row>
    <row r="160" spans="1:18" s="51" customFormat="1" ht="12" customHeight="1">
      <c r="A160" s="165"/>
      <c r="B160" s="65" t="s">
        <v>2495</v>
      </c>
      <c r="D160" s="40"/>
      <c r="N160" s="594"/>
      <c r="O160" s="1094" t="s">
        <v>3425</v>
      </c>
      <c r="P160" s="1293"/>
      <c r="R160" s="458"/>
    </row>
    <row r="161" spans="1:18" s="51" customFormat="1" ht="12" customHeight="1">
      <c r="A161" s="165"/>
      <c r="B161" s="65" t="s">
        <v>3291</v>
      </c>
      <c r="D161" s="40"/>
      <c r="N161" s="594"/>
      <c r="O161" s="1096" t="s">
        <v>1602</v>
      </c>
      <c r="P161" s="1295"/>
      <c r="R161" s="458"/>
    </row>
    <row r="162" spans="1:18" s="51" customFormat="1" ht="12" customHeight="1">
      <c r="A162" s="50"/>
      <c r="B162" s="57" t="s">
        <v>269</v>
      </c>
      <c r="C162" s="50"/>
      <c r="D162" s="56"/>
      <c r="E162" s="56"/>
      <c r="F162" s="56"/>
      <c r="G162" s="56"/>
      <c r="H162" s="44"/>
      <c r="I162" s="44"/>
      <c r="J162" s="44"/>
      <c r="K162" s="44"/>
      <c r="M162" s="54"/>
      <c r="N162" s="73"/>
      <c r="O162" s="4"/>
      <c r="P162" s="1175"/>
    </row>
    <row r="163" spans="1:18" s="51" customFormat="1" ht="12.75" customHeight="1">
      <c r="A163" s="1830"/>
      <c r="B163" s="1831"/>
      <c r="C163" s="1831"/>
      <c r="D163" s="1831"/>
      <c r="E163" s="1831"/>
      <c r="F163" s="1831"/>
      <c r="G163" s="1831"/>
      <c r="H163" s="1831"/>
      <c r="I163" s="1831"/>
      <c r="J163" s="1831"/>
      <c r="K163" s="1831"/>
      <c r="L163" s="1831"/>
      <c r="M163" s="1831"/>
      <c r="N163" s="1831"/>
      <c r="O163" s="1831"/>
      <c r="P163" s="1832"/>
      <c r="Q163" s="562" t="s">
        <v>1326</v>
      </c>
    </row>
    <row r="164" spans="1:18" s="51" customFormat="1" ht="12" customHeight="1">
      <c r="B164" s="100" t="s">
        <v>1988</v>
      </c>
      <c r="C164" s="115"/>
      <c r="D164" s="100"/>
      <c r="E164" s="116"/>
      <c r="F164" s="1176"/>
      <c r="G164" s="1176"/>
      <c r="H164" s="1176"/>
      <c r="I164" s="1176"/>
      <c r="J164" s="1176"/>
      <c r="K164" s="1176"/>
      <c r="L164" s="1176"/>
      <c r="M164" s="1176"/>
      <c r="N164" s="87"/>
      <c r="O164" s="83"/>
      <c r="P164" s="2"/>
      <c r="Q164" s="529"/>
    </row>
    <row r="165" spans="1:18" s="51" customFormat="1" ht="12.75" customHeight="1">
      <c r="A165" s="1833"/>
      <c r="B165" s="1834"/>
      <c r="C165" s="1834"/>
      <c r="D165" s="1834"/>
      <c r="E165" s="1834"/>
      <c r="F165" s="1834"/>
      <c r="G165" s="1834"/>
      <c r="H165" s="1834"/>
      <c r="I165" s="1834"/>
      <c r="J165" s="1834"/>
      <c r="K165" s="1834"/>
      <c r="L165" s="1834"/>
      <c r="M165" s="1834"/>
      <c r="N165" s="1834"/>
      <c r="O165" s="1834"/>
      <c r="P165" s="1835"/>
      <c r="Q165" s="562" t="s">
        <v>1326</v>
      </c>
    </row>
    <row r="166" spans="1:18" ht="4.5" customHeight="1"/>
    <row r="167" spans="1:18" s="74" customFormat="1" ht="12.6" customHeight="1">
      <c r="A167" s="182" t="s">
        <v>248</v>
      </c>
      <c r="B167" s="122" t="s">
        <v>3150</v>
      </c>
      <c r="E167" s="680" t="s">
        <v>3043</v>
      </c>
      <c r="G167" s="136"/>
      <c r="H167" s="510"/>
      <c r="K167" s="89">
        <f>'Part VI-Revenues &amp; Expenses'!$M$62</f>
        <v>84</v>
      </c>
      <c r="L167" s="661" t="s">
        <v>1908</v>
      </c>
      <c r="M167" s="2">
        <v>3</v>
      </c>
      <c r="N167" s="482" t="str">
        <f>IF(OR($O167=$M167,$O167=0,$O167=""),"","***")</f>
        <v/>
      </c>
      <c r="O167" s="1117">
        <v>0</v>
      </c>
      <c r="P167" s="1316"/>
      <c r="Q167" s="126" t="s">
        <v>461</v>
      </c>
      <c r="R167" s="31"/>
    </row>
    <row r="168" spans="1:18" s="74" customFormat="1" ht="12.6" customHeight="1">
      <c r="A168" s="182"/>
      <c r="B168" s="205" t="s">
        <v>3072</v>
      </c>
      <c r="C168" s="673"/>
      <c r="E168" s="716" t="str">
        <f>'Part I-Project Information'!$H$85</f>
        <v>Flexible</v>
      </c>
      <c r="G168" s="680" t="str">
        <f>IF(E168="Flexible","(NOTE: Only Rural pool applicants are eligible for this section.)","")</f>
        <v>(NOTE: Only Rural pool applicants are eligible for this section.)</v>
      </c>
      <c r="H168" s="510"/>
      <c r="I168" s="679"/>
      <c r="J168" s="661"/>
      <c r="K168" s="681">
        <f>'Part VI-Revenues &amp; Expenses'!$M$74/'Part VI-Revenues &amp; Expenses'!$M$62</f>
        <v>1</v>
      </c>
      <c r="L168" s="661" t="s">
        <v>3035</v>
      </c>
      <c r="M168" s="2"/>
      <c r="N168" s="482"/>
      <c r="O168" s="482"/>
      <c r="P168" s="482"/>
      <c r="Q168" s="126"/>
      <c r="R168" s="31"/>
    </row>
    <row r="169" spans="1:18" s="74" customFormat="1" ht="25.15" customHeight="1">
      <c r="A169" s="182"/>
      <c r="B169" s="1790" t="s">
        <v>2951</v>
      </c>
      <c r="C169" s="2083"/>
      <c r="D169" s="2083"/>
      <c r="E169" s="2083"/>
      <c r="F169" s="2083"/>
      <c r="G169" s="2083"/>
      <c r="H169" s="2083"/>
      <c r="I169" s="2083"/>
      <c r="J169" s="2083"/>
      <c r="K169" s="2083"/>
      <c r="L169" s="2083"/>
      <c r="M169" s="2083"/>
      <c r="N169" s="2"/>
      <c r="R169" s="458"/>
    </row>
    <row r="170" spans="1:18" s="51" customFormat="1" ht="13.9" customHeight="1">
      <c r="A170" s="50"/>
      <c r="B170" s="57" t="s">
        <v>269</v>
      </c>
      <c r="C170" s="50"/>
      <c r="D170" s="56"/>
      <c r="E170" s="56"/>
      <c r="F170" s="56"/>
      <c r="G170" s="56"/>
      <c r="H170" s="44"/>
      <c r="I170" s="44"/>
      <c r="J170" s="100" t="s">
        <v>1988</v>
      </c>
      <c r="M170" s="54"/>
      <c r="N170" s="73"/>
      <c r="O170" s="4"/>
      <c r="P170" s="1175"/>
    </row>
    <row r="171" spans="1:18" s="51" customFormat="1" ht="12" customHeight="1">
      <c r="A171" s="1830"/>
      <c r="B171" s="1831"/>
      <c r="C171" s="1831"/>
      <c r="D171" s="1831"/>
      <c r="E171" s="1831"/>
      <c r="F171" s="1831"/>
      <c r="G171" s="1831"/>
      <c r="H171" s="1831"/>
      <c r="I171" s="1832"/>
      <c r="J171" s="1833"/>
      <c r="K171" s="1834"/>
      <c r="L171" s="1834"/>
      <c r="M171" s="1834"/>
      <c r="N171" s="1834"/>
      <c r="O171" s="1834"/>
      <c r="P171" s="1835"/>
      <c r="Q171" s="562" t="s">
        <v>1326</v>
      </c>
    </row>
    <row r="172" spans="1:18" s="51" customFormat="1" ht="6" customHeight="1">
      <c r="A172" s="50"/>
      <c r="C172" s="1176"/>
      <c r="D172" s="1176"/>
      <c r="E172" s="1176"/>
      <c r="F172" s="1176"/>
      <c r="G172" s="1176"/>
      <c r="H172" s="1176"/>
      <c r="I172" s="1176"/>
      <c r="J172" s="1176"/>
      <c r="K172" s="1176"/>
      <c r="L172" s="1176"/>
      <c r="M172" s="1176"/>
      <c r="N172" s="87"/>
      <c r="O172" s="83"/>
      <c r="P172" s="612"/>
    </row>
    <row r="173" spans="1:18" s="51" customFormat="1" ht="13.5" customHeight="1">
      <c r="A173" s="182" t="s">
        <v>1488</v>
      </c>
      <c r="B173" s="131" t="s">
        <v>1777</v>
      </c>
      <c r="D173" s="103"/>
      <c r="E173" s="103"/>
      <c r="G173" s="62"/>
      <c r="H173" s="62"/>
      <c r="I173" s="62"/>
      <c r="J173" s="64"/>
      <c r="K173" s="71"/>
      <c r="L173" s="458" t="str">
        <f>IF(OR($O173=$M173,$O173=0,$O173=""),"","* * Check Score! * *")</f>
        <v/>
      </c>
      <c r="M173" s="612">
        <v>1</v>
      </c>
      <c r="N173" s="482" t="str">
        <f>IF(OR($O173=$M173,$O173=0,$O173=""),"","***")</f>
        <v/>
      </c>
      <c r="O173" s="1117">
        <v>0</v>
      </c>
      <c r="P173" s="1316"/>
      <c r="Q173" s="126" t="s">
        <v>461</v>
      </c>
    </row>
    <row r="174" spans="1:18" s="51" customFormat="1" ht="10.5" customHeight="1">
      <c r="B174" s="132" t="s">
        <v>3151</v>
      </c>
      <c r="D174" s="119"/>
      <c r="E174" s="103"/>
      <c r="F174" s="62"/>
      <c r="G174" s="62"/>
      <c r="H174" s="62"/>
      <c r="I174" s="61"/>
      <c r="O174" s="139" t="s">
        <v>2672</v>
      </c>
      <c r="P174" s="139" t="s">
        <v>2672</v>
      </c>
    </row>
    <row r="175" spans="1:18" s="117" customFormat="1" ht="10.5" customHeight="1">
      <c r="A175" s="165" t="s">
        <v>2110</v>
      </c>
      <c r="B175" s="160" t="s">
        <v>3278</v>
      </c>
      <c r="D175" s="138"/>
      <c r="E175" s="138"/>
      <c r="F175" s="138"/>
      <c r="J175" s="2053" t="s">
        <v>2684</v>
      </c>
      <c r="K175" s="2054"/>
      <c r="L175" s="2055"/>
      <c r="N175" s="594" t="s">
        <v>2110</v>
      </c>
      <c r="O175" s="1094" t="s">
        <v>1602</v>
      </c>
      <c r="P175" s="1293"/>
    </row>
    <row r="176" spans="1:18" s="117" customFormat="1" ht="10.5" customHeight="1">
      <c r="A176" s="165" t="s">
        <v>2113</v>
      </c>
      <c r="B176" s="160" t="s">
        <v>3279</v>
      </c>
      <c r="D176" s="138"/>
      <c r="E176" s="138"/>
      <c r="F176" s="138"/>
      <c r="G176" s="138"/>
      <c r="L176" s="138"/>
      <c r="M176" s="138"/>
      <c r="N176" s="594" t="s">
        <v>2113</v>
      </c>
      <c r="O176" s="1095" t="s">
        <v>1602</v>
      </c>
      <c r="P176" s="1294"/>
    </row>
    <row r="177" spans="1:18" s="117" customFormat="1" ht="10.5" customHeight="1">
      <c r="A177" s="165" t="s">
        <v>793</v>
      </c>
      <c r="B177" s="160" t="s">
        <v>3280</v>
      </c>
      <c r="D177" s="138"/>
      <c r="E177" s="138"/>
      <c r="F177" s="138"/>
      <c r="G177" s="138"/>
      <c r="H177" s="138"/>
      <c r="L177" s="138"/>
      <c r="M177" s="138"/>
      <c r="N177" s="594" t="s">
        <v>793</v>
      </c>
      <c r="O177" s="1095" t="s">
        <v>1602</v>
      </c>
      <c r="P177" s="1294"/>
    </row>
    <row r="178" spans="1:18" s="117" customFormat="1" ht="10.5" customHeight="1">
      <c r="A178" s="165" t="s">
        <v>2245</v>
      </c>
      <c r="B178" s="160" t="s">
        <v>3281</v>
      </c>
      <c r="D178" s="138"/>
      <c r="E178" s="138"/>
      <c r="F178" s="138"/>
      <c r="G178" s="138"/>
      <c r="H178" s="138"/>
      <c r="I178" s="138"/>
      <c r="J178" s="138"/>
      <c r="K178" s="138"/>
      <c r="L178" s="138"/>
      <c r="M178" s="138"/>
      <c r="N178" s="594" t="s">
        <v>2245</v>
      </c>
      <c r="O178" s="1096" t="s">
        <v>1602</v>
      </c>
      <c r="P178" s="1295"/>
    </row>
    <row r="179" spans="1:18" s="117" customFormat="1" ht="11.45" customHeight="1">
      <c r="A179" s="223" t="s">
        <v>3282</v>
      </c>
      <c r="B179" s="160"/>
      <c r="D179" s="138"/>
      <c r="E179" s="138"/>
      <c r="F179" s="138"/>
      <c r="G179" s="138"/>
      <c r="H179" s="138"/>
      <c r="I179" s="138"/>
      <c r="J179" s="138"/>
      <c r="K179" s="138"/>
      <c r="L179" s="138"/>
      <c r="M179" s="138"/>
      <c r="N179" s="594"/>
      <c r="O179" s="594"/>
      <c r="P179" s="594"/>
    </row>
    <row r="180" spans="1:18" s="51" customFormat="1" ht="10.5" customHeight="1">
      <c r="A180" s="50"/>
      <c r="B180" s="57" t="s">
        <v>269</v>
      </c>
      <c r="C180" s="50"/>
      <c r="D180" s="56"/>
      <c r="E180" s="56"/>
      <c r="F180" s="56"/>
      <c r="G180" s="56"/>
      <c r="H180" s="44"/>
      <c r="I180" s="44"/>
      <c r="J180" s="100" t="s">
        <v>1988</v>
      </c>
      <c r="M180" s="54"/>
      <c r="N180" s="73"/>
      <c r="O180" s="4"/>
      <c r="P180" s="1175"/>
    </row>
    <row r="181" spans="1:18" s="51" customFormat="1" ht="10.5" customHeight="1">
      <c r="A181" s="1830"/>
      <c r="B181" s="1831"/>
      <c r="C181" s="1831"/>
      <c r="D181" s="1831"/>
      <c r="E181" s="1831"/>
      <c r="F181" s="1831"/>
      <c r="G181" s="1831"/>
      <c r="H181" s="1831"/>
      <c r="I181" s="1832"/>
      <c r="J181" s="1833"/>
      <c r="K181" s="1834"/>
      <c r="L181" s="1834"/>
      <c r="M181" s="1834"/>
      <c r="N181" s="1834"/>
      <c r="O181" s="1834"/>
      <c r="P181" s="1835"/>
      <c r="Q181" s="562" t="s">
        <v>1326</v>
      </c>
    </row>
    <row r="182" spans="1:18" ht="4.5" customHeight="1"/>
    <row r="183" spans="1:18" s="51" customFormat="1" ht="15">
      <c r="A183" s="182" t="s">
        <v>1776</v>
      </c>
      <c r="B183" s="131" t="s">
        <v>3154</v>
      </c>
      <c r="D183" s="103"/>
      <c r="E183" s="103"/>
      <c r="F183" s="62"/>
      <c r="G183" s="62"/>
      <c r="H183" s="62"/>
      <c r="I183" s="205" t="s">
        <v>3072</v>
      </c>
      <c r="J183" s="673"/>
      <c r="K183" s="74"/>
      <c r="L183" s="674" t="str">
        <f>'Part I-Project Information'!$H$85</f>
        <v>Flexible</v>
      </c>
      <c r="M183" s="4">
        <v>7</v>
      </c>
      <c r="N183" s="7"/>
      <c r="O183" s="76">
        <f>O190+O207+O209</f>
        <v>0</v>
      </c>
      <c r="P183" s="76">
        <f>P190+P207+P209</f>
        <v>0</v>
      </c>
      <c r="Q183" s="126" t="s">
        <v>461</v>
      </c>
    </row>
    <row r="184" spans="1:18" s="51" customFormat="1" ht="10.5" customHeight="1">
      <c r="A184" s="50"/>
      <c r="B184" s="132" t="s">
        <v>3292</v>
      </c>
      <c r="E184" s="103"/>
      <c r="F184" s="62"/>
      <c r="G184" s="62"/>
      <c r="H184" s="62"/>
      <c r="I184" s="62"/>
      <c r="J184" s="64"/>
      <c r="K184" s="71"/>
      <c r="L184" s="67"/>
      <c r="O184" s="139" t="s">
        <v>2672</v>
      </c>
      <c r="P184" s="139" t="s">
        <v>2672</v>
      </c>
    </row>
    <row r="185" spans="1:18" s="117" customFormat="1" ht="10.5" customHeight="1">
      <c r="B185" s="547" t="s">
        <v>2114</v>
      </c>
      <c r="C185" s="536" t="s">
        <v>3152</v>
      </c>
      <c r="E185" s="103"/>
      <c r="F185" s="62"/>
      <c r="G185" s="62"/>
      <c r="H185" s="62"/>
      <c r="I185" s="62"/>
      <c r="J185" s="64"/>
      <c r="K185" s="71"/>
      <c r="L185" s="67" t="str">
        <f>IF(M185&gt;14,"Over limit!","")</f>
        <v/>
      </c>
      <c r="N185" s="217" t="s">
        <v>2114</v>
      </c>
      <c r="O185" s="1094" t="s">
        <v>1602</v>
      </c>
      <c r="P185" s="1293"/>
    </row>
    <row r="186" spans="1:18" s="117" customFormat="1" ht="10.5" customHeight="1">
      <c r="B186" s="547" t="s">
        <v>2116</v>
      </c>
      <c r="C186" s="117" t="s">
        <v>597</v>
      </c>
      <c r="N186" s="217" t="s">
        <v>2116</v>
      </c>
      <c r="O186" s="1095" t="s">
        <v>1602</v>
      </c>
      <c r="P186" s="1294"/>
    </row>
    <row r="187" spans="1:18" s="117" customFormat="1" ht="10.5" customHeight="1">
      <c r="B187" s="547" t="s">
        <v>2698</v>
      </c>
      <c r="C187" s="117" t="s">
        <v>598</v>
      </c>
      <c r="N187" s="217" t="s">
        <v>2698</v>
      </c>
      <c r="O187" s="1095" t="s">
        <v>1602</v>
      </c>
      <c r="P187" s="1294"/>
    </row>
    <row r="188" spans="1:18" s="117" customFormat="1" ht="10.5" customHeight="1">
      <c r="B188" s="547" t="s">
        <v>1295</v>
      </c>
      <c r="C188" s="117" t="s">
        <v>599</v>
      </c>
      <c r="N188" s="217" t="s">
        <v>1295</v>
      </c>
      <c r="O188" s="1095" t="s">
        <v>1602</v>
      </c>
      <c r="P188" s="1294"/>
    </row>
    <row r="189" spans="1:18" s="117" customFormat="1" ht="10.5" customHeight="1">
      <c r="B189" s="547" t="s">
        <v>1296</v>
      </c>
      <c r="C189" s="117" t="s">
        <v>607</v>
      </c>
      <c r="N189" s="217" t="s">
        <v>1296</v>
      </c>
      <c r="O189" s="1096" t="s">
        <v>1602</v>
      </c>
      <c r="P189" s="1295"/>
    </row>
    <row r="190" spans="1:18" s="51" customFormat="1" ht="11.25" customHeight="1">
      <c r="A190" s="165" t="s">
        <v>2110</v>
      </c>
      <c r="B190" s="223" t="s">
        <v>1965</v>
      </c>
      <c r="D190" s="48"/>
      <c r="E190" s="48"/>
      <c r="F190" s="40"/>
      <c r="G190" s="119"/>
      <c r="H190" s="119"/>
      <c r="I190" s="119"/>
      <c r="J190" s="48"/>
      <c r="K190" s="119"/>
      <c r="L190" s="40"/>
      <c r="M190" s="535">
        <v>4</v>
      </c>
      <c r="N190" s="594" t="s">
        <v>2110</v>
      </c>
      <c r="O190" s="179">
        <f>IF(AND($L183="Flexible",$I206&gt;=0.15), 4,IF(AND($L183="Flexible",$I206&gt;=0.1), 3,IF(AND($L183="Flexible",$I206&gt;=0.05), 2,IF(AND($L183="Flexible",$I206&gt;=0.02), 1,IF(AND($L183="Rural",$I206&gt;=0.1), 4,IF(AND($L183="Rural",$I206&gt;=0.05), 2,IF(AND($L183="Rural",$I206&gt;=0.02), 1,0)))))))</f>
        <v>0</v>
      </c>
      <c r="P190" s="179">
        <f>IF(AND($L183="Flexible",$L206&gt;=0.15), 4,IF(AND($L183="Flexible",$L206&gt;=0.1), 3,IF(AND($L183="Flexible",$L206&gt;=0.05), 2,IF(AND($L183="Flexible",$L206&gt;=0.02), 1,IF(AND($L183="Rural",$L206&gt;=0.1), 4,IF(AND($L183="Rural",$L206&gt;=0.05), 2,IF(AND($L183="Rural",$L206&gt;=0.02), 1,0)))))))</f>
        <v>0</v>
      </c>
    </row>
    <row r="191" spans="1:18" ht="10.5" customHeight="1">
      <c r="B191" s="452" t="s">
        <v>2114</v>
      </c>
      <c r="C191" s="552" t="s">
        <v>2809</v>
      </c>
      <c r="I191" s="2096" t="s">
        <v>2118</v>
      </c>
      <c r="J191" s="2096"/>
      <c r="L191" s="1188" t="s">
        <v>2118</v>
      </c>
      <c r="M191" s="189"/>
      <c r="N191" s="217" t="s">
        <v>2114</v>
      </c>
    </row>
    <row r="192" spans="1:18" s="51" customFormat="1" ht="10.5" customHeight="1">
      <c r="A192" s="218"/>
      <c r="B192" s="128"/>
      <c r="C192" s="453" t="s">
        <v>2590</v>
      </c>
      <c r="D192" s="44" t="s">
        <v>1572</v>
      </c>
      <c r="H192" s="65"/>
      <c r="I192" s="2086"/>
      <c r="J192" s="2087"/>
      <c r="K192" s="220"/>
      <c r="L192" s="1322"/>
      <c r="M192" s="85"/>
      <c r="N192" s="453" t="s">
        <v>2590</v>
      </c>
      <c r="O192" s="1094" t="s">
        <v>1602</v>
      </c>
      <c r="P192" s="1293"/>
      <c r="R192" s="458"/>
    </row>
    <row r="193" spans="1:18" ht="10.5" customHeight="1">
      <c r="A193" s="219"/>
      <c r="B193" s="94"/>
      <c r="C193" s="473" t="s">
        <v>2591</v>
      </c>
      <c r="D193" s="44" t="s">
        <v>1573</v>
      </c>
      <c r="H193" s="65"/>
      <c r="I193" s="2084"/>
      <c r="J193" s="2085"/>
      <c r="L193" s="1323"/>
      <c r="M193" s="85"/>
      <c r="N193" s="473" t="s">
        <v>2591</v>
      </c>
      <c r="O193" s="1095" t="s">
        <v>1602</v>
      </c>
      <c r="P193" s="1294"/>
      <c r="R193" s="458"/>
    </row>
    <row r="194" spans="1:18" ht="10.5" customHeight="1">
      <c r="B194" s="547"/>
      <c r="C194" s="453" t="s">
        <v>2592</v>
      </c>
      <c r="D194" s="44" t="s">
        <v>2808</v>
      </c>
      <c r="H194" s="65"/>
      <c r="I194" s="2084"/>
      <c r="J194" s="2085"/>
      <c r="L194" s="1323"/>
      <c r="M194" s="85"/>
      <c r="N194" s="453" t="s">
        <v>2592</v>
      </c>
      <c r="O194" s="1095" t="s">
        <v>1602</v>
      </c>
      <c r="P194" s="1294"/>
      <c r="R194" s="458"/>
    </row>
    <row r="195" spans="1:18" ht="10.5" customHeight="1">
      <c r="A195" s="219"/>
      <c r="B195" s="547"/>
      <c r="C195" s="453" t="s">
        <v>2593</v>
      </c>
      <c r="D195" s="44" t="s">
        <v>3153</v>
      </c>
      <c r="I195" s="2084"/>
      <c r="J195" s="2085"/>
      <c r="L195" s="1323"/>
      <c r="M195" s="85"/>
      <c r="N195" s="453" t="s">
        <v>2593</v>
      </c>
      <c r="O195" s="1095" t="s">
        <v>1602</v>
      </c>
      <c r="P195" s="1294"/>
      <c r="R195" s="458"/>
    </row>
    <row r="196" spans="1:18" s="51" customFormat="1" ht="10.5" customHeight="1">
      <c r="A196" s="218"/>
      <c r="B196" s="547"/>
      <c r="C196" s="473" t="s">
        <v>2594</v>
      </c>
      <c r="D196" s="44" t="s">
        <v>1574</v>
      </c>
      <c r="H196" s="65"/>
      <c r="I196" s="2084"/>
      <c r="J196" s="2085"/>
      <c r="K196" s="220"/>
      <c r="L196" s="1323"/>
      <c r="M196" s="85"/>
      <c r="N196" s="473" t="s">
        <v>2594</v>
      </c>
      <c r="O196" s="1095" t="s">
        <v>1602</v>
      </c>
      <c r="P196" s="1294"/>
      <c r="R196" s="458"/>
    </row>
    <row r="197" spans="1:18" ht="10.5" customHeight="1">
      <c r="B197" s="547"/>
      <c r="C197" s="453" t="s">
        <v>2610</v>
      </c>
      <c r="D197" s="44" t="s">
        <v>1575</v>
      </c>
      <c r="H197" s="65"/>
      <c r="I197" s="2084"/>
      <c r="J197" s="2085"/>
      <c r="L197" s="1323"/>
      <c r="M197" s="85"/>
      <c r="N197" s="453" t="s">
        <v>2610</v>
      </c>
      <c r="O197" s="1095" t="s">
        <v>1602</v>
      </c>
      <c r="P197" s="1294"/>
      <c r="R197" s="458"/>
    </row>
    <row r="198" spans="1:18" ht="10.5" customHeight="1">
      <c r="A198" s="219"/>
      <c r="B198" s="547"/>
      <c r="C198" s="453" t="s">
        <v>2611</v>
      </c>
      <c r="D198" s="44" t="s">
        <v>1576</v>
      </c>
      <c r="H198" s="65"/>
      <c r="I198" s="2084"/>
      <c r="J198" s="2085"/>
      <c r="L198" s="1323"/>
      <c r="M198" s="85"/>
      <c r="N198" s="453" t="s">
        <v>2611</v>
      </c>
      <c r="O198" s="1095" t="s">
        <v>1602</v>
      </c>
      <c r="P198" s="1294"/>
      <c r="R198" s="458"/>
    </row>
    <row r="199" spans="1:18" ht="10.5" customHeight="1">
      <c r="B199" s="547"/>
      <c r="C199" s="472" t="s">
        <v>2612</v>
      </c>
      <c r="D199" s="44" t="s">
        <v>2977</v>
      </c>
      <c r="H199" s="65"/>
      <c r="I199" s="2084"/>
      <c r="J199" s="2085"/>
      <c r="L199" s="1323"/>
      <c r="M199" s="85"/>
      <c r="N199" s="472" t="s">
        <v>2612</v>
      </c>
      <c r="O199" s="1095" t="s">
        <v>1602</v>
      </c>
      <c r="P199" s="1294"/>
      <c r="R199" s="458"/>
    </row>
    <row r="200" spans="1:18" ht="10.5" customHeight="1">
      <c r="A200" s="219"/>
      <c r="B200" s="547"/>
      <c r="C200" s="472" t="s">
        <v>2613</v>
      </c>
      <c r="D200" s="44" t="s">
        <v>3283</v>
      </c>
      <c r="H200" s="65"/>
      <c r="I200" s="2084"/>
      <c r="J200" s="2085"/>
      <c r="L200" s="1323"/>
      <c r="M200" s="85"/>
      <c r="N200" s="472" t="s">
        <v>2613</v>
      </c>
      <c r="O200" s="1095" t="s">
        <v>1602</v>
      </c>
      <c r="P200" s="1294"/>
      <c r="R200" s="458"/>
    </row>
    <row r="201" spans="1:18" ht="10.5" customHeight="1">
      <c r="A201" s="219"/>
      <c r="B201" s="547"/>
      <c r="C201" s="472" t="s">
        <v>2614</v>
      </c>
      <c r="D201" s="44" t="s">
        <v>3284</v>
      </c>
      <c r="H201" s="65"/>
      <c r="I201" s="2084"/>
      <c r="J201" s="2085"/>
      <c r="L201" s="1323"/>
      <c r="M201" s="85"/>
      <c r="N201" s="472" t="s">
        <v>2614</v>
      </c>
      <c r="O201" s="1095" t="s">
        <v>1602</v>
      </c>
      <c r="P201" s="1294"/>
      <c r="R201" s="458"/>
    </row>
    <row r="202" spans="1:18" ht="10.5" customHeight="1" thickBot="1">
      <c r="A202" s="219"/>
      <c r="B202" s="547"/>
      <c r="C202" s="719" t="s">
        <v>629</v>
      </c>
      <c r="D202" s="540" t="s">
        <v>3285</v>
      </c>
      <c r="E202" s="541"/>
      <c r="F202" s="541"/>
      <c r="G202" s="541"/>
      <c r="H202" s="718"/>
      <c r="I202" s="2072"/>
      <c r="J202" s="2073"/>
      <c r="K202" s="541"/>
      <c r="L202" s="1324"/>
      <c r="M202" s="85"/>
      <c r="N202" s="472" t="s">
        <v>629</v>
      </c>
      <c r="O202" s="1096" t="s">
        <v>1602</v>
      </c>
      <c r="P202" s="1295"/>
      <c r="R202" s="458"/>
    </row>
    <row r="203" spans="1:18" ht="10.5" customHeight="1" thickBot="1">
      <c r="A203" s="219"/>
      <c r="B203" s="547"/>
      <c r="D203" s="538" t="s">
        <v>2811</v>
      </c>
      <c r="H203" s="65"/>
      <c r="I203" s="2074">
        <f>SUM(I192:J202)</f>
        <v>0</v>
      </c>
      <c r="J203" s="2075"/>
      <c r="L203" s="1325">
        <f>SUM($L192:$L202)</f>
        <v>0</v>
      </c>
      <c r="M203" s="543"/>
      <c r="N203" s="458"/>
      <c r="O203" s="458"/>
      <c r="P203" s="458"/>
      <c r="R203" s="458"/>
    </row>
    <row r="204" spans="1:18" s="51" customFormat="1" ht="3" customHeight="1">
      <c r="A204" s="50"/>
      <c r="B204" s="128"/>
      <c r="D204" s="47"/>
      <c r="E204" s="44"/>
      <c r="F204" s="612"/>
      <c r="G204" s="612"/>
      <c r="H204" s="612"/>
      <c r="I204" s="612"/>
      <c r="J204" s="38"/>
      <c r="K204" s="38"/>
      <c r="L204" s="38"/>
      <c r="M204" s="1189"/>
      <c r="N204" s="612"/>
      <c r="O204" s="1175"/>
      <c r="P204" s="4"/>
    </row>
    <row r="205" spans="1:18" ht="10.5" customHeight="1">
      <c r="B205" s="452" t="s">
        <v>2116</v>
      </c>
      <c r="C205" s="552" t="s">
        <v>2810</v>
      </c>
      <c r="D205" s="538" t="s">
        <v>2812</v>
      </c>
      <c r="I205" s="2100">
        <f>'Part IV-Uses of Funds'!$G$130</f>
        <v>12233897</v>
      </c>
      <c r="J205" s="2101"/>
      <c r="M205" s="189"/>
      <c r="N205" s="31"/>
      <c r="O205" s="31"/>
      <c r="P205" s="31"/>
    </row>
    <row r="206" spans="1:18" ht="10.5" customHeight="1">
      <c r="B206" s="217"/>
      <c r="C206" s="537"/>
      <c r="D206" s="550" t="s">
        <v>2813</v>
      </c>
      <c r="G206" s="544"/>
      <c r="H206" s="544"/>
      <c r="I206" s="2097">
        <f>IF($I205=0,0,$I203/$I205)</f>
        <v>0</v>
      </c>
      <c r="J206" s="2098"/>
      <c r="L206" s="539">
        <f>IF($I205=0,0,$L203/$I205)</f>
        <v>0</v>
      </c>
      <c r="M206" s="189"/>
      <c r="N206" s="31"/>
      <c r="O206" s="31"/>
      <c r="P206" s="31"/>
    </row>
    <row r="207" spans="1:18" s="51" customFormat="1" ht="12.75" customHeight="1">
      <c r="A207" s="165" t="s">
        <v>2113</v>
      </c>
      <c r="B207" s="223" t="s">
        <v>2900</v>
      </c>
      <c r="D207" s="47"/>
      <c r="E207" s="44"/>
      <c r="F207" s="612"/>
      <c r="H207" s="44"/>
      <c r="I207" s="612"/>
      <c r="J207" s="38"/>
      <c r="K207" s="38"/>
      <c r="L207" s="38"/>
      <c r="M207" s="85">
        <v>1</v>
      </c>
      <c r="N207" s="594" t="s">
        <v>2113</v>
      </c>
      <c r="O207" s="1094">
        <v>0</v>
      </c>
      <c r="P207" s="1311"/>
      <c r="Q207" s="474" t="s">
        <v>2929</v>
      </c>
    </row>
    <row r="208" spans="1:18" s="51" customFormat="1" ht="11.25" customHeight="1">
      <c r="A208" s="165"/>
      <c r="B208" s="62" t="s">
        <v>3155</v>
      </c>
      <c r="C208" s="62"/>
      <c r="D208" s="62"/>
      <c r="E208" s="62"/>
      <c r="F208" s="62"/>
      <c r="G208" s="62"/>
      <c r="H208" s="62"/>
      <c r="I208" s="62"/>
      <c r="J208" s="62"/>
      <c r="K208" s="62"/>
      <c r="L208" s="62"/>
      <c r="M208" s="62"/>
      <c r="N208" s="62"/>
      <c r="O208" s="1096" t="s">
        <v>1602</v>
      </c>
      <c r="P208" s="1295"/>
    </row>
    <row r="209" spans="1:18" s="51" customFormat="1" ht="12.75" customHeight="1">
      <c r="A209" s="165" t="s">
        <v>793</v>
      </c>
      <c r="B209" s="223" t="s">
        <v>681</v>
      </c>
      <c r="D209" s="47"/>
      <c r="E209" s="44"/>
      <c r="F209" s="612"/>
      <c r="G209" s="612"/>
      <c r="H209" s="612"/>
      <c r="I209" s="612"/>
      <c r="J209" s="38"/>
      <c r="K209" s="38"/>
      <c r="L209" s="38"/>
      <c r="M209" s="535">
        <v>2</v>
      </c>
      <c r="N209" s="594" t="s">
        <v>793</v>
      </c>
      <c r="O209" s="179">
        <f>IF(AND($L183="Flexible",$K210&gt;=0.1), 2,IF(AND($L183="Flexible",$K210&gt;=0.05), 1,IF(AND($L183="Rural",$K210&gt;=0.05), 2,0)))</f>
        <v>0</v>
      </c>
      <c r="P209" s="179">
        <f>IF(AND($L183="Flexible",$M210&gt;=0.1), 2,IF(AND($L183="Flexible",$M210&gt;=0.05), 1,IF(AND($L183="Rural",$M210&gt;=0.05), 2,0)))</f>
        <v>0</v>
      </c>
      <c r="R209" s="458" t="str">
        <f>IF(OR($O209=$M209,$O209=0,$O209=""),"","* * Check Score! * *")</f>
        <v/>
      </c>
    </row>
    <row r="210" spans="1:18" ht="10.5" customHeight="1">
      <c r="B210" s="44" t="s">
        <v>2881</v>
      </c>
      <c r="E210" s="542"/>
      <c r="I210" s="2093"/>
      <c r="J210" s="2094"/>
      <c r="K210" s="539">
        <f>IF($I210=0,0,$I210/$I205)</f>
        <v>0</v>
      </c>
      <c r="L210" s="1326"/>
      <c r="M210" s="2088">
        <f>IF($L210=0,0,$L210/$I205)</f>
        <v>0</v>
      </c>
      <c r="N210" s="2089"/>
      <c r="O210" s="108"/>
      <c r="P210" s="108"/>
    </row>
    <row r="211" spans="1:18" s="51" customFormat="1" ht="10.5" customHeight="1">
      <c r="A211" s="218"/>
      <c r="B211" s="44" t="s">
        <v>3205</v>
      </c>
      <c r="E211" s="1892"/>
      <c r="F211" s="1893"/>
      <c r="G211" s="1893"/>
      <c r="H211" s="1893"/>
      <c r="I211" s="1893"/>
      <c r="J211" s="1894"/>
      <c r="K211" s="542" t="s">
        <v>1376</v>
      </c>
      <c r="L211" s="1979" t="s">
        <v>3156</v>
      </c>
      <c r="M211" s="1980"/>
      <c r="N211" s="1981"/>
    </row>
    <row r="212" spans="1:18" ht="11.25" customHeight="1">
      <c r="A212" s="219"/>
      <c r="B212" s="476" t="s">
        <v>2501</v>
      </c>
      <c r="D212" s="477"/>
      <c r="E212" s="2090"/>
      <c r="F212" s="2091"/>
      <c r="G212" s="2091"/>
      <c r="H212" s="2091"/>
      <c r="I212" s="2091"/>
      <c r="J212" s="2091"/>
      <c r="K212" s="2091"/>
      <c r="L212" s="2091"/>
      <c r="M212" s="2091"/>
      <c r="N212" s="2091"/>
      <c r="O212" s="2091"/>
      <c r="P212" s="2092"/>
    </row>
    <row r="213" spans="1:18" s="51" customFormat="1" ht="10.5" customHeight="1">
      <c r="A213" s="50"/>
      <c r="B213" s="57" t="s">
        <v>269</v>
      </c>
      <c r="C213" s="50"/>
      <c r="D213" s="56"/>
      <c r="E213" s="56"/>
      <c r="F213" s="56"/>
      <c r="G213" s="56"/>
      <c r="H213" s="44"/>
      <c r="I213" s="44"/>
      <c r="J213" s="44"/>
      <c r="K213" s="44"/>
      <c r="M213" s="54"/>
      <c r="N213" s="73"/>
      <c r="O213" s="4"/>
      <c r="P213" s="1175"/>
    </row>
    <row r="214" spans="1:18" s="51" customFormat="1" ht="10.5" customHeight="1">
      <c r="A214" s="1830"/>
      <c r="B214" s="1831"/>
      <c r="C214" s="1831"/>
      <c r="D214" s="1831"/>
      <c r="E214" s="1831"/>
      <c r="F214" s="1831"/>
      <c r="G214" s="1831"/>
      <c r="H214" s="1831"/>
      <c r="I214" s="1831"/>
      <c r="J214" s="1831"/>
      <c r="K214" s="1831"/>
      <c r="L214" s="1831"/>
      <c r="M214" s="1831"/>
      <c r="N214" s="1831"/>
      <c r="O214" s="1831"/>
      <c r="P214" s="1832"/>
      <c r="Q214" s="562" t="s">
        <v>1326</v>
      </c>
    </row>
    <row r="215" spans="1:18" s="119" customFormat="1" ht="10.5" customHeight="1">
      <c r="A215" s="50"/>
      <c r="B215" s="114" t="s">
        <v>1988</v>
      </c>
      <c r="C215" s="115"/>
      <c r="D215" s="114"/>
      <c r="E215" s="225"/>
      <c r="F215" s="1174"/>
      <c r="G215" s="1174"/>
      <c r="H215" s="1174"/>
      <c r="I215" s="1174"/>
      <c r="J215" s="1174"/>
      <c r="K215" s="1174"/>
      <c r="L215" s="1174"/>
      <c r="M215" s="1174"/>
      <c r="N215" s="110"/>
      <c r="O215" s="224"/>
      <c r="P215" s="2"/>
      <c r="Q215" s="529"/>
    </row>
    <row r="216" spans="1:18" s="51" customFormat="1" ht="10.5" customHeight="1">
      <c r="A216" s="1833"/>
      <c r="B216" s="1834"/>
      <c r="C216" s="1834"/>
      <c r="D216" s="1834"/>
      <c r="E216" s="1834"/>
      <c r="F216" s="1834"/>
      <c r="G216" s="1834"/>
      <c r="H216" s="1834"/>
      <c r="I216" s="1834"/>
      <c r="J216" s="1834"/>
      <c r="K216" s="1834"/>
      <c r="L216" s="1834"/>
      <c r="M216" s="1834"/>
      <c r="N216" s="1834"/>
      <c r="O216" s="1834"/>
      <c r="P216" s="1835"/>
      <c r="Q216" s="562" t="s">
        <v>1326</v>
      </c>
    </row>
    <row r="217" spans="1:18" ht="3" customHeight="1"/>
    <row r="218" spans="1:18" s="51" customFormat="1" ht="15">
      <c r="A218" s="182" t="s">
        <v>1778</v>
      </c>
      <c r="B218" s="122" t="s">
        <v>1781</v>
      </c>
      <c r="C218" s="78"/>
      <c r="E218" s="49"/>
      <c r="G218" s="44"/>
      <c r="H218" s="44"/>
      <c r="I218" s="47"/>
      <c r="J218" s="56"/>
      <c r="K218" s="56"/>
      <c r="L218" s="458" t="str">
        <f>IF(OR($O218=$M218,$O218=0,$O218=""),"","* * Check Score! * *")</f>
        <v/>
      </c>
      <c r="M218" s="2">
        <v>3</v>
      </c>
      <c r="N218" s="119"/>
      <c r="O218" s="54"/>
      <c r="P218" s="1316"/>
      <c r="Q218" s="126" t="s">
        <v>461</v>
      </c>
      <c r="R218" s="458"/>
    </row>
    <row r="219" spans="1:18" s="51" customFormat="1" ht="12" customHeight="1">
      <c r="A219" s="165" t="s">
        <v>2110</v>
      </c>
      <c r="B219" s="205" t="s">
        <v>2979</v>
      </c>
      <c r="D219" s="40"/>
      <c r="G219" s="65" t="s">
        <v>2495</v>
      </c>
      <c r="M219" s="85">
        <v>3</v>
      </c>
      <c r="N219" s="594" t="s">
        <v>2110</v>
      </c>
      <c r="O219" s="1094" t="s">
        <v>1602</v>
      </c>
      <c r="P219" s="1293"/>
      <c r="R219" s="458"/>
    </row>
    <row r="220" spans="1:18" s="51" customFormat="1" ht="23.25" customHeight="1">
      <c r="A220" s="764" t="s">
        <v>1434</v>
      </c>
      <c r="B220" s="2001" t="s">
        <v>3348</v>
      </c>
      <c r="C220" s="2002"/>
      <c r="D220" s="2002"/>
      <c r="E220" s="2002"/>
      <c r="F220" s="2002"/>
      <c r="G220" s="2002"/>
      <c r="H220" s="2002"/>
      <c r="I220" s="2002"/>
      <c r="J220" s="2002"/>
      <c r="K220" s="2002"/>
      <c r="L220" s="2002"/>
      <c r="M220" s="54"/>
      <c r="N220" s="73"/>
      <c r="O220" s="1096" t="s">
        <v>1602</v>
      </c>
      <c r="P220" s="1295"/>
    </row>
    <row r="221" spans="1:18" s="548" customFormat="1" ht="3" customHeight="1">
      <c r="B221" s="618"/>
      <c r="C221" s="1179"/>
      <c r="D221" s="1179"/>
      <c r="E221" s="1179"/>
      <c r="F221" s="1179"/>
      <c r="G221" s="1179"/>
      <c r="H221" s="1179"/>
      <c r="I221" s="1179"/>
      <c r="J221" s="1179"/>
      <c r="K221" s="1179"/>
      <c r="L221" s="1179"/>
      <c r="M221" s="1179"/>
      <c r="N221" s="1179"/>
      <c r="O221" s="1179"/>
      <c r="P221" s="1179"/>
    </row>
    <row r="222" spans="1:18" s="51" customFormat="1" ht="12" customHeight="1">
      <c r="A222" s="165" t="s">
        <v>2113</v>
      </c>
      <c r="B222" s="205" t="s">
        <v>2978</v>
      </c>
      <c r="D222" s="40"/>
      <c r="E222" s="40"/>
      <c r="F222" s="40"/>
      <c r="G222" s="205" t="s">
        <v>3072</v>
      </c>
      <c r="I222" s="777" t="str">
        <f>'Part I-Project Information'!$H$85</f>
        <v>Flexible</v>
      </c>
      <c r="R222" s="458"/>
    </row>
    <row r="223" spans="1:18" s="51" customFormat="1" ht="12" customHeight="1">
      <c r="A223" s="165"/>
      <c r="B223" s="65" t="s">
        <v>2495</v>
      </c>
      <c r="D223" s="40"/>
      <c r="M223" s="128">
        <v>3</v>
      </c>
      <c r="N223" s="594" t="s">
        <v>2113</v>
      </c>
      <c r="O223" s="1094" t="s">
        <v>1602</v>
      </c>
      <c r="P223" s="1293"/>
      <c r="R223" s="458"/>
    </row>
    <row r="224" spans="1:18" s="51" customFormat="1" ht="23.25" customHeight="1">
      <c r="A224" s="764"/>
      <c r="B224" s="2001" t="s">
        <v>3348</v>
      </c>
      <c r="C224" s="2002"/>
      <c r="D224" s="2002"/>
      <c r="E224" s="2002"/>
      <c r="F224" s="2002"/>
      <c r="G224" s="2002"/>
      <c r="H224" s="2002"/>
      <c r="I224" s="2002"/>
      <c r="J224" s="2002"/>
      <c r="K224" s="2002"/>
      <c r="L224" s="2002"/>
      <c r="M224" s="54"/>
      <c r="N224" s="73"/>
      <c r="O224" s="1096" t="s">
        <v>1602</v>
      </c>
      <c r="P224" s="1295"/>
    </row>
    <row r="225" spans="1:18" s="51" customFormat="1" ht="10.5" customHeight="1">
      <c r="A225" s="50"/>
      <c r="B225" s="57" t="s">
        <v>269</v>
      </c>
      <c r="C225" s="50"/>
      <c r="D225" s="56"/>
      <c r="E225" s="56"/>
      <c r="F225" s="56"/>
      <c r="G225" s="56"/>
      <c r="H225" s="44"/>
      <c r="I225" s="44"/>
      <c r="J225" s="44"/>
      <c r="K225" s="44"/>
      <c r="M225" s="54"/>
      <c r="N225" s="73"/>
      <c r="O225" s="4"/>
      <c r="P225" s="1175"/>
    </row>
    <row r="226" spans="1:18" s="51" customFormat="1" ht="12.75" customHeight="1">
      <c r="A226" s="1830"/>
      <c r="B226" s="1831"/>
      <c r="C226" s="1831"/>
      <c r="D226" s="1831"/>
      <c r="E226" s="1831"/>
      <c r="F226" s="1831"/>
      <c r="G226" s="1831"/>
      <c r="H226" s="1831"/>
      <c r="I226" s="1831"/>
      <c r="J226" s="1831"/>
      <c r="K226" s="1831"/>
      <c r="L226" s="1831"/>
      <c r="M226" s="1831"/>
      <c r="N226" s="1831"/>
      <c r="O226" s="1831"/>
      <c r="P226" s="1832"/>
      <c r="Q226" s="562" t="s">
        <v>1326</v>
      </c>
    </row>
    <row r="227" spans="1:18" s="119" customFormat="1" ht="10.5" customHeight="1">
      <c r="A227" s="50"/>
      <c r="B227" s="114" t="s">
        <v>1988</v>
      </c>
      <c r="C227" s="115"/>
      <c r="D227" s="114"/>
      <c r="E227" s="225"/>
      <c r="F227" s="1174"/>
      <c r="G227" s="1174"/>
      <c r="H227" s="1174"/>
      <c r="I227" s="1174"/>
      <c r="J227" s="1174"/>
      <c r="K227" s="1174"/>
      <c r="L227" s="1174"/>
      <c r="M227" s="1174"/>
      <c r="N227" s="110"/>
      <c r="O227" s="224"/>
      <c r="P227" s="2"/>
      <c r="Q227" s="529"/>
    </row>
    <row r="228" spans="1:18" s="51" customFormat="1" ht="12" customHeight="1">
      <c r="A228" s="1833"/>
      <c r="B228" s="1834"/>
      <c r="C228" s="1834"/>
      <c r="D228" s="1834"/>
      <c r="E228" s="1834"/>
      <c r="F228" s="1834"/>
      <c r="G228" s="1834"/>
      <c r="H228" s="1834"/>
      <c r="I228" s="1834"/>
      <c r="J228" s="1834"/>
      <c r="K228" s="1834"/>
      <c r="L228" s="1834"/>
      <c r="M228" s="1834"/>
      <c r="N228" s="1834"/>
      <c r="O228" s="1834"/>
      <c r="P228" s="1835"/>
      <c r="Q228" s="562" t="s">
        <v>1326</v>
      </c>
    </row>
    <row r="229" spans="1:18" s="51" customFormat="1" ht="9" customHeight="1">
      <c r="A229" s="50"/>
      <c r="B229" s="50"/>
      <c r="C229" s="1176"/>
      <c r="D229" s="1176"/>
      <c r="E229" s="1176"/>
      <c r="F229" s="1176"/>
      <c r="G229" s="1176"/>
      <c r="H229" s="1176"/>
      <c r="I229" s="1176"/>
      <c r="J229" s="1176"/>
      <c r="K229" s="1176"/>
      <c r="L229" s="1176"/>
      <c r="M229" s="1176"/>
      <c r="N229" s="87"/>
      <c r="O229" s="83"/>
      <c r="P229" s="612"/>
    </row>
    <row r="230" spans="1:18" s="51" customFormat="1" ht="15">
      <c r="A230" s="183" t="s">
        <v>1779</v>
      </c>
      <c r="B230" s="130" t="s">
        <v>2952</v>
      </c>
      <c r="C230" s="102"/>
      <c r="D230" s="69"/>
      <c r="E230" s="62"/>
      <c r="J230" s="72"/>
      <c r="M230" s="2">
        <v>3</v>
      </c>
      <c r="N230" s="7"/>
      <c r="O230" s="89">
        <f>MIN($M230,O231+O235)</f>
        <v>3</v>
      </c>
      <c r="P230" s="89">
        <f>MIN($M230,P231+P235)</f>
        <v>0</v>
      </c>
      <c r="Q230" s="126" t="s">
        <v>461</v>
      </c>
    </row>
    <row r="231" spans="1:18" s="51" customFormat="1" ht="12" customHeight="1">
      <c r="A231" s="165" t="s">
        <v>2110</v>
      </c>
      <c r="B231" s="205" t="s">
        <v>3157</v>
      </c>
      <c r="D231" s="40"/>
      <c r="E231" s="40"/>
      <c r="F231" s="40"/>
      <c r="J231" s="557" t="s">
        <v>3293</v>
      </c>
      <c r="K231" s="725">
        <f>'Part VI-Revenues &amp; Expenses'!$I$57/'Part VI-Revenues &amp; Expenses'!$M$58</f>
        <v>0.16455696202531644</v>
      </c>
      <c r="L231" s="620" t="str">
        <f>IF(OR($O231=$M231,$O231=0,$O231=""),"","* * Check Score! * *")</f>
        <v/>
      </c>
      <c r="M231" s="7">
        <v>3</v>
      </c>
      <c r="N231" s="594" t="s">
        <v>2110</v>
      </c>
      <c r="O231" s="1130">
        <v>3</v>
      </c>
      <c r="P231" s="1327"/>
      <c r="Q231" s="474" t="s">
        <v>2929</v>
      </c>
      <c r="R231" s="126"/>
    </row>
    <row r="232" spans="1:18" s="505" customFormat="1" ht="33" customHeight="1">
      <c r="A232" s="170"/>
      <c r="B232" s="618" t="s">
        <v>2114</v>
      </c>
      <c r="C232" s="1921" t="s">
        <v>3158</v>
      </c>
      <c r="D232" s="1921"/>
      <c r="E232" s="1921"/>
      <c r="F232" s="1921"/>
      <c r="G232" s="1921"/>
      <c r="H232" s="1921"/>
      <c r="I232" s="1921"/>
      <c r="J232" s="1921"/>
      <c r="K232" s="1921"/>
      <c r="L232" s="1921"/>
      <c r="M232" s="1921"/>
      <c r="N232" s="475" t="s">
        <v>2114</v>
      </c>
      <c r="O232" s="1112" t="s">
        <v>3485</v>
      </c>
      <c r="P232" s="1313"/>
      <c r="Q232" s="683"/>
      <c r="R232" s="672"/>
    </row>
    <row r="233" spans="1:18" s="548" customFormat="1" ht="34.5" customHeight="1">
      <c r="A233" s="764" t="s">
        <v>1434</v>
      </c>
      <c r="B233" s="618" t="s">
        <v>2116</v>
      </c>
      <c r="C233" s="1921" t="s">
        <v>3159</v>
      </c>
      <c r="D233" s="1921"/>
      <c r="E233" s="1921"/>
      <c r="F233" s="1921"/>
      <c r="G233" s="1921"/>
      <c r="H233" s="1921"/>
      <c r="I233" s="1921"/>
      <c r="J233" s="1921"/>
      <c r="K233" s="1921"/>
      <c r="L233" s="1921"/>
      <c r="M233" s="1921"/>
      <c r="N233" s="475" t="s">
        <v>2116</v>
      </c>
      <c r="O233" s="1096" t="s">
        <v>3452</v>
      </c>
      <c r="P233" s="1295"/>
    </row>
    <row r="234" spans="1:18" s="548" customFormat="1" ht="3" customHeight="1">
      <c r="B234" s="618"/>
      <c r="C234" s="1179"/>
      <c r="D234" s="1179"/>
      <c r="E234" s="1179"/>
      <c r="F234" s="1179"/>
      <c r="G234" s="1179"/>
      <c r="H234" s="1179"/>
      <c r="I234" s="1179"/>
      <c r="J234" s="1179"/>
      <c r="K234" s="1179"/>
      <c r="L234" s="1179"/>
      <c r="M234" s="1179"/>
      <c r="N234" s="1179"/>
      <c r="O234" s="1179"/>
      <c r="P234" s="1179"/>
    </row>
    <row r="235" spans="1:18" s="51" customFormat="1" ht="12" customHeight="1">
      <c r="A235" s="165" t="s">
        <v>2113</v>
      </c>
      <c r="B235" s="205" t="s">
        <v>2953</v>
      </c>
      <c r="D235" s="48"/>
      <c r="F235" s="44" t="s">
        <v>3160</v>
      </c>
      <c r="H235" s="2103" t="s">
        <v>3161</v>
      </c>
      <c r="I235" s="2104"/>
      <c r="J235" s="2104"/>
      <c r="K235" s="2105"/>
      <c r="L235" s="620" t="str">
        <f>IF(OR($O235=$M235,$O235=0,$O235=""),"","* * Check Score! * *")</f>
        <v/>
      </c>
      <c r="M235" s="7">
        <v>3</v>
      </c>
      <c r="N235" s="594" t="s">
        <v>2113</v>
      </c>
      <c r="O235" s="1116">
        <v>0</v>
      </c>
      <c r="P235" s="1328"/>
      <c r="Q235" s="474" t="s">
        <v>2929</v>
      </c>
      <c r="R235" s="458"/>
    </row>
    <row r="236" spans="1:18" s="51" customFormat="1" ht="12" customHeight="1">
      <c r="A236" s="50"/>
      <c r="B236" s="57" t="s">
        <v>269</v>
      </c>
      <c r="C236" s="50"/>
      <c r="D236" s="56"/>
      <c r="E236" s="56"/>
      <c r="F236" s="56"/>
      <c r="G236" s="56"/>
      <c r="H236" s="44"/>
      <c r="I236" s="44"/>
      <c r="J236" s="44"/>
      <c r="K236" s="44"/>
      <c r="M236" s="54"/>
      <c r="N236" s="73"/>
      <c r="O236" s="4"/>
      <c r="P236" s="1175"/>
    </row>
    <row r="237" spans="1:18" s="51" customFormat="1" ht="12" customHeight="1">
      <c r="A237" s="1830" t="s">
        <v>3551</v>
      </c>
      <c r="B237" s="1831"/>
      <c r="C237" s="1831"/>
      <c r="D237" s="1831"/>
      <c r="E237" s="1831"/>
      <c r="F237" s="1831"/>
      <c r="G237" s="1831"/>
      <c r="H237" s="1831"/>
      <c r="I237" s="1831"/>
      <c r="J237" s="1831"/>
      <c r="K237" s="1831"/>
      <c r="L237" s="1831"/>
      <c r="M237" s="1831"/>
      <c r="N237" s="1831"/>
      <c r="O237" s="1831"/>
      <c r="P237" s="1832"/>
      <c r="Q237" s="562" t="s">
        <v>1326</v>
      </c>
    </row>
    <row r="238" spans="1:18" s="51" customFormat="1" ht="12" customHeight="1">
      <c r="B238" s="100" t="s">
        <v>1988</v>
      </c>
      <c r="C238" s="115"/>
      <c r="D238" s="100"/>
      <c r="E238" s="116"/>
      <c r="F238" s="1176"/>
      <c r="G238" s="1176"/>
      <c r="H238" s="1176"/>
      <c r="I238" s="1176"/>
      <c r="J238" s="1176"/>
      <c r="K238" s="1176"/>
      <c r="L238" s="1176"/>
      <c r="M238" s="1176"/>
      <c r="N238" s="87"/>
      <c r="O238" s="83"/>
      <c r="P238" s="2"/>
      <c r="Q238" s="529"/>
    </row>
    <row r="239" spans="1:18" s="51" customFormat="1" ht="12" customHeight="1">
      <c r="A239" s="1833"/>
      <c r="B239" s="1834"/>
      <c r="C239" s="1834"/>
      <c r="D239" s="1834"/>
      <c r="E239" s="1834"/>
      <c r="F239" s="1834"/>
      <c r="G239" s="1834"/>
      <c r="H239" s="1834"/>
      <c r="I239" s="1834"/>
      <c r="J239" s="1834"/>
      <c r="K239" s="1834"/>
      <c r="L239" s="1834"/>
      <c r="M239" s="1834"/>
      <c r="N239" s="1834"/>
      <c r="O239" s="1834"/>
      <c r="P239" s="1835"/>
      <c r="Q239" s="562" t="s">
        <v>1326</v>
      </c>
    </row>
    <row r="240" spans="1:18" s="51" customFormat="1" ht="9" customHeight="1">
      <c r="A240" s="50"/>
      <c r="B240" s="50"/>
      <c r="C240" s="1176"/>
      <c r="D240" s="1176"/>
      <c r="E240" s="1176"/>
      <c r="F240" s="1176"/>
      <c r="G240" s="1176"/>
      <c r="H240" s="1176"/>
      <c r="I240" s="1176"/>
      <c r="J240" s="1176"/>
      <c r="K240" s="1176"/>
      <c r="L240" s="1176"/>
      <c r="M240" s="1176"/>
      <c r="N240" s="87"/>
      <c r="O240" s="83"/>
      <c r="P240" s="612"/>
    </row>
    <row r="241" spans="1:18" s="51" customFormat="1" ht="12" customHeight="1">
      <c r="A241" s="182" t="s">
        <v>1780</v>
      </c>
      <c r="B241" s="122" t="s">
        <v>2954</v>
      </c>
      <c r="D241" s="48"/>
      <c r="F241" s="38"/>
      <c r="G241" s="119"/>
      <c r="H241" s="72" t="s">
        <v>419</v>
      </c>
      <c r="K241" s="119"/>
      <c r="L241" s="44"/>
      <c r="M241" s="2">
        <v>2</v>
      </c>
      <c r="N241" s="594"/>
      <c r="O241" s="545">
        <f>MIN($M241,O242+O246)</f>
        <v>0</v>
      </c>
      <c r="P241" s="545">
        <f>MIN($M241,P242+P246)</f>
        <v>0</v>
      </c>
      <c r="Q241" s="126" t="s">
        <v>461</v>
      </c>
      <c r="R241" s="458" t="str">
        <f>IF(OR($O242=$M241,$O242=0,$O242=""),"","* * Check Score! * *")</f>
        <v/>
      </c>
    </row>
    <row r="242" spans="1:18" s="505" customFormat="1" ht="12.75" customHeight="1">
      <c r="A242" s="765" t="s">
        <v>2110</v>
      </c>
      <c r="B242" s="476" t="s">
        <v>3162</v>
      </c>
      <c r="D242" s="476"/>
      <c r="E242" s="2003" t="s">
        <v>3335</v>
      </c>
      <c r="F242" s="2004"/>
      <c r="G242" s="2004"/>
      <c r="H242" s="2005"/>
      <c r="J242" s="476" t="s">
        <v>3166</v>
      </c>
      <c r="L242" s="762">
        <f>'Part III-Sources of Funds'!$H$42</f>
        <v>0</v>
      </c>
      <c r="M242" s="506">
        <v>2</v>
      </c>
      <c r="N242" s="192" t="s">
        <v>2110</v>
      </c>
      <c r="O242" s="1116">
        <v>0</v>
      </c>
      <c r="P242" s="1328"/>
      <c r="Q242" s="213" t="s">
        <v>2929</v>
      </c>
    </row>
    <row r="243" spans="1:18" s="505" customFormat="1" ht="12.75" customHeight="1">
      <c r="A243" s="504"/>
      <c r="B243" s="553"/>
      <c r="J243" s="476" t="s">
        <v>3165</v>
      </c>
      <c r="K243" s="476"/>
      <c r="L243" s="763">
        <f>'Part VI-Revenues &amp; Expenses'!$M$81</f>
        <v>0</v>
      </c>
      <c r="M243" s="506"/>
      <c r="N243" s="506"/>
      <c r="O243" s="506"/>
      <c r="P243" s="506"/>
      <c r="Q243" s="213"/>
    </row>
    <row r="244" spans="1:18" s="505" customFormat="1" ht="12.75" customHeight="1">
      <c r="A244" s="504"/>
      <c r="B244" s="553"/>
      <c r="F244" s="546"/>
      <c r="G244" s="60"/>
      <c r="H244" s="685"/>
      <c r="I244" s="760"/>
      <c r="J244" s="614" t="s">
        <v>3163</v>
      </c>
      <c r="L244" s="763">
        <f>'Part VI-Revenues &amp; Expenses'!$M$62</f>
        <v>84</v>
      </c>
      <c r="M244" s="506"/>
      <c r="N244" s="506"/>
      <c r="O244" s="506"/>
      <c r="P244" s="506"/>
      <c r="Q244" s="213"/>
    </row>
    <row r="245" spans="1:18" s="505" customFormat="1" ht="12.75" customHeight="1">
      <c r="A245" s="726" t="s">
        <v>1434</v>
      </c>
      <c r="B245" s="553"/>
      <c r="F245" s="546"/>
      <c r="G245" s="60"/>
      <c r="H245" s="685"/>
      <c r="I245" s="760"/>
      <c r="J245" s="761" t="s">
        <v>3164</v>
      </c>
      <c r="L245" s="684">
        <f>L243/L244</f>
        <v>0</v>
      </c>
      <c r="M245" s="506"/>
      <c r="N245" s="506"/>
      <c r="O245" s="506"/>
      <c r="P245" s="506"/>
      <c r="Q245" s="213"/>
    </row>
    <row r="246" spans="1:18" s="505" customFormat="1" ht="22.5" customHeight="1">
      <c r="A246" s="765" t="s">
        <v>2113</v>
      </c>
      <c r="B246" s="1913" t="s">
        <v>2996</v>
      </c>
      <c r="C246" s="1913"/>
      <c r="D246" s="1913"/>
      <c r="E246" s="1913"/>
      <c r="F246" s="1913"/>
      <c r="G246" s="1913"/>
      <c r="H246" s="1913"/>
      <c r="I246" s="1913"/>
      <c r="J246" s="1913"/>
      <c r="K246" s="1913"/>
      <c r="L246" s="1913"/>
      <c r="M246" s="506">
        <v>1</v>
      </c>
      <c r="N246" s="192" t="s">
        <v>2113</v>
      </c>
      <c r="O246" s="1116">
        <v>0</v>
      </c>
      <c r="P246" s="1328"/>
      <c r="Q246" s="213" t="s">
        <v>2929</v>
      </c>
    </row>
    <row r="247" spans="1:18" s="51" customFormat="1" ht="12" customHeight="1">
      <c r="A247" s="50"/>
      <c r="B247" s="57" t="s">
        <v>269</v>
      </c>
      <c r="C247" s="50"/>
      <c r="D247" s="56"/>
      <c r="E247" s="56"/>
      <c r="F247" s="56"/>
      <c r="G247" s="56"/>
      <c r="H247" s="44"/>
      <c r="I247" s="44"/>
      <c r="J247" s="44"/>
      <c r="K247" s="44"/>
      <c r="M247" s="54"/>
      <c r="N247" s="73"/>
      <c r="O247" s="4"/>
      <c r="P247" s="1175"/>
    </row>
    <row r="248" spans="1:18" s="51" customFormat="1" ht="12" customHeight="1">
      <c r="A248" s="1830"/>
      <c r="B248" s="1831"/>
      <c r="C248" s="1831"/>
      <c r="D248" s="1831"/>
      <c r="E248" s="1831"/>
      <c r="F248" s="1831"/>
      <c r="G248" s="1831"/>
      <c r="H248" s="1831"/>
      <c r="I248" s="1831"/>
      <c r="J248" s="1831"/>
      <c r="K248" s="1831"/>
      <c r="L248" s="1831"/>
      <c r="M248" s="1831"/>
      <c r="N248" s="1831"/>
      <c r="O248" s="1831"/>
      <c r="P248" s="1832"/>
      <c r="Q248" s="562" t="s">
        <v>1326</v>
      </c>
    </row>
    <row r="249" spans="1:18" s="51" customFormat="1" ht="12" customHeight="1">
      <c r="B249" s="100" t="s">
        <v>1988</v>
      </c>
      <c r="C249" s="115"/>
      <c r="D249" s="100"/>
      <c r="E249" s="116"/>
      <c r="F249" s="1176"/>
      <c r="G249" s="1176"/>
      <c r="H249" s="1176"/>
      <c r="I249" s="1176"/>
      <c r="J249" s="1176"/>
      <c r="K249" s="1176"/>
      <c r="L249" s="1176"/>
      <c r="M249" s="1176"/>
      <c r="N249" s="87"/>
      <c r="O249" s="83"/>
      <c r="P249" s="2"/>
      <c r="Q249" s="529"/>
    </row>
    <row r="250" spans="1:18" s="51" customFormat="1" ht="12" customHeight="1">
      <c r="A250" s="1833"/>
      <c r="B250" s="1834"/>
      <c r="C250" s="1834"/>
      <c r="D250" s="1834"/>
      <c r="E250" s="1834"/>
      <c r="F250" s="1834"/>
      <c r="G250" s="1834"/>
      <c r="H250" s="1834"/>
      <c r="I250" s="1834"/>
      <c r="J250" s="1834"/>
      <c r="K250" s="1834"/>
      <c r="L250" s="1834"/>
      <c r="M250" s="1834"/>
      <c r="N250" s="1834"/>
      <c r="O250" s="1834"/>
      <c r="P250" s="1835"/>
      <c r="Q250" s="562" t="s">
        <v>1326</v>
      </c>
    </row>
    <row r="251" spans="1:18" s="51" customFormat="1" ht="3" customHeight="1">
      <c r="A251" s="50"/>
      <c r="B251" s="50"/>
      <c r="C251" s="1176"/>
      <c r="D251" s="1176"/>
      <c r="E251" s="1176"/>
      <c r="F251" s="1176"/>
      <c r="G251" s="1176"/>
      <c r="H251" s="1176"/>
      <c r="I251" s="1176"/>
      <c r="J251" s="1176"/>
      <c r="K251" s="1176"/>
      <c r="L251" s="1176"/>
      <c r="M251" s="1176"/>
      <c r="N251" s="87"/>
      <c r="O251" s="83"/>
      <c r="P251" s="612"/>
    </row>
    <row r="252" spans="1:18" s="51" customFormat="1" ht="12" customHeight="1">
      <c r="A252" s="183" t="s">
        <v>1782</v>
      </c>
      <c r="B252" s="123" t="s">
        <v>2814</v>
      </c>
      <c r="C252" s="64"/>
      <c r="D252" s="136"/>
      <c r="E252" s="136"/>
      <c r="I252" s="1168" t="s">
        <v>3287</v>
      </c>
      <c r="J252" s="49"/>
      <c r="K252" s="49"/>
      <c r="M252" s="720">
        <v>5</v>
      </c>
      <c r="P252" s="1328"/>
      <c r="Q252" s="126" t="s">
        <v>461</v>
      </c>
    </row>
    <row r="253" spans="1:18" s="51" customFormat="1" ht="12" customHeight="1">
      <c r="A253" s="183"/>
      <c r="D253" s="2106" t="s">
        <v>3203</v>
      </c>
      <c r="E253" s="2106"/>
      <c r="F253" s="2102">
        <f>'Part IV-Uses of Funds'!J171</f>
        <v>1000000</v>
      </c>
      <c r="G253" s="1562"/>
      <c r="M253" s="720"/>
      <c r="Q253" s="126"/>
    </row>
    <row r="254" spans="1:18" s="51" customFormat="1" ht="12" customHeight="1">
      <c r="A254" s="183"/>
      <c r="H254" s="49"/>
      <c r="I254" s="1168" t="s">
        <v>3286</v>
      </c>
      <c r="J254" s="49"/>
      <c r="K254" s="49"/>
      <c r="M254" s="85">
        <v>18</v>
      </c>
      <c r="N254" s="7"/>
      <c r="O254" s="754">
        <f>MIN($M254,(O255+O258+O261+O263+O266+O269))</f>
        <v>0</v>
      </c>
      <c r="P254" s="754">
        <f>MIN($M254,(P255+P258+P261+P263+P266+P269))</f>
        <v>0</v>
      </c>
      <c r="Q254" s="126"/>
    </row>
    <row r="255" spans="1:18" s="51" customFormat="1" ht="12" customHeight="1">
      <c r="A255" s="756"/>
      <c r="B255" s="691" t="s">
        <v>2110</v>
      </c>
      <c r="C255" s="2000" t="s">
        <v>3167</v>
      </c>
      <c r="D255" s="2000"/>
      <c r="E255" s="2000"/>
      <c r="F255" s="2000"/>
      <c r="G255" s="2000"/>
      <c r="H255" s="2000"/>
      <c r="I255" s="2000"/>
      <c r="J255" s="2000"/>
      <c r="K255" s="2000"/>
      <c r="L255" s="2000"/>
      <c r="M255" s="689">
        <v>6</v>
      </c>
      <c r="N255" s="759"/>
      <c r="O255" s="2070"/>
      <c r="P255" s="2006"/>
      <c r="Q255" s="213"/>
    </row>
    <row r="256" spans="1:18" s="505" customFormat="1" ht="36" customHeight="1">
      <c r="A256" s="726" t="s">
        <v>1434</v>
      </c>
      <c r="B256" s="170" t="s">
        <v>2113</v>
      </c>
      <c r="C256" s="1936" t="s">
        <v>3343</v>
      </c>
      <c r="D256" s="1936"/>
      <c r="E256" s="1936"/>
      <c r="F256" s="1936"/>
      <c r="G256" s="1936"/>
      <c r="H256" s="1936"/>
      <c r="I256" s="1936"/>
      <c r="J256" s="1936"/>
      <c r="K256" s="1936"/>
      <c r="L256" s="1936"/>
      <c r="M256" s="671">
        <v>5</v>
      </c>
      <c r="N256" s="687"/>
      <c r="O256" s="2071"/>
      <c r="P256" s="2007"/>
      <c r="Q256" s="213" t="s">
        <v>2929</v>
      </c>
    </row>
    <row r="257" spans="1:17" s="51" customFormat="1" ht="9" customHeight="1">
      <c r="A257" s="50"/>
      <c r="B257" s="50"/>
      <c r="C257" s="1176"/>
      <c r="D257" s="1176"/>
      <c r="E257" s="1176"/>
      <c r="F257" s="1176"/>
      <c r="G257" s="1176"/>
      <c r="H257" s="1176"/>
      <c r="I257" s="1176"/>
      <c r="J257" s="1176"/>
      <c r="K257" s="1176"/>
      <c r="L257" s="1176"/>
      <c r="M257" s="1176"/>
      <c r="N257" s="87"/>
      <c r="O257" s="83"/>
      <c r="P257" s="612"/>
    </row>
    <row r="258" spans="1:17" s="505" customFormat="1" ht="60" customHeight="1">
      <c r="A258" s="755"/>
      <c r="B258" s="688" t="s">
        <v>793</v>
      </c>
      <c r="C258" s="2095" t="s">
        <v>3169</v>
      </c>
      <c r="D258" s="2095"/>
      <c r="E258" s="2095"/>
      <c r="F258" s="2095"/>
      <c r="G258" s="2095"/>
      <c r="H258" s="2095"/>
      <c r="I258" s="2095"/>
      <c r="J258" s="2095"/>
      <c r="K258" s="2095"/>
      <c r="L258" s="2095"/>
      <c r="M258" s="689">
        <v>4</v>
      </c>
      <c r="N258" s="690"/>
      <c r="O258" s="2070"/>
      <c r="P258" s="2006"/>
      <c r="Q258" s="213" t="s">
        <v>2929</v>
      </c>
    </row>
    <row r="259" spans="1:17" s="505" customFormat="1" ht="34.5" customHeight="1">
      <c r="A259" s="726" t="s">
        <v>1434</v>
      </c>
      <c r="B259" s="750"/>
      <c r="C259" s="1936" t="s">
        <v>3168</v>
      </c>
      <c r="D259" s="1936"/>
      <c r="E259" s="1936"/>
      <c r="F259" s="1936"/>
      <c r="G259" s="1936"/>
      <c r="H259" s="1936"/>
      <c r="I259" s="1936"/>
      <c r="J259" s="1936"/>
      <c r="K259" s="1936"/>
      <c r="L259" s="1936"/>
      <c r="M259" s="751">
        <v>2</v>
      </c>
      <c r="N259" s="752"/>
      <c r="O259" s="2071"/>
      <c r="P259" s="2007"/>
      <c r="Q259" s="117"/>
    </row>
    <row r="260" spans="1:17" s="51" customFormat="1" ht="9" customHeight="1">
      <c r="A260" s="58"/>
      <c r="B260" s="58"/>
      <c r="C260" s="1176"/>
      <c r="D260" s="1176"/>
      <c r="E260" s="1176"/>
      <c r="F260" s="1176"/>
      <c r="G260" s="1176"/>
      <c r="H260" s="1176"/>
      <c r="I260" s="1176"/>
      <c r="J260" s="1176"/>
      <c r="K260" s="1176"/>
      <c r="L260" s="1176"/>
      <c r="M260" s="1176"/>
      <c r="N260" s="87"/>
      <c r="O260" s="83"/>
      <c r="P260" s="612"/>
    </row>
    <row r="261" spans="1:17" s="505" customFormat="1" ht="23.25" customHeight="1">
      <c r="A261" s="755"/>
      <c r="B261" s="688" t="s">
        <v>2245</v>
      </c>
      <c r="C261" s="2095" t="s">
        <v>3170</v>
      </c>
      <c r="D261" s="2095"/>
      <c r="E261" s="2095"/>
      <c r="F261" s="2095"/>
      <c r="G261" s="2095"/>
      <c r="H261" s="2095"/>
      <c r="I261" s="2095"/>
      <c r="J261" s="2095"/>
      <c r="K261" s="2095"/>
      <c r="L261" s="2095"/>
      <c r="M261" s="689">
        <v>1</v>
      </c>
      <c r="N261" s="757"/>
      <c r="O261" s="1131"/>
      <c r="P261" s="1329"/>
      <c r="Q261" s="213" t="s">
        <v>2929</v>
      </c>
    </row>
    <row r="262" spans="1:17" s="51" customFormat="1" ht="9" customHeight="1">
      <c r="A262" s="50"/>
      <c r="B262" s="50"/>
      <c r="C262" s="1176"/>
      <c r="D262" s="1176"/>
      <c r="E262" s="1176"/>
      <c r="F262" s="1176"/>
      <c r="G262" s="1176"/>
      <c r="H262" s="1176"/>
      <c r="I262" s="1176"/>
      <c r="J262" s="1176"/>
      <c r="K262" s="1176"/>
      <c r="L262" s="1176"/>
      <c r="M262" s="1176"/>
      <c r="N262" s="87"/>
      <c r="O262" s="83"/>
      <c r="P262" s="612"/>
    </row>
    <row r="263" spans="1:17" s="51" customFormat="1" ht="21.75" customHeight="1">
      <c r="A263" s="756"/>
      <c r="B263" s="688" t="s">
        <v>1848</v>
      </c>
      <c r="C263" s="2095" t="s">
        <v>3173</v>
      </c>
      <c r="D263" s="2095"/>
      <c r="E263" s="2095"/>
      <c r="F263" s="2095"/>
      <c r="G263" s="2095"/>
      <c r="H263" s="2095"/>
      <c r="I263" s="2095"/>
      <c r="J263" s="2095"/>
      <c r="K263" s="2095"/>
      <c r="L263" s="2095"/>
      <c r="M263" s="689">
        <v>2</v>
      </c>
      <c r="N263" s="692"/>
      <c r="O263" s="2070"/>
      <c r="P263" s="2006"/>
      <c r="Q263" s="213" t="s">
        <v>2929</v>
      </c>
    </row>
    <row r="264" spans="1:17" s="51" customFormat="1" ht="12" customHeight="1">
      <c r="A264" s="726" t="s">
        <v>1434</v>
      </c>
      <c r="B264" s="222"/>
      <c r="C264" s="2099" t="s">
        <v>3171</v>
      </c>
      <c r="D264" s="2099"/>
      <c r="E264" s="2099"/>
      <c r="F264" s="2099"/>
      <c r="G264" s="2099"/>
      <c r="H264" s="2099"/>
      <c r="I264" s="2099"/>
      <c r="J264" s="2099"/>
      <c r="K264" s="2099"/>
      <c r="L264" s="2099"/>
      <c r="M264" s="753">
        <v>1</v>
      </c>
      <c r="N264" s="136"/>
      <c r="O264" s="2071"/>
      <c r="P264" s="2007"/>
      <c r="Q264" s="117"/>
    </row>
    <row r="265" spans="1:17" s="51" customFormat="1" ht="9" customHeight="1">
      <c r="A265" s="58"/>
      <c r="B265" s="58"/>
      <c r="C265" s="1176"/>
      <c r="D265" s="1176"/>
      <c r="E265" s="1176"/>
      <c r="F265" s="1176"/>
      <c r="G265" s="1176"/>
      <c r="H265" s="1176"/>
      <c r="I265" s="1176"/>
      <c r="J265" s="1176"/>
      <c r="K265" s="1176"/>
      <c r="L265" s="1176"/>
      <c r="M265" s="1176"/>
      <c r="N265" s="87"/>
      <c r="O265" s="83"/>
      <c r="P265" s="612"/>
    </row>
    <row r="266" spans="1:17" s="505" customFormat="1" ht="32.25" customHeight="1">
      <c r="A266" s="755"/>
      <c r="B266" s="688" t="s">
        <v>1849</v>
      </c>
      <c r="C266" s="2095" t="s">
        <v>3172</v>
      </c>
      <c r="D266" s="2095"/>
      <c r="E266" s="2095"/>
      <c r="F266" s="2095"/>
      <c r="G266" s="2095"/>
      <c r="H266" s="2095"/>
      <c r="I266" s="2095"/>
      <c r="J266" s="2095"/>
      <c r="K266" s="2095"/>
      <c r="L266" s="2095"/>
      <c r="M266" s="689">
        <v>3</v>
      </c>
      <c r="N266" s="757"/>
      <c r="O266" s="2070"/>
      <c r="P266" s="2006"/>
      <c r="Q266" s="213" t="s">
        <v>2929</v>
      </c>
    </row>
    <row r="267" spans="1:17" s="505" customFormat="1" ht="12.75" customHeight="1">
      <c r="A267" s="726" t="s">
        <v>1434</v>
      </c>
      <c r="B267" s="750"/>
      <c r="C267" s="1936" t="s">
        <v>3174</v>
      </c>
      <c r="D267" s="1936"/>
      <c r="E267" s="1936"/>
      <c r="F267" s="1936"/>
      <c r="G267" s="1936"/>
      <c r="H267" s="1936"/>
      <c r="I267" s="1936"/>
      <c r="J267" s="1936"/>
      <c r="K267" s="1936"/>
      <c r="L267" s="1936"/>
      <c r="M267" s="751">
        <v>1</v>
      </c>
      <c r="N267" s="752"/>
      <c r="O267" s="2071"/>
      <c r="P267" s="2007"/>
      <c r="Q267" s="213"/>
    </row>
    <row r="268" spans="1:17" s="51" customFormat="1" ht="9" customHeight="1">
      <c r="A268" s="58"/>
      <c r="B268" s="58"/>
      <c r="C268" s="1176"/>
      <c r="D268" s="1176"/>
      <c r="E268" s="1176"/>
      <c r="F268" s="1176"/>
      <c r="G268" s="1176"/>
      <c r="H268" s="1176"/>
      <c r="I268" s="1176"/>
      <c r="J268" s="1176"/>
      <c r="K268" s="1176"/>
      <c r="L268" s="1176"/>
      <c r="M268" s="1176"/>
      <c r="N268" s="87"/>
      <c r="O268" s="83"/>
      <c r="P268" s="612"/>
    </row>
    <row r="269" spans="1:17" s="51" customFormat="1" ht="12" customHeight="1">
      <c r="A269" s="756"/>
      <c r="B269" s="691" t="s">
        <v>2073</v>
      </c>
      <c r="C269" s="2000" t="s">
        <v>3175</v>
      </c>
      <c r="D269" s="2000"/>
      <c r="E269" s="2000"/>
      <c r="F269" s="2000"/>
      <c r="G269" s="2000"/>
      <c r="H269" s="2000"/>
      <c r="I269" s="2000"/>
      <c r="J269" s="2000"/>
      <c r="K269" s="2000"/>
      <c r="L269" s="2000"/>
      <c r="M269" s="758">
        <v>2</v>
      </c>
      <c r="N269" s="759"/>
      <c r="O269" s="1131"/>
      <c r="P269" s="1329"/>
      <c r="Q269" s="213" t="s">
        <v>2929</v>
      </c>
    </row>
    <row r="270" spans="1:17" s="51" customFormat="1" ht="9" customHeight="1">
      <c r="A270" s="58"/>
      <c r="B270" s="50"/>
      <c r="C270" s="1176"/>
      <c r="D270" s="1176"/>
      <c r="E270" s="1176"/>
      <c r="F270" s="1176"/>
      <c r="G270" s="1176"/>
      <c r="H270" s="1176"/>
      <c r="I270" s="1176"/>
      <c r="J270" s="1176"/>
      <c r="K270" s="1176"/>
      <c r="L270" s="1176"/>
      <c r="M270" s="1176"/>
      <c r="N270" s="87"/>
      <c r="O270" s="83"/>
      <c r="P270" s="612"/>
    </row>
    <row r="271" spans="1:17" s="51" customFormat="1" ht="12" customHeight="1">
      <c r="A271" s="50"/>
      <c r="B271" s="57" t="s">
        <v>269</v>
      </c>
      <c r="C271" s="50"/>
      <c r="D271" s="56"/>
      <c r="E271" s="56"/>
      <c r="F271" s="56"/>
      <c r="G271" s="56"/>
      <c r="H271" s="44"/>
      <c r="I271" s="44"/>
      <c r="J271" s="44"/>
      <c r="K271" s="44"/>
      <c r="M271" s="54"/>
      <c r="N271" s="73"/>
      <c r="O271" s="4"/>
      <c r="P271" s="1175"/>
    </row>
    <row r="272" spans="1:17" s="51" customFormat="1" ht="41.25" customHeight="1">
      <c r="A272" s="1830"/>
      <c r="B272" s="1831"/>
      <c r="C272" s="1831"/>
      <c r="D272" s="1831"/>
      <c r="E272" s="1831"/>
      <c r="F272" s="1831"/>
      <c r="G272" s="1831"/>
      <c r="H272" s="1831"/>
      <c r="I272" s="1831"/>
      <c r="J272" s="1831"/>
      <c r="K272" s="1831"/>
      <c r="L272" s="1831"/>
      <c r="M272" s="1831"/>
      <c r="N272" s="1831"/>
      <c r="O272" s="1831"/>
      <c r="P272" s="1832"/>
      <c r="Q272" s="562" t="s">
        <v>1326</v>
      </c>
    </row>
    <row r="273" spans="1:19" s="51" customFormat="1" ht="11.25" customHeight="1">
      <c r="A273" s="50"/>
      <c r="B273" s="100" t="s">
        <v>1988</v>
      </c>
      <c r="C273" s="115"/>
      <c r="D273" s="100"/>
      <c r="E273" s="116"/>
      <c r="F273" s="1176"/>
      <c r="G273" s="1176"/>
      <c r="H273" s="1176"/>
      <c r="I273" s="1176"/>
      <c r="J273" s="1176"/>
      <c r="K273" s="1176"/>
      <c r="L273" s="1176"/>
      <c r="M273" s="1176"/>
      <c r="N273" s="87"/>
      <c r="O273" s="83"/>
      <c r="P273" s="2"/>
      <c r="Q273" s="529"/>
    </row>
    <row r="274" spans="1:19" s="51" customFormat="1" ht="39.75" customHeight="1">
      <c r="A274" s="1833"/>
      <c r="B274" s="1834"/>
      <c r="C274" s="1834"/>
      <c r="D274" s="1834"/>
      <c r="E274" s="1834"/>
      <c r="F274" s="1834"/>
      <c r="G274" s="1834"/>
      <c r="H274" s="1834"/>
      <c r="I274" s="1834"/>
      <c r="J274" s="1834"/>
      <c r="K274" s="1834"/>
      <c r="L274" s="1834"/>
      <c r="M274" s="1834"/>
      <c r="N274" s="1834"/>
      <c r="O274" s="1834"/>
      <c r="P274" s="1835"/>
      <c r="Q274" s="562" t="s">
        <v>1326</v>
      </c>
    </row>
    <row r="275" spans="1:19" s="51" customFormat="1" ht="3.75" customHeight="1">
      <c r="A275" s="50"/>
      <c r="C275" s="1176"/>
      <c r="D275" s="1176"/>
      <c r="E275" s="1176"/>
      <c r="F275" s="1176"/>
      <c r="G275" s="1176"/>
      <c r="H275" s="1176"/>
      <c r="I275" s="1176"/>
      <c r="J275" s="1176"/>
      <c r="K275" s="1176"/>
      <c r="L275" s="1176"/>
      <c r="M275" s="1176"/>
      <c r="N275" s="87"/>
      <c r="O275" s="83"/>
      <c r="P275" s="612"/>
    </row>
    <row r="276" spans="1:19" s="51" customFormat="1" ht="12" customHeight="1">
      <c r="A276" s="183" t="s">
        <v>3176</v>
      </c>
      <c r="B276" s="123" t="s">
        <v>3177</v>
      </c>
      <c r="C276" s="64"/>
      <c r="D276" s="136"/>
      <c r="E276" s="136"/>
      <c r="F276" s="49"/>
      <c r="G276" s="49"/>
      <c r="H276" s="49"/>
      <c r="I276" s="49"/>
      <c r="J276" s="49"/>
      <c r="K276" s="49"/>
      <c r="L276" s="49"/>
      <c r="M276" s="8">
        <v>1</v>
      </c>
      <c r="N276" s="217"/>
      <c r="O276" s="1117">
        <v>0</v>
      </c>
      <c r="P276" s="1316"/>
      <c r="Q276" s="126" t="s">
        <v>461</v>
      </c>
      <c r="R276" s="213" t="s">
        <v>2929</v>
      </c>
    </row>
    <row r="277" spans="1:19" s="51" customFormat="1" ht="12" customHeight="1">
      <c r="B277" s="2107" t="s">
        <v>3346</v>
      </c>
      <c r="C277" s="2107"/>
      <c r="D277" s="2107"/>
      <c r="E277" s="2107"/>
      <c r="F277" s="2107"/>
      <c r="G277" s="2107"/>
      <c r="H277" s="2107"/>
      <c r="I277" s="2107"/>
      <c r="J277" s="2107"/>
      <c r="K277" s="2107"/>
      <c r="L277" s="2107"/>
      <c r="M277" s="2107"/>
      <c r="N277" s="2107"/>
      <c r="O277" s="1080" t="s">
        <v>3425</v>
      </c>
      <c r="P277" s="1287"/>
      <c r="R277" s="458"/>
    </row>
    <row r="278" spans="1:19" s="51" customFormat="1" ht="1.5" customHeight="1">
      <c r="A278" s="165"/>
      <c r="B278" s="767"/>
      <c r="C278" s="767"/>
      <c r="D278" s="767"/>
      <c r="E278" s="767"/>
      <c r="F278" s="767"/>
      <c r="G278" s="767"/>
      <c r="H278" s="767"/>
      <c r="I278" s="767"/>
      <c r="J278" s="767"/>
      <c r="K278" s="767"/>
      <c r="L278" s="767"/>
      <c r="M278" s="767"/>
      <c r="R278" s="458"/>
    </row>
    <row r="279" spans="1:19" s="51" customFormat="1" ht="3" customHeight="1">
      <c r="A279" s="165"/>
      <c r="C279" s="1190"/>
      <c r="D279" s="1190"/>
      <c r="E279" s="1190"/>
      <c r="F279" s="458"/>
      <c r="H279" s="1190"/>
      <c r="I279" s="1190"/>
      <c r="J279" s="1190"/>
      <c r="K279" s="1190"/>
      <c r="L279" s="1190"/>
      <c r="M279" s="1190"/>
    </row>
    <row r="280" spans="1:19" s="51" customFormat="1" ht="12" customHeight="1">
      <c r="A280" s="165"/>
      <c r="B280" s="538" t="s">
        <v>3188</v>
      </c>
      <c r="C280" s="778"/>
      <c r="D280" s="2013"/>
      <c r="E280" s="2014"/>
      <c r="F280" s="2014"/>
      <c r="G280" s="2015"/>
      <c r="H280" s="1181" t="s">
        <v>3190</v>
      </c>
      <c r="I280" s="1132"/>
      <c r="J280" s="1191" t="s">
        <v>3189</v>
      </c>
      <c r="K280" s="2013"/>
      <c r="L280" s="2014"/>
      <c r="M280" s="2014"/>
      <c r="N280" s="2014"/>
      <c r="O280" s="2015"/>
      <c r="P280" s="767"/>
    </row>
    <row r="281" spans="1:19" s="51" customFormat="1" ht="3" customHeight="1">
      <c r="A281" s="165"/>
      <c r="C281" s="1190"/>
      <c r="D281" s="1190"/>
      <c r="E281" s="1190"/>
      <c r="F281" s="458"/>
      <c r="H281" s="1190"/>
      <c r="I281" s="1190"/>
      <c r="J281" s="1190"/>
      <c r="K281" s="1190"/>
      <c r="L281" s="1190"/>
      <c r="N281" s="767"/>
      <c r="O281" s="767"/>
      <c r="P281" s="767"/>
    </row>
    <row r="282" spans="1:19" s="44" customFormat="1" ht="10.5" customHeight="1">
      <c r="A282" s="55"/>
      <c r="B282" s="2110" t="s">
        <v>3228</v>
      </c>
      <c r="C282" s="2110"/>
      <c r="D282" s="2111"/>
      <c r="E282" s="2108" t="s">
        <v>3187</v>
      </c>
      <c r="F282" s="2109"/>
      <c r="I282" s="2023" t="s">
        <v>3224</v>
      </c>
      <c r="J282" s="2024"/>
      <c r="M282" s="2112" t="s">
        <v>3229</v>
      </c>
      <c r="N282" s="2112"/>
      <c r="O282" s="2112"/>
      <c r="P282" s="2112"/>
      <c r="R282" s="119"/>
      <c r="S282" s="119"/>
    </row>
    <row r="283" spans="1:19" s="44" customFormat="1" ht="10.5" customHeight="1">
      <c r="A283" s="55"/>
      <c r="B283" s="540" t="s">
        <v>3226</v>
      </c>
      <c r="C283" s="361"/>
      <c r="D283" s="361"/>
      <c r="E283" s="770" t="s">
        <v>3182</v>
      </c>
      <c r="F283" s="771" t="s">
        <v>3183</v>
      </c>
      <c r="G283" s="1186" t="s">
        <v>3225</v>
      </c>
      <c r="I283" s="770" t="s">
        <v>3182</v>
      </c>
      <c r="J283" s="771" t="s">
        <v>3183</v>
      </c>
      <c r="K283" s="1186" t="s">
        <v>3225</v>
      </c>
      <c r="M283" s="2016" t="s">
        <v>3226</v>
      </c>
      <c r="N283" s="2016"/>
      <c r="O283" s="44" t="s">
        <v>3227</v>
      </c>
      <c r="P283" s="776" t="s">
        <v>3230</v>
      </c>
      <c r="R283" s="1186"/>
      <c r="S283" s="119"/>
    </row>
    <row r="284" spans="1:19" s="65" customFormat="1" ht="10.5" customHeight="1">
      <c r="A284" s="55"/>
      <c r="B284" s="533" t="s">
        <v>3178</v>
      </c>
      <c r="E284" s="1133"/>
      <c r="F284" s="1134"/>
      <c r="G284" s="711">
        <f>E284+F284</f>
        <v>0</v>
      </c>
      <c r="I284" s="1133"/>
      <c r="J284" s="1134"/>
      <c r="K284" s="711">
        <f>I284+J284</f>
        <v>0</v>
      </c>
      <c r="M284" s="1991" t="str">
        <f>IF(AND(G284=0,K284=0),"n/a",IF(G284&gt;K284,"Yes", "No"))</f>
        <v>n/a</v>
      </c>
      <c r="N284" s="2017"/>
      <c r="O284" s="2020" t="str">
        <f>IF(AND(M284="n/a",M285="n/a",M286="n/a",M287="n/a",M288="n/a"),"n/a",IF(AND(M284="Yes",M285="Yes",M286="Yes",M287="Yes",M288="Yes"),"Yes",IF(OR(M284="No",M285="No",M286="No",M287="No",M288="No"), "No", "No")))</f>
        <v>n/a</v>
      </c>
      <c r="R284" s="51"/>
      <c r="S284" s="51"/>
    </row>
    <row r="285" spans="1:19" s="65" customFormat="1" ht="10.5" customHeight="1">
      <c r="A285" s="55"/>
      <c r="B285" s="533" t="s">
        <v>3184</v>
      </c>
      <c r="E285" s="1135"/>
      <c r="F285" s="1136"/>
      <c r="G285" s="712">
        <f>E285+F285</f>
        <v>0</v>
      </c>
      <c r="I285" s="1135"/>
      <c r="J285" s="1136"/>
      <c r="K285" s="712">
        <f>I285+J285</f>
        <v>0</v>
      </c>
      <c r="M285" s="1994" t="str">
        <f>IF(AND(G285=0,K285=0),"n/a",IF(G285&gt;K285,"Yes", "No"))</f>
        <v>n/a</v>
      </c>
      <c r="N285" s="2018"/>
      <c r="O285" s="2021"/>
      <c r="R285" s="51"/>
      <c r="S285" s="51"/>
    </row>
    <row r="286" spans="1:19" s="65" customFormat="1" ht="10.5" customHeight="1">
      <c r="A286" s="55"/>
      <c r="B286" s="533" t="s">
        <v>3179</v>
      </c>
      <c r="E286" s="1137"/>
      <c r="F286" s="1138"/>
      <c r="G286" s="712">
        <f>E286+F286</f>
        <v>0</v>
      </c>
      <c r="I286" s="1137"/>
      <c r="J286" s="1138"/>
      <c r="K286" s="712">
        <f>I286+J286</f>
        <v>0</v>
      </c>
      <c r="M286" s="1994" t="str">
        <f>IF(AND(G286=0,K286=0),"n/a",IF(G286&gt;K286,"Yes", "No"))</f>
        <v>n/a</v>
      </c>
      <c r="N286" s="2018"/>
      <c r="O286" s="2021"/>
      <c r="R286" s="51"/>
      <c r="S286" s="51"/>
    </row>
    <row r="287" spans="1:19" s="65" customFormat="1" ht="10.5" customHeight="1">
      <c r="A287" s="55"/>
      <c r="B287" s="533" t="s">
        <v>3180</v>
      </c>
      <c r="E287" s="1137"/>
      <c r="F287" s="1138"/>
      <c r="G287" s="712">
        <f>E287+F287</f>
        <v>0</v>
      </c>
      <c r="I287" s="1137"/>
      <c r="J287" s="1138"/>
      <c r="K287" s="712">
        <f>I287+J287</f>
        <v>0</v>
      </c>
      <c r="M287" s="1994" t="str">
        <f>IF(AND(G287=0,K287=0),"n/a",IF(G287&gt;K287,"Yes", "No"))</f>
        <v>n/a</v>
      </c>
      <c r="N287" s="2018"/>
      <c r="O287" s="2021"/>
    </row>
    <row r="288" spans="1:19" s="65" customFormat="1" ht="10.5" customHeight="1">
      <c r="A288" s="55"/>
      <c r="B288" s="533" t="s">
        <v>3181</v>
      </c>
      <c r="E288" s="1139"/>
      <c r="F288" s="1140"/>
      <c r="G288" s="713">
        <f>E288+F288</f>
        <v>0</v>
      </c>
      <c r="I288" s="1139"/>
      <c r="J288" s="1140"/>
      <c r="K288" s="713">
        <f>I288+J288</f>
        <v>0</v>
      </c>
      <c r="M288" s="1998" t="str">
        <f>IF(AND(G288=0,K288=0),"n/a",IF(G288&gt;K288,"Yes", "No"))</f>
        <v>n/a</v>
      </c>
      <c r="N288" s="2019"/>
      <c r="O288" s="2022"/>
    </row>
    <row r="289" spans="1:19" s="65" customFormat="1" ht="3" customHeight="1">
      <c r="A289" s="55"/>
      <c r="B289" s="617"/>
      <c r="C289" s="1190"/>
      <c r="D289" s="1190"/>
      <c r="E289" s="774"/>
      <c r="F289" s="774"/>
      <c r="I289" s="774"/>
      <c r="J289" s="774"/>
      <c r="R289" s="51"/>
      <c r="S289" s="51"/>
    </row>
    <row r="290" spans="1:19" s="65" customFormat="1" ht="10.5" customHeight="1">
      <c r="A290" s="55"/>
      <c r="B290" s="1183" t="s">
        <v>3178</v>
      </c>
      <c r="C290" s="510"/>
      <c r="D290" s="510"/>
      <c r="E290" s="1330"/>
      <c r="F290" s="1331"/>
      <c r="G290" s="711">
        <f>E290+F290</f>
        <v>0</v>
      </c>
      <c r="I290" s="1330"/>
      <c r="J290" s="1331"/>
      <c r="K290" s="711">
        <f>I290+J290</f>
        <v>0</v>
      </c>
      <c r="M290" s="1991" t="str">
        <f>IF(AND(G290=0,K290=0),"n/a",IF(G290&gt;K290,"Yes", "No"))</f>
        <v>n/a</v>
      </c>
      <c r="N290" s="2017"/>
      <c r="O290" s="2020" t="str">
        <f>IF(AND(M290="n/a",M291="n/a",M292="n/a",M293="n/a",M294="n/a"),"n/a",IF(AND(M290="Yes",M291="Yes",M292="Yes",M293="Yes",M294="Yes"),"Yes",IF(OR(M290="No",M291="No",M292="No",M293="No",M294="No"), "No", "No")))</f>
        <v>n/a</v>
      </c>
      <c r="R290" s="51"/>
      <c r="S290" s="51"/>
    </row>
    <row r="291" spans="1:19" s="65" customFormat="1" ht="10.5" customHeight="1">
      <c r="A291" s="55"/>
      <c r="B291" s="1183" t="s">
        <v>3184</v>
      </c>
      <c r="C291" s="510"/>
      <c r="D291" s="510"/>
      <c r="E291" s="1332"/>
      <c r="F291" s="1333"/>
      <c r="G291" s="712">
        <f>E291+F291</f>
        <v>0</v>
      </c>
      <c r="I291" s="1332"/>
      <c r="J291" s="1333"/>
      <c r="K291" s="712">
        <f>I291+J291</f>
        <v>0</v>
      </c>
      <c r="M291" s="1994" t="str">
        <f>IF(AND(G291=0,K291=0),"n/a",IF(G291&gt;K291,"Yes", "No"))</f>
        <v>n/a</v>
      </c>
      <c r="N291" s="2018"/>
      <c r="O291" s="2021"/>
      <c r="R291" s="51"/>
      <c r="S291" s="51"/>
    </row>
    <row r="292" spans="1:19" s="65" customFormat="1" ht="10.5" customHeight="1">
      <c r="A292" s="55"/>
      <c r="B292" s="1183" t="s">
        <v>3179</v>
      </c>
      <c r="C292" s="510"/>
      <c r="D292" s="510"/>
      <c r="E292" s="1334"/>
      <c r="F292" s="1335"/>
      <c r="G292" s="712">
        <f>E292+F292</f>
        <v>0</v>
      </c>
      <c r="I292" s="1334"/>
      <c r="J292" s="1335"/>
      <c r="K292" s="712">
        <f>I292+J292</f>
        <v>0</v>
      </c>
      <c r="M292" s="1994" t="str">
        <f>IF(AND(G292=0,K292=0),"n/a",IF(G292&gt;K292,"Yes", "No"))</f>
        <v>n/a</v>
      </c>
      <c r="N292" s="2018"/>
      <c r="O292" s="2021"/>
      <c r="P292" s="503"/>
      <c r="R292" s="51"/>
      <c r="S292" s="51"/>
    </row>
    <row r="293" spans="1:19" s="65" customFormat="1" ht="10.5" customHeight="1">
      <c r="A293" s="55"/>
      <c r="B293" s="1183" t="s">
        <v>3180</v>
      </c>
      <c r="C293" s="510"/>
      <c r="D293" s="510"/>
      <c r="E293" s="1334"/>
      <c r="F293" s="1335"/>
      <c r="G293" s="712">
        <f>E293+F293</f>
        <v>0</v>
      </c>
      <c r="I293" s="1334"/>
      <c r="J293" s="1335"/>
      <c r="K293" s="712">
        <f>I293+J293</f>
        <v>0</v>
      </c>
      <c r="M293" s="1994" t="str">
        <f>IF(AND(G293=0,K293=0),"n/a",IF(G293&gt;K293,"Yes", "No"))</f>
        <v>n/a</v>
      </c>
      <c r="N293" s="2018"/>
      <c r="O293" s="2021"/>
      <c r="R293" s="51"/>
      <c r="S293" s="51"/>
    </row>
    <row r="294" spans="1:19" s="65" customFormat="1" ht="10.5" customHeight="1">
      <c r="A294" s="55"/>
      <c r="B294" s="1183" t="s">
        <v>3181</v>
      </c>
      <c r="C294" s="510"/>
      <c r="D294" s="510"/>
      <c r="E294" s="1336"/>
      <c r="F294" s="1337"/>
      <c r="G294" s="713">
        <f>E294+F294</f>
        <v>0</v>
      </c>
      <c r="I294" s="1336"/>
      <c r="J294" s="1337"/>
      <c r="K294" s="713">
        <f>I294+J294</f>
        <v>0</v>
      </c>
      <c r="M294" s="1998" t="str">
        <f>IF(AND(G294=0,K294=0),"n/a",IF(G294&gt;K294,"Yes", "No"))</f>
        <v>n/a</v>
      </c>
      <c r="N294" s="2019"/>
      <c r="O294" s="2022"/>
      <c r="R294" s="51"/>
      <c r="S294" s="51"/>
    </row>
    <row r="295" spans="1:19" s="51" customFormat="1" ht="7.5" customHeight="1">
      <c r="A295" s="165"/>
      <c r="C295" s="1190"/>
      <c r="D295" s="1190"/>
      <c r="E295" s="1190"/>
      <c r="F295" s="1190"/>
      <c r="I295" s="1190"/>
      <c r="J295" s="1190"/>
      <c r="P295" s="159"/>
    </row>
    <row r="296" spans="1:19" s="44" customFormat="1" ht="10.5" customHeight="1">
      <c r="A296" s="55"/>
      <c r="B296" s="772"/>
      <c r="C296" s="772"/>
      <c r="D296" s="772"/>
      <c r="E296" s="1996" t="s">
        <v>3185</v>
      </c>
      <c r="F296" s="1997"/>
      <c r="G296" s="773"/>
      <c r="H296" s="773"/>
      <c r="I296" s="1996" t="s">
        <v>3224</v>
      </c>
      <c r="J296" s="1997"/>
      <c r="K296" s="773"/>
      <c r="P296" s="159"/>
      <c r="R296" s="119"/>
      <c r="S296" s="119"/>
    </row>
    <row r="297" spans="1:19" s="65" customFormat="1" ht="10.5" customHeight="1">
      <c r="A297" s="55"/>
      <c r="B297" s="1183" t="s">
        <v>3178</v>
      </c>
      <c r="C297" s="510"/>
      <c r="D297" s="510"/>
      <c r="E297" s="1133"/>
      <c r="F297" s="1134"/>
      <c r="G297" s="711">
        <f>E297+F297</f>
        <v>0</v>
      </c>
      <c r="H297" s="769"/>
      <c r="I297" s="1133"/>
      <c r="J297" s="1134"/>
      <c r="K297" s="711">
        <f>I297+J297</f>
        <v>0</v>
      </c>
      <c r="M297" s="1991" t="str">
        <f>IF(AND(G297=0,K297=0),"n/a",IF(G297&gt;K297,"Yes", "No"))</f>
        <v>n/a</v>
      </c>
      <c r="N297" s="1992"/>
      <c r="O297" s="1993" t="str">
        <f>IF(AND(M297="n/a",M298="n/a",M299="n/a",M300="n/a",M301="n/a"),"n/a",IF(AND(M297="Yes",M298="Yes",M299="Yes",M300="Yes",M301="Yes"),"Yes",IF(OR(M297="No",M298="No",M299="No",M300="No",M301="No"), "No", "No")))</f>
        <v>n/a</v>
      </c>
      <c r="P297" s="2008" t="str">
        <f>IF(AND(O284="n/a",O297="n/a",O310="n/a"),"N/A",IF(AND(O284="YES",O297="Yes",O310="Yes"),"YES",IF(OR(O284="No",O297="No",O310="No"),"NO",IF(OR(AND(O284="Yes",O297="n/a",O310="n/a"),AND(O284="Yes",O297="Yes",O310="n/a"),AND(O284="Yes",O297="n/a",O310="Yes"),AND(O284="n/a",O297="Yes",O310="YES"),AND(O284="n/a",O297="Yes",O310="n/a"),AND(O284="n/a",O297="n/a",O310="Yes")),"YES","Check Inputs"))))</f>
        <v>N/A</v>
      </c>
      <c r="R297" s="51"/>
      <c r="S297" s="51"/>
    </row>
    <row r="298" spans="1:19" s="65" customFormat="1" ht="10.5" customHeight="1">
      <c r="A298" s="55"/>
      <c r="B298" s="1183" t="s">
        <v>3184</v>
      </c>
      <c r="C298" s="510"/>
      <c r="D298" s="510"/>
      <c r="E298" s="1135"/>
      <c r="F298" s="1136"/>
      <c r="G298" s="712">
        <f>E298+F298</f>
        <v>0</v>
      </c>
      <c r="I298" s="1135"/>
      <c r="J298" s="1136"/>
      <c r="K298" s="712">
        <f>I298+J298</f>
        <v>0</v>
      </c>
      <c r="M298" s="1994" t="str">
        <f>IF(AND(G298=0,K298=0),"n/a",IF(G298&gt;K298,"Yes", "No"))</f>
        <v>n/a</v>
      </c>
      <c r="N298" s="1995"/>
      <c r="O298" s="1993"/>
      <c r="P298" s="2008"/>
      <c r="R298" s="51"/>
      <c r="S298" s="51"/>
    </row>
    <row r="299" spans="1:19" s="65" customFormat="1" ht="10.5" customHeight="1">
      <c r="A299" s="55"/>
      <c r="B299" s="1183" t="s">
        <v>3179</v>
      </c>
      <c r="C299" s="510"/>
      <c r="D299" s="510"/>
      <c r="E299" s="1137"/>
      <c r="F299" s="1138"/>
      <c r="G299" s="712">
        <f>E299+F299</f>
        <v>0</v>
      </c>
      <c r="I299" s="1137"/>
      <c r="J299" s="1138"/>
      <c r="K299" s="712">
        <f>I299+J299</f>
        <v>0</v>
      </c>
      <c r="M299" s="1994" t="str">
        <f>IF(AND(G299=0,K299=0),"n/a",IF(G299&gt;K299,"Yes", "No"))</f>
        <v>n/a</v>
      </c>
      <c r="N299" s="1995"/>
      <c r="O299" s="1993"/>
      <c r="P299" s="2008"/>
      <c r="R299" s="51"/>
      <c r="S299" s="51"/>
    </row>
    <row r="300" spans="1:19" s="65" customFormat="1" ht="10.5" customHeight="1">
      <c r="A300" s="55"/>
      <c r="B300" s="1183" t="s">
        <v>3180</v>
      </c>
      <c r="C300" s="510"/>
      <c r="D300" s="510"/>
      <c r="E300" s="1137"/>
      <c r="F300" s="1138"/>
      <c r="G300" s="712">
        <f>E300+F300</f>
        <v>0</v>
      </c>
      <c r="I300" s="1137"/>
      <c r="J300" s="1138"/>
      <c r="K300" s="712">
        <f>I300+J300</f>
        <v>0</v>
      </c>
      <c r="M300" s="1994" t="str">
        <f>IF(AND(G300=0,K300=0),"n/a",IF(G300&gt;K300,"Yes", "No"))</f>
        <v>n/a</v>
      </c>
      <c r="N300" s="1995"/>
      <c r="O300" s="1993"/>
      <c r="P300" s="2008"/>
      <c r="R300" s="51"/>
      <c r="S300" s="51"/>
    </row>
    <row r="301" spans="1:19" s="65" customFormat="1" ht="10.5" customHeight="1">
      <c r="A301" s="55"/>
      <c r="B301" s="1183" t="s">
        <v>3181</v>
      </c>
      <c r="C301" s="510"/>
      <c r="D301" s="510"/>
      <c r="E301" s="1139"/>
      <c r="F301" s="1140"/>
      <c r="G301" s="713">
        <f>E301+F301</f>
        <v>0</v>
      </c>
      <c r="I301" s="1139"/>
      <c r="J301" s="1140"/>
      <c r="K301" s="713">
        <f>I301+J301</f>
        <v>0</v>
      </c>
      <c r="M301" s="1998" t="str">
        <f>IF(AND(G301=0,K301=0),"n/a",IF(G301&gt;K301,"Yes", "No"))</f>
        <v>n/a</v>
      </c>
      <c r="N301" s="1999"/>
      <c r="O301" s="1993"/>
      <c r="P301" s="2008"/>
      <c r="R301" s="51"/>
      <c r="S301" s="51"/>
    </row>
    <row r="302" spans="1:19" s="65" customFormat="1" ht="3" customHeight="1">
      <c r="A302" s="55"/>
      <c r="B302" s="714"/>
      <c r="C302" s="715"/>
      <c r="D302" s="510"/>
      <c r="E302" s="774"/>
      <c r="F302" s="774"/>
      <c r="I302" s="774"/>
      <c r="J302" s="774"/>
      <c r="P302" s="159"/>
      <c r="R302" s="51"/>
      <c r="S302" s="51"/>
    </row>
    <row r="303" spans="1:19" s="65" customFormat="1" ht="10.5" customHeight="1">
      <c r="A303" s="55"/>
      <c r="B303" s="1183" t="s">
        <v>3178</v>
      </c>
      <c r="C303" s="510"/>
      <c r="D303" s="510"/>
      <c r="E303" s="1330"/>
      <c r="F303" s="1331"/>
      <c r="G303" s="711">
        <f>E303+F303</f>
        <v>0</v>
      </c>
      <c r="I303" s="1330"/>
      <c r="J303" s="1331"/>
      <c r="K303" s="711">
        <f>I303+J303</f>
        <v>0</v>
      </c>
      <c r="M303" s="1991" t="str">
        <f>IF(AND(G303=0,K303=0),"n/a",IF(G303&gt;K303,"Yes", "No"))</f>
        <v>n/a</v>
      </c>
      <c r="N303" s="1992"/>
      <c r="O303" s="1993" t="str">
        <f>IF(AND(M303="n/a",M304="n/a",M305="n/a",M306="n/a",M307="n/a"),"n/a",IF(AND(M303="Yes",M304="Yes",M305="Yes",M306="Yes",M307="Yes"),"Yes",IF(OR(M303="No",M304="No",M305="No",M306="No",M307="No"), "No", "No")))</f>
        <v>n/a</v>
      </c>
      <c r="P303" s="2008" t="str">
        <f>IF(AND(O290="n/a",O303="n/a",O316="n/a"),"N/A",IF(AND(O290="Yes",O303="Yes",O316="Yes"),"YES",IF(OR(O290="No",O303="No",O316="No"),"NO",IF(OR(AND(O290="Yes",O303="n/a",O316="n/a"),AND(O290="Yes",O303="Yes",O316="n/a"),AND(O290="Yes",O303="n/a",O316="Yes"),AND(O290="n/a",O303="Yes",O316="Yes"),AND(O290="n/a",O303="Yes",O316="n/a"),AND(O290="n/a",O303="n/a",O316="Yes")),"YES","Check Inputs"))))</f>
        <v>N/A</v>
      </c>
      <c r="R303" s="51"/>
      <c r="S303" s="51"/>
    </row>
    <row r="304" spans="1:19" s="65" customFormat="1" ht="10.5" customHeight="1">
      <c r="A304" s="55"/>
      <c r="B304" s="1183" t="s">
        <v>3184</v>
      </c>
      <c r="C304" s="510"/>
      <c r="D304" s="510"/>
      <c r="E304" s="1332"/>
      <c r="F304" s="1333"/>
      <c r="G304" s="712">
        <f>E304+F304</f>
        <v>0</v>
      </c>
      <c r="I304" s="1332"/>
      <c r="J304" s="1333"/>
      <c r="K304" s="712">
        <f>I304+J304</f>
        <v>0</v>
      </c>
      <c r="M304" s="1994" t="str">
        <f>IF(AND(G304=0,K304=0),"n/a",IF(G304&gt;K304,"Yes", "No"))</f>
        <v>n/a</v>
      </c>
      <c r="N304" s="1995"/>
      <c r="O304" s="1993"/>
      <c r="P304" s="2008"/>
      <c r="R304" s="51"/>
      <c r="S304" s="51"/>
    </row>
    <row r="305" spans="1:19" s="65" customFormat="1" ht="10.5" customHeight="1">
      <c r="A305" s="55"/>
      <c r="B305" s="1183" t="s">
        <v>3179</v>
      </c>
      <c r="C305" s="510"/>
      <c r="D305" s="510"/>
      <c r="E305" s="1334"/>
      <c r="F305" s="1335"/>
      <c r="G305" s="712">
        <f>E305+F305</f>
        <v>0</v>
      </c>
      <c r="I305" s="1334"/>
      <c r="J305" s="1335"/>
      <c r="K305" s="712">
        <f>I305+J305</f>
        <v>0</v>
      </c>
      <c r="M305" s="1994" t="str">
        <f>IF(AND(G305=0,K305=0),"n/a",IF(G305&gt;K305,"Yes", "No"))</f>
        <v>n/a</v>
      </c>
      <c r="N305" s="1995"/>
      <c r="O305" s="1993"/>
      <c r="P305" s="2008"/>
      <c r="R305" s="51"/>
      <c r="S305" s="51"/>
    </row>
    <row r="306" spans="1:19" s="65" customFormat="1" ht="10.5" customHeight="1">
      <c r="A306" s="55"/>
      <c r="B306" s="1183" t="s">
        <v>3180</v>
      </c>
      <c r="C306" s="510"/>
      <c r="D306" s="510"/>
      <c r="E306" s="1334"/>
      <c r="F306" s="1335"/>
      <c r="G306" s="712">
        <f>E306+F306</f>
        <v>0</v>
      </c>
      <c r="I306" s="1334"/>
      <c r="J306" s="1335"/>
      <c r="K306" s="712">
        <f>I306+J306</f>
        <v>0</v>
      </c>
      <c r="M306" s="1994" t="str">
        <f>IF(AND(G306=0,K306=0),"n/a",IF(G306&gt;K306,"Yes", "No"))</f>
        <v>n/a</v>
      </c>
      <c r="N306" s="1995"/>
      <c r="O306" s="1993"/>
      <c r="P306" s="2008"/>
      <c r="R306" s="51"/>
      <c r="S306" s="51"/>
    </row>
    <row r="307" spans="1:19" s="65" customFormat="1" ht="10.5" customHeight="1">
      <c r="A307" s="55"/>
      <c r="B307" s="1183" t="s">
        <v>3181</v>
      </c>
      <c r="C307" s="510"/>
      <c r="D307" s="510"/>
      <c r="E307" s="1336"/>
      <c r="F307" s="1337"/>
      <c r="G307" s="713">
        <f>E307+F307</f>
        <v>0</v>
      </c>
      <c r="I307" s="1336"/>
      <c r="J307" s="1337"/>
      <c r="K307" s="713">
        <f>I307+J307</f>
        <v>0</v>
      </c>
      <c r="M307" s="1998" t="str">
        <f>IF(AND(G307=0,K307=0),"n/a",IF(G307&gt;K307,"Yes", "No"))</f>
        <v>n/a</v>
      </c>
      <c r="N307" s="1999"/>
      <c r="O307" s="1993"/>
      <c r="P307" s="2008"/>
      <c r="R307" s="51"/>
      <c r="S307" s="51"/>
    </row>
    <row r="308" spans="1:19" s="51" customFormat="1" ht="7.5" customHeight="1">
      <c r="A308" s="165"/>
      <c r="B308" s="64"/>
      <c r="C308" s="715"/>
      <c r="D308" s="510"/>
      <c r="E308" s="1190"/>
      <c r="F308" s="1190"/>
      <c r="I308" s="1190"/>
      <c r="J308" s="1190"/>
      <c r="P308" s="159"/>
    </row>
    <row r="309" spans="1:19" s="44" customFormat="1" ht="10.5" customHeight="1">
      <c r="A309" s="55"/>
      <c r="B309" s="772"/>
      <c r="C309" s="772"/>
      <c r="D309" s="772"/>
      <c r="E309" s="1996" t="s">
        <v>3186</v>
      </c>
      <c r="F309" s="1997"/>
      <c r="G309" s="773"/>
      <c r="H309" s="773"/>
      <c r="I309" s="1996" t="s">
        <v>3224</v>
      </c>
      <c r="J309" s="1997"/>
      <c r="K309" s="773"/>
      <c r="P309" s="159"/>
      <c r="R309" s="119"/>
      <c r="S309" s="119"/>
    </row>
    <row r="310" spans="1:19" s="65" customFormat="1" ht="10.5" customHeight="1">
      <c r="A310" s="55"/>
      <c r="B310" s="1183" t="s">
        <v>3178</v>
      </c>
      <c r="C310" s="510"/>
      <c r="D310" s="510"/>
      <c r="E310" s="1133"/>
      <c r="F310" s="1134"/>
      <c r="G310" s="711">
        <f>E310+F310</f>
        <v>0</v>
      </c>
      <c r="I310" s="1133"/>
      <c r="J310" s="1134"/>
      <c r="K310" s="711">
        <f>I310+J310</f>
        <v>0</v>
      </c>
      <c r="M310" s="1991" t="str">
        <f>IF(AND(G310=0,K310=0),"n/a",IF(G310&gt;K310,"Yes", "No"))</f>
        <v>n/a</v>
      </c>
      <c r="N310" s="1992"/>
      <c r="O310" s="1993" t="str">
        <f>IF(AND(M310="n/a",M311="n/a",M312="n/a",M313="n/a",M314="n/a"),"n/a",IF(AND(M310="Yes",M311="Yes",M312="Yes",M313="Yes",M314="Yes"),"Yes",IF(OR(M310="No",M311="No",M312="No",M313="No",M314="No"), "No", "No")))</f>
        <v>n/a</v>
      </c>
      <c r="P310" s="159"/>
      <c r="R310" s="51"/>
      <c r="S310" s="51"/>
    </row>
    <row r="311" spans="1:19" s="65" customFormat="1" ht="10.5" customHeight="1">
      <c r="A311" s="55"/>
      <c r="B311" s="1183" t="s">
        <v>3184</v>
      </c>
      <c r="C311" s="510"/>
      <c r="D311" s="510"/>
      <c r="E311" s="1135"/>
      <c r="F311" s="1136"/>
      <c r="G311" s="712">
        <f>E311+F311</f>
        <v>0</v>
      </c>
      <c r="I311" s="1135"/>
      <c r="J311" s="1136"/>
      <c r="K311" s="712">
        <f>I311+J311</f>
        <v>0</v>
      </c>
      <c r="M311" s="1994" t="str">
        <f>IF(AND(G311=0,K311=0),"n/a",IF(G311&gt;K311,"Yes", "No"))</f>
        <v>n/a</v>
      </c>
      <c r="N311" s="1995"/>
      <c r="O311" s="1993"/>
      <c r="P311" s="159"/>
      <c r="R311" s="51"/>
      <c r="S311" s="51"/>
    </row>
    <row r="312" spans="1:19" s="65" customFormat="1" ht="10.5" customHeight="1">
      <c r="A312" s="55"/>
      <c r="B312" s="533" t="s">
        <v>3179</v>
      </c>
      <c r="E312" s="1137"/>
      <c r="F312" s="1138"/>
      <c r="G312" s="712">
        <f>E312+F312</f>
        <v>0</v>
      </c>
      <c r="I312" s="1137"/>
      <c r="J312" s="1138"/>
      <c r="K312" s="712">
        <f>I312+J312</f>
        <v>0</v>
      </c>
      <c r="M312" s="1994" t="str">
        <f>IF(AND(G312=0,K312=0),"n/a",IF(G312&gt;K312,"Yes", "No"))</f>
        <v>n/a</v>
      </c>
      <c r="N312" s="1995"/>
      <c r="O312" s="1993"/>
      <c r="P312" s="159"/>
      <c r="R312" s="51"/>
      <c r="S312" s="51"/>
    </row>
    <row r="313" spans="1:19" s="65" customFormat="1" ht="10.5" customHeight="1">
      <c r="A313" s="55"/>
      <c r="B313" s="533" t="s">
        <v>3180</v>
      </c>
      <c r="E313" s="1137"/>
      <c r="F313" s="1138"/>
      <c r="G313" s="712">
        <f>E313+F313</f>
        <v>0</v>
      </c>
      <c r="I313" s="1137"/>
      <c r="J313" s="1138"/>
      <c r="K313" s="712">
        <f>I313+J313</f>
        <v>0</v>
      </c>
      <c r="M313" s="1994" t="str">
        <f>IF(AND(G313=0,K313=0),"n/a",IF(G313&gt;K313,"Yes", "No"))</f>
        <v>n/a</v>
      </c>
      <c r="N313" s="1995"/>
      <c r="O313" s="1993"/>
      <c r="P313" s="159"/>
      <c r="R313" s="51"/>
      <c r="S313" s="51"/>
    </row>
    <row r="314" spans="1:19" s="65" customFormat="1" ht="10.5" customHeight="1">
      <c r="A314" s="55"/>
      <c r="B314" s="533" t="s">
        <v>3181</v>
      </c>
      <c r="E314" s="1139"/>
      <c r="F314" s="1140"/>
      <c r="G314" s="713">
        <f>E314+F314</f>
        <v>0</v>
      </c>
      <c r="I314" s="1139"/>
      <c r="J314" s="1140"/>
      <c r="K314" s="713">
        <f>I314+J314</f>
        <v>0</v>
      </c>
      <c r="M314" s="1998" t="str">
        <f>IF(AND(G314=0,K314=0),"n/a",IF(G314&gt;K314,"Yes", "No"))</f>
        <v>n/a</v>
      </c>
      <c r="N314" s="1999"/>
      <c r="O314" s="1993"/>
      <c r="P314" s="159"/>
      <c r="R314" s="51"/>
      <c r="S314" s="51"/>
    </row>
    <row r="315" spans="1:19" s="51" customFormat="1" ht="3" customHeight="1">
      <c r="A315" s="165"/>
      <c r="C315" s="1190"/>
      <c r="D315" s="1190"/>
      <c r="E315" s="774"/>
      <c r="F315" s="774"/>
      <c r="I315" s="774"/>
      <c r="J315" s="774"/>
      <c r="P315" s="768"/>
    </row>
    <row r="316" spans="1:19" s="65" customFormat="1" ht="10.5" customHeight="1">
      <c r="A316" s="55"/>
      <c r="B316" s="1183" t="s">
        <v>3178</v>
      </c>
      <c r="C316" s="510"/>
      <c r="D316" s="510"/>
      <c r="E316" s="1330"/>
      <c r="F316" s="1331"/>
      <c r="G316" s="711">
        <f>E316+F316</f>
        <v>0</v>
      </c>
      <c r="I316" s="1330"/>
      <c r="J316" s="1331"/>
      <c r="K316" s="711">
        <f>I316+J316</f>
        <v>0</v>
      </c>
      <c r="M316" s="1991" t="str">
        <f>IF(AND(G316=0,K316=0),"n/a",IF(G316&gt;K316,"Yes", "No"))</f>
        <v>n/a</v>
      </c>
      <c r="N316" s="1992"/>
      <c r="O316" s="1993" t="str">
        <f>IF(AND(M316="n/a",M317="n/a",M318="n/a",M319="n/a",M320="n/a"),"n/a",IF(AND(M316="Yes",M317="Yes",M318="Yes",M319="Yes",M320="Yes"),"Yes",IF(OR(M316="No",M317="No",M318="No",M319="No",M320="No"), "No", "No")))</f>
        <v>n/a</v>
      </c>
      <c r="P316" s="768"/>
      <c r="R316" s="51"/>
      <c r="S316" s="51"/>
    </row>
    <row r="317" spans="1:19" s="65" customFormat="1" ht="10.5" customHeight="1">
      <c r="A317" s="55"/>
      <c r="B317" s="1183" t="s">
        <v>3184</v>
      </c>
      <c r="C317" s="510"/>
      <c r="D317" s="510"/>
      <c r="E317" s="1332"/>
      <c r="F317" s="1333"/>
      <c r="G317" s="712">
        <f>E317+F317</f>
        <v>0</v>
      </c>
      <c r="I317" s="1332"/>
      <c r="J317" s="1333"/>
      <c r="K317" s="712">
        <f>I317+J317</f>
        <v>0</v>
      </c>
      <c r="M317" s="1994" t="str">
        <f>IF(AND(G317=0,K317=0),"n/a",IF(G317&gt;K317,"Yes", "No"))</f>
        <v>n/a</v>
      </c>
      <c r="N317" s="1995"/>
      <c r="O317" s="1993"/>
      <c r="P317" s="768"/>
      <c r="R317" s="51"/>
      <c r="S317" s="51"/>
    </row>
    <row r="318" spans="1:19" s="65" customFormat="1" ht="10.5" customHeight="1">
      <c r="A318" s="55"/>
      <c r="B318" s="1183" t="s">
        <v>3179</v>
      </c>
      <c r="C318" s="510"/>
      <c r="D318" s="510"/>
      <c r="E318" s="1334"/>
      <c r="F318" s="1335"/>
      <c r="G318" s="712">
        <f>E318+F318</f>
        <v>0</v>
      </c>
      <c r="I318" s="1334"/>
      <c r="J318" s="1335"/>
      <c r="K318" s="712">
        <f>I318+J318</f>
        <v>0</v>
      </c>
      <c r="M318" s="1994" t="str">
        <f>IF(AND(G318=0,K318=0),"n/a",IF(G318&gt;K318,"Yes", "No"))</f>
        <v>n/a</v>
      </c>
      <c r="N318" s="1995"/>
      <c r="O318" s="1993"/>
      <c r="P318" s="768"/>
      <c r="R318" s="51"/>
      <c r="S318" s="51"/>
    </row>
    <row r="319" spans="1:19" s="65" customFormat="1" ht="10.5" customHeight="1">
      <c r="A319" s="55"/>
      <c r="B319" s="1183" t="s">
        <v>3180</v>
      </c>
      <c r="C319" s="510"/>
      <c r="D319" s="510"/>
      <c r="E319" s="1334"/>
      <c r="F319" s="1335"/>
      <c r="G319" s="712">
        <f>E319+F319</f>
        <v>0</v>
      </c>
      <c r="I319" s="1334"/>
      <c r="J319" s="1335"/>
      <c r="K319" s="712">
        <f>I319+J319</f>
        <v>0</v>
      </c>
      <c r="M319" s="1994" t="str">
        <f>IF(AND(G319=0,K319=0),"n/a",IF(G319&gt;K319,"Yes", "No"))</f>
        <v>n/a</v>
      </c>
      <c r="N319" s="1995"/>
      <c r="O319" s="1993"/>
      <c r="P319" s="768"/>
      <c r="R319" s="51"/>
      <c r="S319" s="51"/>
    </row>
    <row r="320" spans="1:19" s="65" customFormat="1" ht="10.5" customHeight="1">
      <c r="A320" s="55"/>
      <c r="B320" s="1183" t="s">
        <v>3181</v>
      </c>
      <c r="C320" s="510"/>
      <c r="D320" s="510"/>
      <c r="E320" s="1336"/>
      <c r="F320" s="1337"/>
      <c r="G320" s="713">
        <f>E320+F320</f>
        <v>0</v>
      </c>
      <c r="I320" s="1336"/>
      <c r="J320" s="1337"/>
      <c r="K320" s="713">
        <f>I320+J320</f>
        <v>0</v>
      </c>
      <c r="M320" s="1998" t="str">
        <f>IF(AND(G320=0,K320=0),"n/a",IF(G320&gt;K320,"Yes", "No"))</f>
        <v>n/a</v>
      </c>
      <c r="N320" s="1999"/>
      <c r="O320" s="1993"/>
      <c r="P320" s="768"/>
      <c r="R320" s="51"/>
      <c r="S320" s="51"/>
    </row>
    <row r="321" spans="1:18" s="51" customFormat="1" ht="10.5" customHeight="1">
      <c r="A321" s="50"/>
      <c r="B321" s="57" t="s">
        <v>269</v>
      </c>
      <c r="C321" s="50"/>
      <c r="D321" s="56"/>
      <c r="E321" s="56"/>
      <c r="F321" s="56"/>
      <c r="G321" s="56"/>
      <c r="H321" s="44"/>
      <c r="I321" s="44"/>
      <c r="J321" s="44"/>
      <c r="K321" s="44"/>
      <c r="M321" s="54"/>
      <c r="N321" s="73"/>
      <c r="O321" s="4"/>
      <c r="P321" s="1175"/>
    </row>
    <row r="322" spans="1:18" s="51" customFormat="1" ht="10.5" customHeight="1">
      <c r="A322" s="1830"/>
      <c r="B322" s="1831"/>
      <c r="C322" s="1831"/>
      <c r="D322" s="1831"/>
      <c r="E322" s="1831"/>
      <c r="F322" s="1831"/>
      <c r="G322" s="1831"/>
      <c r="H322" s="1831"/>
      <c r="I322" s="1831"/>
      <c r="J322" s="1831"/>
      <c r="K322" s="1831"/>
      <c r="L322" s="1831"/>
      <c r="M322" s="1831"/>
      <c r="N322" s="1831"/>
      <c r="O322" s="1831"/>
      <c r="P322" s="1832"/>
      <c r="Q322" s="562" t="s">
        <v>1326</v>
      </c>
    </row>
    <row r="323" spans="1:18" s="51" customFormat="1" ht="10.5" customHeight="1">
      <c r="A323" s="50"/>
      <c r="B323" s="100" t="s">
        <v>1988</v>
      </c>
      <c r="C323" s="115"/>
      <c r="D323" s="100"/>
      <c r="E323" s="116"/>
      <c r="F323" s="1176"/>
      <c r="G323" s="1176"/>
      <c r="H323" s="1176"/>
      <c r="I323" s="1176"/>
      <c r="J323" s="1176"/>
      <c r="K323" s="1176"/>
      <c r="L323" s="1176"/>
      <c r="M323" s="1176"/>
      <c r="N323" s="87"/>
      <c r="O323" s="83"/>
      <c r="P323" s="2"/>
      <c r="Q323" s="529"/>
    </row>
    <row r="324" spans="1:18" s="51" customFormat="1" ht="10.5" customHeight="1">
      <c r="A324" s="1833"/>
      <c r="B324" s="1834"/>
      <c r="C324" s="1834"/>
      <c r="D324" s="1834"/>
      <c r="E324" s="1834"/>
      <c r="F324" s="1834"/>
      <c r="G324" s="1834"/>
      <c r="H324" s="1834"/>
      <c r="I324" s="1834"/>
      <c r="J324" s="1834"/>
      <c r="K324" s="1834"/>
      <c r="L324" s="1834"/>
      <c r="M324" s="1834"/>
      <c r="N324" s="1834"/>
      <c r="O324" s="1834"/>
      <c r="P324" s="1835"/>
      <c r="Q324" s="562" t="s">
        <v>1326</v>
      </c>
    </row>
    <row r="325" spans="1:18" s="51" customFormat="1" ht="1.5" customHeight="1">
      <c r="A325" s="50"/>
      <c r="C325" s="1176"/>
      <c r="D325" s="1176"/>
      <c r="E325" s="1176"/>
      <c r="F325" s="1176"/>
      <c r="G325" s="1176"/>
      <c r="H325" s="1176"/>
      <c r="I325" s="1176"/>
      <c r="J325" s="1176"/>
      <c r="K325" s="1176"/>
      <c r="L325" s="1176"/>
      <c r="M325" s="1176"/>
      <c r="N325" s="87"/>
      <c r="O325" s="83"/>
      <c r="P325" s="612"/>
    </row>
    <row r="326" spans="1:18" s="51" customFormat="1" ht="12" customHeight="1">
      <c r="A326" s="183" t="s">
        <v>3193</v>
      </c>
      <c r="B326" s="123" t="s">
        <v>3192</v>
      </c>
      <c r="C326" s="64"/>
      <c r="D326" s="136"/>
      <c r="E326" s="136"/>
      <c r="F326" s="49"/>
      <c r="G326" s="49"/>
      <c r="H326" s="49"/>
      <c r="I326" s="49"/>
      <c r="J326" s="49"/>
      <c r="K326" s="49"/>
      <c r="M326" s="8">
        <v>2</v>
      </c>
      <c r="N326" s="217"/>
      <c r="O326" s="1117">
        <v>1</v>
      </c>
      <c r="P326" s="1316"/>
      <c r="Q326" s="126" t="s">
        <v>461</v>
      </c>
      <c r="R326" s="44" t="s">
        <v>2929</v>
      </c>
    </row>
    <row r="327" spans="1:18" s="65" customFormat="1" ht="9" customHeight="1">
      <c r="H327" s="55"/>
      <c r="I327" s="55"/>
      <c r="J327" s="55"/>
      <c r="K327" s="55"/>
      <c r="L327" s="55"/>
      <c r="R327" s="693"/>
    </row>
    <row r="328" spans="1:18" s="65" customFormat="1" ht="12" customHeight="1">
      <c r="A328" s="55"/>
      <c r="I328" s="65" t="s">
        <v>3198</v>
      </c>
      <c r="K328" s="1988" t="str">
        <f>'Part I-Project Information'!F27</f>
        <v>Rome</v>
      </c>
      <c r="L328" s="1989"/>
      <c r="M328" s="1990"/>
      <c r="R328" s="693"/>
    </row>
    <row r="329" spans="1:18" s="65" customFormat="1" ht="12" customHeight="1">
      <c r="A329" s="165" t="s">
        <v>2110</v>
      </c>
      <c r="C329" s="723" t="s">
        <v>3202</v>
      </c>
      <c r="G329" s="1141">
        <v>10871</v>
      </c>
      <c r="I329" s="2009" t="s">
        <v>3199</v>
      </c>
      <c r="J329" s="2009"/>
      <c r="K329" s="1985" t="str">
        <f>'Part I-Project Information'!J28</f>
        <v>Floyd</v>
      </c>
      <c r="L329" s="1986"/>
      <c r="M329" s="1987"/>
      <c r="R329" s="693"/>
    </row>
    <row r="330" spans="1:18" s="65" customFormat="1" ht="12" customHeight="1">
      <c r="A330" s="165"/>
      <c r="C330" s="723"/>
      <c r="I330" s="533" t="s">
        <v>3200</v>
      </c>
      <c r="K330" s="1985" t="str">
        <f>'Part I-Project Information'!O29</f>
        <v>Rome</v>
      </c>
      <c r="L330" s="1986"/>
      <c r="M330" s="1987"/>
      <c r="R330" s="693"/>
    </row>
    <row r="331" spans="1:18" s="65" customFormat="1" ht="12.75" customHeight="1">
      <c r="A331" s="170" t="s">
        <v>2113</v>
      </c>
      <c r="B331" s="609" t="s">
        <v>3197</v>
      </c>
      <c r="C331" s="1183"/>
      <c r="D331" s="686"/>
      <c r="E331" s="686"/>
      <c r="G331" s="1119">
        <v>0.5</v>
      </c>
      <c r="I331" s="533" t="s">
        <v>3337</v>
      </c>
      <c r="K331" s="1985" t="str">
        <f>VLOOKUP('Part I-Project Information'!J28,'Part I-Project Information'!C179:F338,4)</f>
        <v>MSA</v>
      </c>
      <c r="L331" s="1986"/>
      <c r="M331" s="1987"/>
      <c r="R331" s="693"/>
    </row>
    <row r="332" spans="1:18" s="65" customFormat="1" ht="12.75" customHeight="1">
      <c r="A332" s="55"/>
      <c r="B332" s="609" t="s">
        <v>3196</v>
      </c>
      <c r="C332" s="1183"/>
      <c r="D332" s="686"/>
      <c r="E332" s="686"/>
      <c r="F332" s="55"/>
      <c r="G332" s="55"/>
      <c r="I332" s="65" t="s">
        <v>3338</v>
      </c>
      <c r="K332" s="1982" t="str">
        <f>'Part I-Project Information'!K29</f>
        <v>Urban</v>
      </c>
      <c r="L332" s="1983"/>
      <c r="M332" s="1984"/>
      <c r="R332" s="693"/>
    </row>
    <row r="333" spans="1:18" s="65" customFormat="1" ht="12.75" customHeight="1">
      <c r="A333" s="55"/>
      <c r="B333" s="609"/>
      <c r="C333" s="1183"/>
      <c r="D333" s="686"/>
      <c r="E333" s="686"/>
      <c r="F333" s="55"/>
      <c r="G333" s="55"/>
      <c r="I333" s="65" t="s">
        <v>3336</v>
      </c>
      <c r="K333" s="1982">
        <f>'Part I-Project Information'!H67</f>
        <v>0</v>
      </c>
      <c r="L333" s="1983"/>
      <c r="M333" s="1984"/>
      <c r="R333" s="693"/>
    </row>
    <row r="334" spans="1:18" s="65" customFormat="1" ht="15" customHeight="1">
      <c r="H334" s="55"/>
      <c r="I334" s="55"/>
      <c r="J334" s="55"/>
      <c r="K334" s="55"/>
      <c r="L334" s="55"/>
      <c r="R334" s="693"/>
    </row>
    <row r="335" spans="1:18" s="65" customFormat="1" ht="12" customHeight="1">
      <c r="A335" s="55"/>
      <c r="B335" s="55"/>
      <c r="C335" s="1185" t="s">
        <v>3194</v>
      </c>
      <c r="D335" s="2012" t="s">
        <v>3195</v>
      </c>
      <c r="E335" s="2012"/>
      <c r="F335" s="2012"/>
      <c r="G335" s="2012"/>
      <c r="H335" s="2012"/>
      <c r="I335" s="2012"/>
      <c r="J335" s="2012"/>
      <c r="K335" s="2012"/>
      <c r="L335" s="1185" t="s">
        <v>1701</v>
      </c>
      <c r="M335" s="1185" t="s">
        <v>2772</v>
      </c>
      <c r="R335" s="693"/>
    </row>
    <row r="336" spans="1:18" s="65" customFormat="1" ht="12" customHeight="1">
      <c r="A336" s="55"/>
      <c r="B336" s="55"/>
      <c r="C336" s="1142" t="s">
        <v>1276</v>
      </c>
      <c r="D336" s="2011" t="s">
        <v>3201</v>
      </c>
      <c r="E336" s="2011"/>
      <c r="F336" s="2011"/>
      <c r="G336" s="2011"/>
      <c r="H336" s="2011"/>
      <c r="I336" s="2011"/>
      <c r="J336" s="2011"/>
      <c r="K336" s="2011"/>
      <c r="L336" s="1142" t="s">
        <v>2787</v>
      </c>
      <c r="M336" s="1142" t="s">
        <v>1353</v>
      </c>
      <c r="R336" s="693"/>
    </row>
    <row r="337" spans="1:18" s="65" customFormat="1" ht="15.75" customHeight="1">
      <c r="A337" s="55"/>
      <c r="B337" s="55"/>
      <c r="C337" s="1184">
        <v>20000</v>
      </c>
      <c r="D337" s="2010">
        <v>15000</v>
      </c>
      <c r="E337" s="2010"/>
      <c r="F337" s="2010"/>
      <c r="G337" s="2010"/>
      <c r="H337" s="2010"/>
      <c r="I337" s="2010"/>
      <c r="J337" s="2010"/>
      <c r="K337" s="2010"/>
      <c r="L337" s="1184">
        <v>6000</v>
      </c>
      <c r="M337" s="1184">
        <v>3000</v>
      </c>
      <c r="R337" s="693"/>
    </row>
    <row r="338" spans="1:18" s="65" customFormat="1" ht="13.5" customHeight="1">
      <c r="A338" s="55"/>
      <c r="B338" s="617"/>
      <c r="C338" s="1190"/>
      <c r="D338" s="1190"/>
      <c r="E338" s="1190"/>
      <c r="F338" s="1190"/>
      <c r="G338" s="1190"/>
      <c r="H338" s="1190"/>
      <c r="I338" s="1190"/>
      <c r="J338" s="1190"/>
      <c r="K338" s="1190"/>
      <c r="L338" s="1190"/>
      <c r="R338" s="693"/>
    </row>
    <row r="339" spans="1:18" s="51" customFormat="1" ht="12" customHeight="1">
      <c r="A339" s="50"/>
      <c r="B339" s="57" t="s">
        <v>269</v>
      </c>
      <c r="C339" s="50"/>
      <c r="D339" s="56"/>
      <c r="E339" s="56"/>
      <c r="F339" s="56"/>
      <c r="G339" s="56"/>
      <c r="H339" s="44"/>
      <c r="I339" s="44"/>
      <c r="J339" s="44"/>
      <c r="K339" s="44"/>
      <c r="M339" s="54"/>
      <c r="N339" s="73"/>
      <c r="O339" s="4"/>
      <c r="P339" s="1175"/>
    </row>
    <row r="340" spans="1:18" s="51" customFormat="1" ht="27.75" customHeight="1">
      <c r="A340" s="1830" t="s">
        <v>3508</v>
      </c>
      <c r="B340" s="1831"/>
      <c r="C340" s="1831"/>
      <c r="D340" s="1831"/>
      <c r="E340" s="1831"/>
      <c r="F340" s="1831"/>
      <c r="G340" s="1831"/>
      <c r="H340" s="1831"/>
      <c r="I340" s="1831"/>
      <c r="J340" s="1831"/>
      <c r="K340" s="1831"/>
      <c r="L340" s="1831"/>
      <c r="M340" s="1831"/>
      <c r="N340" s="1831"/>
      <c r="O340" s="1831"/>
      <c r="P340" s="1832"/>
      <c r="Q340" s="562" t="s">
        <v>1326</v>
      </c>
    </row>
    <row r="341" spans="1:18" s="51" customFormat="1" ht="11.25" customHeight="1">
      <c r="A341" s="50"/>
      <c r="B341" s="100" t="s">
        <v>1988</v>
      </c>
      <c r="C341" s="115"/>
      <c r="D341" s="100"/>
      <c r="E341" s="116"/>
      <c r="F341" s="1176"/>
      <c r="G341" s="1176"/>
      <c r="H341" s="1176"/>
      <c r="I341" s="1176"/>
      <c r="J341" s="1176"/>
      <c r="K341" s="1176"/>
      <c r="L341" s="1176"/>
      <c r="M341" s="1176"/>
      <c r="N341" s="87"/>
      <c r="O341" s="83"/>
      <c r="P341" s="2"/>
      <c r="Q341" s="529"/>
    </row>
    <row r="342" spans="1:18" s="51" customFormat="1" ht="12.75" customHeight="1">
      <c r="A342" s="1833"/>
      <c r="B342" s="1834"/>
      <c r="C342" s="1834"/>
      <c r="D342" s="1834"/>
      <c r="E342" s="1834"/>
      <c r="F342" s="1834"/>
      <c r="G342" s="1834"/>
      <c r="H342" s="1834"/>
      <c r="I342" s="1834"/>
      <c r="J342" s="1834"/>
      <c r="K342" s="1834"/>
      <c r="L342" s="1834"/>
      <c r="M342" s="1834"/>
      <c r="N342" s="1834"/>
      <c r="O342" s="1834"/>
      <c r="P342" s="1835"/>
      <c r="Q342" s="562" t="s">
        <v>1326</v>
      </c>
    </row>
    <row r="343" spans="1:18" s="51" customFormat="1" ht="16.5" customHeight="1">
      <c r="A343" s="50"/>
      <c r="C343" s="1176"/>
      <c r="D343" s="1176"/>
      <c r="E343" s="1176"/>
      <c r="F343" s="1176"/>
      <c r="G343" s="1176"/>
      <c r="H343" s="1176"/>
      <c r="I343" s="1176"/>
      <c r="J343" s="1176"/>
      <c r="K343" s="1176"/>
      <c r="L343" s="1176"/>
      <c r="M343" s="1176"/>
      <c r="N343" s="87"/>
      <c r="O343" s="83"/>
      <c r="P343" s="612"/>
    </row>
    <row r="344" spans="1:18" s="119" customFormat="1" ht="11.25" customHeight="1">
      <c r="A344" s="183" t="s">
        <v>3191</v>
      </c>
      <c r="B344" s="122" t="s">
        <v>1783</v>
      </c>
      <c r="D344" s="53"/>
      <c r="E344" s="53"/>
      <c r="F344" s="47"/>
      <c r="G344" s="44"/>
      <c r="I344" s="44"/>
      <c r="J344" s="44"/>
      <c r="K344" s="44"/>
      <c r="L344" s="458" t="str">
        <f>IF(OR($O344=$M344,$O344&lt;=0,$O344=""),"","* * Check Score! * *")</f>
        <v/>
      </c>
      <c r="M344" s="2">
        <v>10</v>
      </c>
      <c r="N344" s="7"/>
      <c r="O344" s="76">
        <f>O346</f>
        <v>10</v>
      </c>
      <c r="P344" s="76">
        <f>P346</f>
        <v>0</v>
      </c>
      <c r="Q344" s="126" t="s">
        <v>461</v>
      </c>
    </row>
    <row r="345" spans="1:18" s="43" customFormat="1" ht="11.45" customHeight="1">
      <c r="B345" s="171" t="s">
        <v>2711</v>
      </c>
      <c r="M345" s="50"/>
      <c r="N345" s="50"/>
      <c r="O345" s="1094" t="s">
        <v>3452</v>
      </c>
      <c r="P345" s="1293"/>
    </row>
    <row r="346" spans="1:18" ht="12.6" customHeight="1">
      <c r="A346" s="165" t="s">
        <v>2110</v>
      </c>
      <c r="B346" s="221" t="s">
        <v>1525</v>
      </c>
      <c r="D346" s="40"/>
      <c r="E346" s="40"/>
      <c r="F346" s="40"/>
      <c r="G346" s="40"/>
      <c r="H346" s="40"/>
      <c r="I346" s="40"/>
      <c r="J346" s="40"/>
      <c r="K346" s="40"/>
      <c r="L346" s="40"/>
      <c r="M346" s="134"/>
      <c r="N346" s="594" t="s">
        <v>2110</v>
      </c>
      <c r="O346" s="1143">
        <v>10</v>
      </c>
      <c r="P346" s="1338"/>
      <c r="Q346" s="213" t="s">
        <v>2929</v>
      </c>
    </row>
    <row r="347" spans="1:18" s="51" customFormat="1" ht="11.25" customHeight="1">
      <c r="A347" s="50"/>
      <c r="B347" s="57" t="s">
        <v>269</v>
      </c>
      <c r="C347" s="50"/>
      <c r="D347" s="56"/>
      <c r="E347" s="56"/>
      <c r="F347" s="56"/>
      <c r="G347" s="56"/>
      <c r="H347" s="44"/>
      <c r="I347" s="44"/>
      <c r="J347" s="44"/>
      <c r="K347" s="44"/>
      <c r="M347" s="54"/>
      <c r="N347" s="73"/>
      <c r="O347" s="4"/>
      <c r="P347" s="1175"/>
    </row>
    <row r="348" spans="1:18" s="51" customFormat="1" ht="26.25" customHeight="1">
      <c r="A348" s="1830" t="s">
        <v>3509</v>
      </c>
      <c r="B348" s="1831"/>
      <c r="C348" s="1831"/>
      <c r="D348" s="1831"/>
      <c r="E348" s="1831"/>
      <c r="F348" s="1831"/>
      <c r="G348" s="1831"/>
      <c r="H348" s="1831"/>
      <c r="I348" s="1831"/>
      <c r="J348" s="1831"/>
      <c r="K348" s="1831"/>
      <c r="L348" s="1831"/>
      <c r="M348" s="1831"/>
      <c r="N348" s="1831"/>
      <c r="O348" s="1831"/>
      <c r="P348" s="1832"/>
      <c r="Q348" s="562" t="s">
        <v>1326</v>
      </c>
      <c r="R348" s="563"/>
    </row>
    <row r="349" spans="1:18" s="119" customFormat="1" ht="11.25" customHeight="1">
      <c r="A349" s="79"/>
      <c r="B349" s="79" t="s">
        <v>1988</v>
      </c>
      <c r="C349" s="58"/>
      <c r="D349" s="79"/>
      <c r="E349" s="1174"/>
      <c r="F349" s="1174"/>
      <c r="G349" s="1174"/>
      <c r="H349" s="1174"/>
      <c r="I349" s="1174"/>
      <c r="J349" s="1174"/>
      <c r="K349" s="1174"/>
      <c r="L349" s="1174"/>
      <c r="M349" s="1174"/>
      <c r="N349" s="110"/>
      <c r="O349" s="224"/>
      <c r="P349" s="2"/>
    </row>
    <row r="350" spans="1:18" s="51" customFormat="1" ht="12.75" customHeight="1">
      <c r="A350" s="1833"/>
      <c r="B350" s="1834"/>
      <c r="C350" s="1834"/>
      <c r="D350" s="1834"/>
      <c r="E350" s="1834"/>
      <c r="F350" s="1834"/>
      <c r="G350" s="1834"/>
      <c r="H350" s="1834"/>
      <c r="I350" s="1834"/>
      <c r="J350" s="1834"/>
      <c r="K350" s="1834"/>
      <c r="L350" s="1834"/>
      <c r="M350" s="1834"/>
      <c r="N350" s="1834"/>
      <c r="O350" s="1834"/>
      <c r="P350" s="1835"/>
      <c r="Q350" s="562" t="s">
        <v>1326</v>
      </c>
      <c r="R350" s="563"/>
    </row>
    <row r="351" spans="1:18" s="51" customFormat="1" ht="18.75" customHeight="1" thickBot="1">
      <c r="A351" s="50"/>
      <c r="B351" s="50"/>
      <c r="C351" s="1176"/>
      <c r="D351" s="1176"/>
      <c r="E351" s="1176"/>
      <c r="F351" s="1176"/>
      <c r="G351" s="1176"/>
      <c r="H351" s="1176"/>
      <c r="I351" s="1176"/>
      <c r="J351" s="1176"/>
      <c r="K351" s="1176"/>
      <c r="L351" s="1176"/>
      <c r="M351" s="1176"/>
      <c r="N351" s="87"/>
      <c r="O351" s="83"/>
      <c r="P351" s="612"/>
    </row>
    <row r="352" spans="1:18" s="50" customFormat="1" ht="15" customHeight="1" thickBot="1">
      <c r="A352" s="565"/>
      <c r="B352" s="80"/>
      <c r="C352" s="58"/>
      <c r="D352" s="43"/>
      <c r="E352" s="43"/>
      <c r="F352" s="64"/>
      <c r="G352" s="51"/>
      <c r="H352" s="184" t="s">
        <v>446</v>
      </c>
      <c r="I352" s="185"/>
      <c r="J352" s="185"/>
      <c r="K352" s="185"/>
      <c r="L352" s="119"/>
      <c r="M352" s="555">
        <f>M8+M30+M38+M47+M61+M69+M87+M98+M125+M140+M150+M158+M167+M173+M183+M218+M230+M241+M252+M276+M326+M344</f>
        <v>87</v>
      </c>
      <c r="N352" s="186"/>
      <c r="O352" s="187">
        <f>O8+O30+O38+O47+O61+O69+O87+O98+O125+O140+O150+O167+O173+O183+O230+O241+O276+O326+O344</f>
        <v>54</v>
      </c>
      <c r="P352" s="187">
        <f>P8+P30+P38+P47+P61+P69+P87+P98+P125+P140+P150+P158+P167+P173+P183+P218+P230+P241+P252+P276+P326+P344</f>
        <v>12</v>
      </c>
    </row>
    <row r="353" spans="1:16" s="50" customFormat="1" ht="13.5" customHeight="1">
      <c r="A353" s="64"/>
      <c r="B353" s="80"/>
      <c r="C353" s="64"/>
      <c r="D353" s="43"/>
      <c r="E353" s="43"/>
      <c r="F353" s="82"/>
      <c r="G353" s="82"/>
      <c r="H353" s="205"/>
      <c r="I353" s="205" t="s">
        <v>3350</v>
      </c>
      <c r="J353" s="81"/>
      <c r="K353" s="81"/>
      <c r="L353" s="51"/>
      <c r="M353" s="43"/>
      <c r="N353" s="2"/>
      <c r="O353" s="592"/>
      <c r="P353" s="592">
        <f>P158</f>
        <v>0</v>
      </c>
    </row>
    <row r="354" spans="1:16" s="50" customFormat="1" ht="13.5" customHeight="1">
      <c r="A354" s="64"/>
      <c r="B354" s="80"/>
      <c r="C354" s="64"/>
      <c r="D354" s="43"/>
      <c r="E354" s="43"/>
      <c r="F354" s="82"/>
      <c r="G354" s="82"/>
      <c r="I354" s="205" t="s">
        <v>3351</v>
      </c>
      <c r="J354" s="81"/>
      <c r="K354" s="81"/>
      <c r="L354" s="51"/>
      <c r="M354" s="43"/>
      <c r="N354" s="2"/>
      <c r="O354" s="2"/>
      <c r="P354" s="592">
        <f>P218</f>
        <v>0</v>
      </c>
    </row>
    <row r="355" spans="1:16" s="51" customFormat="1" ht="13.5" customHeight="1">
      <c r="A355" s="50"/>
      <c r="B355" s="50"/>
      <c r="C355" s="1176"/>
      <c r="D355" s="1176"/>
      <c r="E355" s="1176"/>
      <c r="F355" s="1176"/>
      <c r="G355" s="1176"/>
      <c r="I355" s="205" t="s">
        <v>3352</v>
      </c>
      <c r="J355" s="1176"/>
      <c r="K355" s="1176"/>
      <c r="L355" s="1176"/>
      <c r="M355" s="1176"/>
      <c r="N355" s="87"/>
      <c r="O355" s="83"/>
      <c r="P355" s="592">
        <f>P252</f>
        <v>0</v>
      </c>
    </row>
    <row r="356" spans="1:16" s="51" customFormat="1" ht="13.5" customHeight="1">
      <c r="A356" s="50"/>
      <c r="D356" s="47"/>
      <c r="E356" s="44"/>
      <c r="F356" s="612"/>
      <c r="G356" s="612"/>
      <c r="H356" s="5" t="s">
        <v>3353</v>
      </c>
      <c r="I356" s="612"/>
      <c r="J356" s="38"/>
      <c r="K356" s="38"/>
      <c r="L356" s="38"/>
      <c r="M356" s="71"/>
      <c r="N356" s="612"/>
      <c r="O356" s="1175"/>
      <c r="P356" s="779">
        <f>P352-P353-P354-P355</f>
        <v>12</v>
      </c>
    </row>
    <row r="357" spans="1:16" s="189" customFormat="1" ht="13.5" customHeight="1">
      <c r="A357" s="64"/>
      <c r="B357" s="80"/>
      <c r="C357" s="64"/>
      <c r="D357" s="175"/>
      <c r="E357" s="175"/>
      <c r="F357" s="48"/>
      <c r="G357" s="48"/>
      <c r="H357" s="82"/>
      <c r="I357" s="82"/>
      <c r="J357" s="619"/>
      <c r="K357" s="619"/>
      <c r="L357" s="51"/>
      <c r="M357" s="175"/>
      <c r="N357" s="2"/>
      <c r="O357" s="2"/>
      <c r="P357" s="4"/>
    </row>
    <row r="358" spans="1:16" s="189" customFormat="1">
      <c r="N358" s="143"/>
      <c r="O358" s="1167"/>
      <c r="P358" s="1167"/>
    </row>
    <row r="359" spans="1:16" s="189" customFormat="1">
      <c r="C359" s="567" t="s">
        <v>1753</v>
      </c>
      <c r="D359" s="567"/>
      <c r="E359" s="567"/>
      <c r="F359" s="567"/>
      <c r="G359" s="567"/>
      <c r="H359" s="567"/>
      <c r="I359" s="567"/>
      <c r="J359" s="567" t="s">
        <v>1068</v>
      </c>
      <c r="K359" s="567"/>
      <c r="L359" s="624"/>
      <c r="M359" s="624"/>
      <c r="N359" s="695"/>
      <c r="O359" s="696"/>
      <c r="P359" s="696"/>
    </row>
    <row r="360" spans="1:16" s="189" customFormat="1">
      <c r="C360" s="624" t="s">
        <v>2219</v>
      </c>
      <c r="D360" s="624"/>
      <c r="E360" s="624"/>
      <c r="F360" s="624"/>
      <c r="G360" s="624"/>
      <c r="H360" s="624"/>
      <c r="I360" s="624"/>
      <c r="J360" s="624" t="s">
        <v>1886</v>
      </c>
      <c r="K360" s="624"/>
      <c r="L360" s="624"/>
      <c r="M360" s="624"/>
      <c r="N360" s="695"/>
      <c r="O360" s="696"/>
      <c r="P360" s="696"/>
    </row>
    <row r="361" spans="1:16" s="189" customFormat="1" ht="15">
      <c r="C361" s="567" t="s">
        <v>2717</v>
      </c>
      <c r="D361" s="567"/>
      <c r="E361" s="567"/>
      <c r="F361" s="567"/>
      <c r="G361" s="567"/>
      <c r="H361" s="567"/>
      <c r="I361" s="567"/>
      <c r="J361" s="697" t="s">
        <v>241</v>
      </c>
      <c r="K361" s="567"/>
      <c r="L361" s="624"/>
      <c r="M361" s="624"/>
      <c r="N361" s="695"/>
      <c r="O361" s="696"/>
      <c r="P361" s="696"/>
    </row>
    <row r="362" spans="1:16" s="189" customFormat="1" ht="15">
      <c r="C362" s="567" t="s">
        <v>2220</v>
      </c>
      <c r="D362" s="567"/>
      <c r="E362" s="567"/>
      <c r="F362" s="567"/>
      <c r="G362" s="567"/>
      <c r="H362" s="567"/>
      <c r="I362" s="567"/>
      <c r="J362" s="697" t="s">
        <v>1755</v>
      </c>
      <c r="K362" s="567"/>
      <c r="L362" s="624"/>
      <c r="M362" s="624"/>
      <c r="N362" s="695"/>
      <c r="O362" s="696"/>
      <c r="P362" s="696"/>
    </row>
    <row r="363" spans="1:16" s="189" customFormat="1" ht="15">
      <c r="C363" s="567" t="s">
        <v>2221</v>
      </c>
      <c r="D363" s="567"/>
      <c r="E363" s="567"/>
      <c r="F363" s="567"/>
      <c r="G363" s="567"/>
      <c r="H363" s="567"/>
      <c r="I363" s="567"/>
      <c r="J363" s="697" t="s">
        <v>1756</v>
      </c>
      <c r="K363" s="567"/>
      <c r="L363" s="624"/>
      <c r="M363" s="624"/>
      <c r="N363" s="695"/>
      <c r="O363" s="696"/>
      <c r="P363" s="696"/>
    </row>
    <row r="364" spans="1:16" s="189" customFormat="1" ht="15">
      <c r="C364" s="698" t="s">
        <v>2222</v>
      </c>
      <c r="D364" s="567"/>
      <c r="E364" s="567"/>
      <c r="F364" s="567"/>
      <c r="G364" s="567"/>
      <c r="H364" s="567"/>
      <c r="I364" s="567"/>
      <c r="J364" s="697" t="s">
        <v>2664</v>
      </c>
      <c r="K364" s="567"/>
      <c r="L364" s="624"/>
      <c r="M364" s="624"/>
      <c r="N364" s="695"/>
      <c r="O364" s="696"/>
      <c r="P364" s="696"/>
    </row>
    <row r="365" spans="1:16" s="189" customFormat="1" ht="15">
      <c r="C365" s="698" t="s">
        <v>2223</v>
      </c>
      <c r="D365" s="567"/>
      <c r="E365" s="567"/>
      <c r="F365" s="567"/>
      <c r="G365" s="567"/>
      <c r="H365" s="567"/>
      <c r="I365" s="567"/>
      <c r="J365" s="697" t="s">
        <v>1757</v>
      </c>
      <c r="K365" s="567"/>
      <c r="L365" s="624"/>
      <c r="M365" s="624"/>
      <c r="N365" s="695"/>
      <c r="O365" s="696"/>
      <c r="P365" s="696"/>
    </row>
    <row r="366" spans="1:16" s="189" customFormat="1" ht="15">
      <c r="C366" s="698"/>
      <c r="D366" s="567"/>
      <c r="E366" s="567"/>
      <c r="F366" s="567"/>
      <c r="G366" s="567"/>
      <c r="H366" s="567"/>
      <c r="I366" s="567"/>
      <c r="J366" s="697" t="s">
        <v>1758</v>
      </c>
      <c r="K366" s="567"/>
      <c r="L366" s="624"/>
      <c r="M366" s="624"/>
      <c r="N366" s="695"/>
      <c r="O366" s="696"/>
      <c r="P366" s="696"/>
    </row>
    <row r="367" spans="1:16" s="189" customFormat="1" ht="15">
      <c r="C367" s="624" t="s">
        <v>1886</v>
      </c>
      <c r="D367" s="567"/>
      <c r="E367" s="567"/>
      <c r="F367" s="567"/>
      <c r="G367" s="567"/>
      <c r="H367" s="567"/>
      <c r="I367" s="567"/>
      <c r="J367" s="697" t="s">
        <v>1759</v>
      </c>
      <c r="K367" s="567"/>
      <c r="L367" s="624"/>
      <c r="M367" s="624"/>
      <c r="N367" s="695"/>
      <c r="O367" s="696"/>
      <c r="P367" s="696"/>
    </row>
    <row r="368" spans="1:16" s="189" customFormat="1" ht="15">
      <c r="C368" s="699" t="s">
        <v>1474</v>
      </c>
      <c r="D368" s="567"/>
      <c r="E368" s="567"/>
      <c r="F368" s="567"/>
      <c r="G368" s="567"/>
      <c r="H368" s="567"/>
      <c r="I368" s="567"/>
      <c r="J368" s="697" t="s">
        <v>1760</v>
      </c>
      <c r="K368" s="567"/>
      <c r="L368" s="624"/>
      <c r="M368" s="624"/>
      <c r="N368" s="695"/>
      <c r="O368" s="696"/>
      <c r="P368" s="696"/>
    </row>
    <row r="369" spans="3:16" s="189" customFormat="1" ht="15">
      <c r="C369" s="699" t="s">
        <v>1475</v>
      </c>
      <c r="D369" s="567"/>
      <c r="E369" s="567"/>
      <c r="F369" s="567"/>
      <c r="G369" s="567"/>
      <c r="H369" s="567"/>
      <c r="I369" s="567"/>
      <c r="J369" s="697" t="s">
        <v>1761</v>
      </c>
      <c r="K369" s="567"/>
      <c r="L369" s="624"/>
      <c r="M369" s="624"/>
      <c r="N369" s="695"/>
      <c r="O369" s="696"/>
      <c r="P369" s="696"/>
    </row>
    <row r="370" spans="3:16" s="189" customFormat="1" ht="15">
      <c r="C370" s="700" t="s">
        <v>2263</v>
      </c>
      <c r="D370" s="567"/>
      <c r="E370" s="567"/>
      <c r="F370" s="567"/>
      <c r="G370" s="567"/>
      <c r="H370" s="567"/>
      <c r="I370" s="567"/>
      <c r="J370" s="697" t="s">
        <v>1762</v>
      </c>
      <c r="K370" s="567"/>
      <c r="L370" s="624"/>
      <c r="M370" s="624"/>
      <c r="N370" s="695"/>
      <c r="O370" s="696"/>
      <c r="P370" s="696"/>
    </row>
    <row r="371" spans="3:16" s="189" customFormat="1" ht="15">
      <c r="C371" s="700" t="s">
        <v>1471</v>
      </c>
      <c r="D371" s="567"/>
      <c r="E371" s="567"/>
      <c r="F371" s="567"/>
      <c r="G371" s="567"/>
      <c r="H371" s="567"/>
      <c r="I371" s="567"/>
      <c r="J371" s="697" t="s">
        <v>624</v>
      </c>
      <c r="K371" s="567"/>
      <c r="L371" s="624"/>
      <c r="M371" s="624"/>
      <c r="N371" s="695"/>
      <c r="O371" s="696"/>
      <c r="P371" s="696"/>
    </row>
    <row r="372" spans="3:16" s="189" customFormat="1" ht="15">
      <c r="C372" s="700" t="s">
        <v>1472</v>
      </c>
      <c r="D372" s="567"/>
      <c r="E372" s="567"/>
      <c r="F372" s="567"/>
      <c r="G372" s="567"/>
      <c r="H372" s="567"/>
      <c r="I372" s="567"/>
      <c r="J372" s="697" t="s">
        <v>1763</v>
      </c>
      <c r="K372" s="567"/>
      <c r="L372" s="624"/>
      <c r="M372" s="624"/>
      <c r="N372" s="695"/>
      <c r="O372" s="696"/>
      <c r="P372" s="696"/>
    </row>
    <row r="373" spans="3:16" s="189" customFormat="1" ht="15">
      <c r="C373" s="699" t="s">
        <v>2258</v>
      </c>
      <c r="D373" s="567"/>
      <c r="E373" s="567"/>
      <c r="F373" s="567"/>
      <c r="G373" s="567"/>
      <c r="H373" s="567"/>
      <c r="I373" s="567"/>
      <c r="J373" s="697" t="s">
        <v>1764</v>
      </c>
      <c r="K373" s="567"/>
      <c r="L373" s="624"/>
      <c r="M373" s="624"/>
      <c r="N373" s="695"/>
      <c r="O373" s="696"/>
      <c r="P373" s="696"/>
    </row>
    <row r="374" spans="3:16" s="189" customFormat="1" ht="15">
      <c r="C374" s="699" t="s">
        <v>2259</v>
      </c>
      <c r="D374" s="567"/>
      <c r="E374" s="567"/>
      <c r="F374" s="567"/>
      <c r="G374" s="567"/>
      <c r="H374" s="567"/>
      <c r="I374" s="567"/>
      <c r="J374" s="697" t="s">
        <v>1765</v>
      </c>
      <c r="K374" s="624"/>
      <c r="L374" s="624"/>
      <c r="M374" s="624"/>
      <c r="N374" s="695"/>
      <c r="O374" s="696"/>
      <c r="P374" s="696"/>
    </row>
    <row r="375" spans="3:16" s="189" customFormat="1" ht="15">
      <c r="C375" s="699" t="s">
        <v>2260</v>
      </c>
      <c r="D375" s="624"/>
      <c r="E375" s="624"/>
      <c r="F375" s="624"/>
      <c r="G375" s="624"/>
      <c r="H375" s="624"/>
      <c r="I375" s="624"/>
      <c r="J375" s="697" t="s">
        <v>37</v>
      </c>
      <c r="K375" s="624"/>
      <c r="L375" s="624"/>
      <c r="M375" s="624"/>
      <c r="N375" s="695"/>
      <c r="O375" s="696"/>
      <c r="P375" s="696"/>
    </row>
    <row r="376" spans="3:16" s="189" customFormat="1" ht="15">
      <c r="C376" s="699" t="s">
        <v>2261</v>
      </c>
      <c r="D376" s="624"/>
      <c r="E376" s="624"/>
      <c r="F376" s="624"/>
      <c r="G376" s="624"/>
      <c r="H376" s="624"/>
      <c r="I376" s="624"/>
      <c r="J376" s="701"/>
      <c r="K376" s="624"/>
      <c r="L376" s="624"/>
      <c r="M376" s="624"/>
      <c r="N376" s="695"/>
      <c r="O376" s="696"/>
      <c r="P376" s="696"/>
    </row>
    <row r="377" spans="3:16" s="189" customFormat="1">
      <c r="C377" s="699" t="s">
        <v>2262</v>
      </c>
      <c r="D377" s="624"/>
      <c r="E377" s="624"/>
      <c r="F377" s="624"/>
      <c r="G377" s="624"/>
      <c r="H377" s="624"/>
      <c r="I377" s="624"/>
      <c r="J377" s="624"/>
      <c r="K377" s="624"/>
      <c r="L377" s="624"/>
      <c r="M377" s="624"/>
      <c r="N377" s="695"/>
      <c r="O377" s="696"/>
      <c r="P377" s="696"/>
    </row>
    <row r="378" spans="3:16" s="189" customFormat="1">
      <c r="C378" s="699" t="s">
        <v>1473</v>
      </c>
      <c r="D378" s="624"/>
      <c r="E378" s="624"/>
      <c r="F378" s="624"/>
      <c r="G378" s="624"/>
      <c r="H378" s="624"/>
      <c r="I378" s="624"/>
      <c r="J378" s="624"/>
      <c r="K378" s="624"/>
      <c r="L378" s="624"/>
      <c r="M378" s="624"/>
      <c r="N378" s="695"/>
      <c r="O378" s="696"/>
      <c r="P378" s="696"/>
    </row>
    <row r="379" spans="3:16" s="189" customFormat="1">
      <c r="C379" s="699" t="s">
        <v>2422</v>
      </c>
      <c r="D379" s="624"/>
      <c r="E379" s="624"/>
      <c r="F379" s="624"/>
      <c r="G379" s="624"/>
      <c r="H379" s="624"/>
      <c r="I379" s="624"/>
      <c r="J379" s="624"/>
      <c r="K379" s="624"/>
      <c r="L379" s="624"/>
      <c r="M379" s="624"/>
      <c r="N379" s="695"/>
      <c r="O379" s="696"/>
      <c r="P379" s="696"/>
    </row>
    <row r="380" spans="3:16" s="189" customFormat="1">
      <c r="C380" s="624"/>
      <c r="D380" s="624"/>
      <c r="E380" s="624"/>
      <c r="F380" s="624"/>
      <c r="G380" s="624"/>
      <c r="H380" s="624"/>
      <c r="I380" s="624"/>
      <c r="J380" s="624"/>
      <c r="K380" s="624"/>
      <c r="L380" s="624"/>
      <c r="M380" s="624"/>
      <c r="N380" s="695"/>
      <c r="O380" s="696"/>
      <c r="P380" s="696"/>
    </row>
    <row r="381" spans="3:16" s="189" customFormat="1">
      <c r="C381" s="624"/>
      <c r="D381" s="624"/>
      <c r="E381" s="624"/>
      <c r="F381" s="624"/>
      <c r="G381" s="624"/>
      <c r="H381" s="624"/>
      <c r="I381" s="624"/>
      <c r="J381" s="624"/>
      <c r="K381" s="624"/>
      <c r="L381" s="624"/>
      <c r="M381" s="624"/>
      <c r="N381" s="695"/>
      <c r="O381" s="696"/>
      <c r="P381" s="696"/>
    </row>
    <row r="382" spans="3:16" s="189" customFormat="1" ht="25.5">
      <c r="C382" s="702" t="s">
        <v>3064</v>
      </c>
      <c r="D382" s="624"/>
      <c r="E382" s="624"/>
      <c r="F382" s="624"/>
      <c r="G382" s="703" t="s">
        <v>1597</v>
      </c>
      <c r="H382" s="703" t="s">
        <v>1598</v>
      </c>
      <c r="I382" s="703" t="s">
        <v>1599</v>
      </c>
      <c r="J382" s="624"/>
      <c r="K382" s="624"/>
      <c r="L382" s="624"/>
      <c r="M382" s="624"/>
      <c r="N382" s="695"/>
      <c r="O382" s="696"/>
      <c r="P382" s="696"/>
    </row>
    <row r="383" spans="3:16" s="189" customFormat="1" ht="38.25">
      <c r="C383" s="704" t="s">
        <v>3066</v>
      </c>
      <c r="D383" s="624"/>
      <c r="E383" s="624"/>
      <c r="F383" s="624"/>
      <c r="G383" s="705" t="s">
        <v>2684</v>
      </c>
      <c r="H383" s="705" t="s">
        <v>2685</v>
      </c>
      <c r="I383" s="705" t="s">
        <v>1257</v>
      </c>
      <c r="J383" s="624"/>
      <c r="K383" s="624"/>
      <c r="L383" s="624"/>
      <c r="M383" s="624"/>
      <c r="N383" s="695"/>
      <c r="O383" s="696"/>
      <c r="P383" s="696"/>
    </row>
    <row r="384" spans="3:16" s="189" customFormat="1">
      <c r="C384" s="704" t="s">
        <v>3067</v>
      </c>
      <c r="D384" s="624"/>
      <c r="E384" s="624"/>
      <c r="F384" s="624"/>
      <c r="G384" s="705" t="s">
        <v>1897</v>
      </c>
      <c r="H384" s="706" t="s">
        <v>1061</v>
      </c>
      <c r="I384" s="706" t="s">
        <v>1397</v>
      </c>
      <c r="J384" s="624"/>
      <c r="K384" s="624"/>
      <c r="L384" s="624"/>
      <c r="M384" s="624"/>
      <c r="N384" s="695"/>
      <c r="O384" s="696"/>
      <c r="P384" s="696"/>
    </row>
    <row r="385" spans="3:16" s="189" customFormat="1" ht="25.5">
      <c r="C385" s="704" t="s">
        <v>3068</v>
      </c>
      <c r="D385" s="624"/>
      <c r="E385" s="624"/>
      <c r="F385" s="624"/>
      <c r="G385" s="705" t="s">
        <v>1738</v>
      </c>
      <c r="H385" s="706" t="s">
        <v>1412</v>
      </c>
      <c r="I385" s="706" t="s">
        <v>1409</v>
      </c>
      <c r="J385" s="624"/>
      <c r="K385" s="624"/>
      <c r="L385" s="624"/>
      <c r="M385" s="624"/>
      <c r="N385" s="695"/>
      <c r="O385" s="696"/>
      <c r="P385" s="696"/>
    </row>
    <row r="386" spans="3:16" s="189" customFormat="1">
      <c r="C386" s="704" t="s">
        <v>3069</v>
      </c>
      <c r="D386" s="624"/>
      <c r="E386" s="624"/>
      <c r="F386" s="624"/>
      <c r="G386" s="705" t="s">
        <v>2201</v>
      </c>
      <c r="H386" s="706" t="s">
        <v>2704</v>
      </c>
      <c r="I386" s="706" t="s">
        <v>1412</v>
      </c>
      <c r="J386" s="624"/>
      <c r="K386" s="624"/>
      <c r="L386" s="624"/>
      <c r="M386" s="624"/>
      <c r="N386" s="695"/>
      <c r="O386" s="696"/>
      <c r="P386" s="696"/>
    </row>
    <row r="387" spans="3:16" s="189" customFormat="1" ht="25.5">
      <c r="C387" s="704" t="s">
        <v>3070</v>
      </c>
      <c r="D387" s="624"/>
      <c r="E387" s="624"/>
      <c r="F387" s="624"/>
      <c r="G387" s="705" t="s">
        <v>1739</v>
      </c>
      <c r="H387" s="706" t="s">
        <v>2705</v>
      </c>
      <c r="I387" s="706" t="s">
        <v>2640</v>
      </c>
      <c r="J387" s="624"/>
      <c r="K387" s="624"/>
      <c r="L387" s="624"/>
      <c r="M387" s="624"/>
      <c r="N387" s="695"/>
      <c r="O387" s="696"/>
      <c r="P387" s="696"/>
    </row>
    <row r="388" spans="3:16" s="189" customFormat="1">
      <c r="C388" s="704" t="s">
        <v>3071</v>
      </c>
      <c r="D388" s="624"/>
      <c r="E388" s="624"/>
      <c r="F388" s="624"/>
      <c r="G388" s="705" t="s">
        <v>12</v>
      </c>
      <c r="H388" s="706" t="s">
        <v>2054</v>
      </c>
      <c r="I388" s="706" t="s">
        <v>2646</v>
      </c>
      <c r="J388" s="624"/>
      <c r="K388" s="624"/>
      <c r="L388" s="624"/>
      <c r="M388" s="624"/>
      <c r="N388" s="695"/>
      <c r="O388" s="696"/>
      <c r="P388" s="696"/>
    </row>
    <row r="389" spans="3:16" s="189" customFormat="1">
      <c r="C389" s="704"/>
      <c r="D389" s="624"/>
      <c r="E389" s="624"/>
      <c r="F389" s="624"/>
      <c r="G389" s="705" t="s">
        <v>1412</v>
      </c>
      <c r="H389" s="706" t="s">
        <v>2419</v>
      </c>
      <c r="I389" s="706" t="s">
        <v>2648</v>
      </c>
      <c r="J389" s="624"/>
      <c r="K389" s="624"/>
      <c r="L389" s="624"/>
      <c r="M389" s="624"/>
      <c r="N389" s="695"/>
      <c r="O389" s="696"/>
      <c r="P389" s="696"/>
    </row>
    <row r="390" spans="3:16" s="189" customFormat="1">
      <c r="C390" s="704"/>
      <c r="D390" s="624"/>
      <c r="E390" s="624"/>
      <c r="F390" s="624"/>
      <c r="G390" s="705" t="s">
        <v>1600</v>
      </c>
      <c r="H390" s="706" t="s">
        <v>2706</v>
      </c>
      <c r="I390" s="706" t="s">
        <v>2693</v>
      </c>
      <c r="J390" s="624"/>
      <c r="K390" s="624"/>
      <c r="L390" s="624"/>
      <c r="M390" s="624"/>
      <c r="N390" s="695"/>
      <c r="O390" s="696"/>
      <c r="P390" s="696"/>
    </row>
    <row r="391" spans="3:16" s="189" customFormat="1">
      <c r="C391" s="704"/>
      <c r="D391" s="624"/>
      <c r="E391" s="624"/>
      <c r="F391" s="624"/>
      <c r="G391" s="705" t="s">
        <v>1078</v>
      </c>
      <c r="H391" s="706" t="s">
        <v>699</v>
      </c>
      <c r="I391" s="706" t="s">
        <v>204</v>
      </c>
      <c r="J391" s="624"/>
      <c r="K391" s="624"/>
      <c r="L391" s="624"/>
      <c r="M391" s="624"/>
      <c r="N391" s="695"/>
      <c r="O391" s="696"/>
      <c r="P391" s="696"/>
    </row>
    <row r="392" spans="3:16" s="189" customFormat="1">
      <c r="C392" s="624"/>
      <c r="D392" s="624"/>
      <c r="E392" s="624"/>
      <c r="F392" s="624"/>
      <c r="G392" s="705" t="s">
        <v>2648</v>
      </c>
      <c r="H392" s="706" t="s">
        <v>1752</v>
      </c>
      <c r="I392" s="706" t="s">
        <v>1004</v>
      </c>
      <c r="J392" s="624"/>
      <c r="K392" s="624"/>
      <c r="L392" s="624"/>
      <c r="M392" s="624"/>
      <c r="N392" s="695"/>
      <c r="O392" s="696"/>
      <c r="P392" s="696"/>
    </row>
    <row r="393" spans="3:16" s="189" customFormat="1" ht="25.5">
      <c r="C393" s="624"/>
      <c r="D393" s="624"/>
      <c r="E393" s="624"/>
      <c r="F393" s="624"/>
      <c r="G393" s="705" t="s">
        <v>2188</v>
      </c>
      <c r="H393" s="706" t="s">
        <v>2707</v>
      </c>
      <c r="I393" s="706" t="s">
        <v>1006</v>
      </c>
      <c r="J393" s="624"/>
      <c r="K393" s="624"/>
      <c r="L393" s="624"/>
      <c r="M393" s="624"/>
      <c r="N393" s="695"/>
      <c r="O393" s="696"/>
      <c r="P393" s="696"/>
    </row>
    <row r="394" spans="3:16" s="189" customFormat="1" ht="25.5">
      <c r="C394" s="702" t="s">
        <v>3073</v>
      </c>
      <c r="D394" s="624"/>
      <c r="E394" s="624"/>
      <c r="F394" s="624"/>
      <c r="G394" s="705" t="s">
        <v>637</v>
      </c>
      <c r="H394" s="706" t="s">
        <v>1601</v>
      </c>
      <c r="I394" s="706" t="s">
        <v>923</v>
      </c>
      <c r="J394" s="624"/>
      <c r="K394" s="624"/>
      <c r="L394" s="624"/>
      <c r="M394" s="624"/>
      <c r="N394" s="695"/>
      <c r="O394" s="696"/>
      <c r="P394" s="696"/>
    </row>
    <row r="395" spans="3:16" s="189" customFormat="1">
      <c r="C395" s="702" t="s">
        <v>3124</v>
      </c>
      <c r="D395" s="624"/>
      <c r="E395" s="624"/>
      <c r="F395" s="624"/>
      <c r="G395" s="705" t="s">
        <v>353</v>
      </c>
      <c r="H395" s="706" t="s">
        <v>2408</v>
      </c>
      <c r="I395" s="706" t="s">
        <v>927</v>
      </c>
      <c r="J395" s="624"/>
      <c r="K395" s="624"/>
      <c r="L395" s="624"/>
      <c r="M395" s="624"/>
      <c r="N395" s="695"/>
      <c r="O395" s="696"/>
      <c r="P395" s="696"/>
    </row>
    <row r="396" spans="3:16" s="189" customFormat="1">
      <c r="C396" s="704" t="s">
        <v>3125</v>
      </c>
      <c r="D396" s="624"/>
      <c r="E396" s="624"/>
      <c r="F396" s="624"/>
      <c r="G396" s="705" t="s">
        <v>922</v>
      </c>
      <c r="H396" s="706" t="s">
        <v>2015</v>
      </c>
      <c r="I396" s="706" t="s">
        <v>704</v>
      </c>
      <c r="J396" s="624"/>
      <c r="K396" s="624"/>
      <c r="L396" s="624"/>
      <c r="M396" s="624"/>
      <c r="N396" s="695"/>
      <c r="O396" s="696"/>
      <c r="P396" s="696"/>
    </row>
    <row r="397" spans="3:16" s="189" customFormat="1" ht="51">
      <c r="C397" s="704" t="s">
        <v>3126</v>
      </c>
      <c r="D397" s="624"/>
      <c r="E397" s="624"/>
      <c r="F397" s="624"/>
      <c r="G397" s="705" t="s">
        <v>2050</v>
      </c>
      <c r="H397" s="706" t="s">
        <v>2710</v>
      </c>
      <c r="I397" s="706" t="s">
        <v>709</v>
      </c>
      <c r="J397" s="624"/>
      <c r="K397" s="624"/>
      <c r="L397" s="624"/>
      <c r="M397" s="624"/>
      <c r="N397" s="695"/>
      <c r="O397" s="696"/>
      <c r="P397" s="696"/>
    </row>
    <row r="398" spans="3:16" s="189" customFormat="1">
      <c r="C398" s="704" t="s">
        <v>3128</v>
      </c>
      <c r="D398" s="624"/>
      <c r="E398" s="624"/>
      <c r="F398" s="624"/>
      <c r="G398" s="705" t="s">
        <v>477</v>
      </c>
      <c r="H398" s="706" t="s">
        <v>2703</v>
      </c>
      <c r="I398" s="706" t="s">
        <v>330</v>
      </c>
      <c r="J398" s="624"/>
      <c r="K398" s="624"/>
      <c r="L398" s="624"/>
      <c r="M398" s="624"/>
      <c r="N398" s="695"/>
      <c r="O398" s="696"/>
      <c r="P398" s="696"/>
    </row>
    <row r="399" spans="3:16" s="189" customFormat="1" ht="25.5">
      <c r="C399" s="704" t="s">
        <v>3127</v>
      </c>
      <c r="D399" s="624"/>
      <c r="E399" s="624"/>
      <c r="F399" s="624"/>
      <c r="G399" s="705" t="s">
        <v>245</v>
      </c>
      <c r="H399" s="706" t="s">
        <v>2708</v>
      </c>
      <c r="I399" s="706" t="s">
        <v>339</v>
      </c>
      <c r="J399" s="624"/>
      <c r="K399" s="624"/>
      <c r="L399" s="624"/>
      <c r="M399" s="624"/>
      <c r="N399" s="695"/>
      <c r="O399" s="696"/>
      <c r="P399" s="696"/>
    </row>
    <row r="400" spans="3:16" s="189" customFormat="1">
      <c r="C400" s="704" t="s">
        <v>3129</v>
      </c>
      <c r="D400" s="624"/>
      <c r="E400" s="624"/>
      <c r="F400" s="624"/>
      <c r="G400" s="705" t="s">
        <v>1292</v>
      </c>
      <c r="H400" s="706" t="s">
        <v>2709</v>
      </c>
      <c r="I400" s="706" t="s">
        <v>346</v>
      </c>
      <c r="J400" s="624"/>
      <c r="K400" s="624"/>
      <c r="L400" s="624"/>
      <c r="M400" s="624"/>
      <c r="N400" s="695"/>
      <c r="O400" s="696"/>
      <c r="P400" s="696"/>
    </row>
    <row r="401" spans="3:16" s="189" customFormat="1">
      <c r="C401" s="704"/>
      <c r="D401" s="624"/>
      <c r="E401" s="624"/>
      <c r="F401" s="624"/>
      <c r="G401" s="705" t="s">
        <v>1294</v>
      </c>
      <c r="H401" s="706" t="s">
        <v>1602</v>
      </c>
      <c r="I401" s="706" t="s">
        <v>348</v>
      </c>
      <c r="J401" s="624"/>
      <c r="K401" s="624"/>
      <c r="L401" s="624"/>
      <c r="M401" s="624"/>
      <c r="N401" s="695"/>
      <c r="O401" s="696"/>
      <c r="P401" s="696"/>
    </row>
    <row r="402" spans="3:16" s="189" customFormat="1" ht="25.5">
      <c r="C402" s="704"/>
      <c r="D402" s="624"/>
      <c r="E402" s="624"/>
      <c r="F402" s="624"/>
      <c r="G402" s="705" t="s">
        <v>1740</v>
      </c>
      <c r="H402" s="706"/>
      <c r="I402" s="706" t="s">
        <v>1544</v>
      </c>
      <c r="J402" s="624"/>
      <c r="K402" s="624"/>
      <c r="L402" s="624"/>
      <c r="M402" s="624"/>
      <c r="N402" s="695"/>
      <c r="O402" s="696"/>
      <c r="P402" s="696"/>
    </row>
    <row r="403" spans="3:16" s="189" customFormat="1">
      <c r="C403" s="704"/>
      <c r="D403" s="624"/>
      <c r="E403" s="624"/>
      <c r="F403" s="624"/>
      <c r="G403" s="705" t="s">
        <v>1039</v>
      </c>
      <c r="H403" s="706"/>
      <c r="I403" s="706" t="s">
        <v>1546</v>
      </c>
      <c r="J403" s="624"/>
      <c r="K403" s="624"/>
      <c r="L403" s="624"/>
      <c r="M403" s="624"/>
      <c r="N403" s="695"/>
      <c r="O403" s="696"/>
      <c r="P403" s="696"/>
    </row>
    <row r="404" spans="3:16" s="189" customFormat="1">
      <c r="C404" s="704"/>
      <c r="D404" s="624"/>
      <c r="E404" s="624"/>
      <c r="F404" s="624"/>
      <c r="G404" s="705" t="s">
        <v>605</v>
      </c>
      <c r="H404" s="706"/>
      <c r="I404" s="706" t="s">
        <v>1400</v>
      </c>
      <c r="J404" s="624"/>
      <c r="K404" s="624"/>
      <c r="L404" s="624"/>
      <c r="M404" s="624"/>
      <c r="N404" s="695"/>
      <c r="O404" s="696"/>
      <c r="P404" s="696"/>
    </row>
    <row r="405" spans="3:16" s="189" customFormat="1">
      <c r="C405" s="624"/>
      <c r="D405" s="624"/>
      <c r="E405" s="624"/>
      <c r="F405" s="624"/>
      <c r="G405" s="705" t="s">
        <v>1741</v>
      </c>
      <c r="H405" s="706"/>
      <c r="I405" s="706" t="s">
        <v>375</v>
      </c>
      <c r="J405" s="624"/>
      <c r="K405" s="624"/>
      <c r="L405" s="624"/>
      <c r="M405" s="624"/>
      <c r="N405" s="695"/>
      <c r="O405" s="696"/>
      <c r="P405" s="696"/>
    </row>
    <row r="406" spans="3:16" s="189" customFormat="1">
      <c r="C406" s="624"/>
      <c r="D406" s="624"/>
      <c r="E406" s="624"/>
      <c r="F406" s="624"/>
      <c r="G406" s="705" t="s">
        <v>1789</v>
      </c>
      <c r="H406" s="706"/>
      <c r="I406" s="706" t="s">
        <v>2001</v>
      </c>
      <c r="J406" s="624"/>
      <c r="K406" s="624"/>
      <c r="L406" s="624"/>
      <c r="M406" s="624"/>
      <c r="N406" s="695"/>
      <c r="O406" s="696"/>
      <c r="P406" s="696"/>
    </row>
    <row r="407" spans="3:16" s="189" customFormat="1">
      <c r="C407" s="624"/>
      <c r="D407" s="624"/>
      <c r="E407" s="624"/>
      <c r="F407" s="624"/>
      <c r="G407" s="705" t="s">
        <v>1854</v>
      </c>
      <c r="H407" s="706"/>
      <c r="I407" s="706" t="s">
        <v>2003</v>
      </c>
      <c r="J407" s="624"/>
      <c r="K407" s="624"/>
      <c r="L407" s="624"/>
      <c r="M407" s="624"/>
      <c r="N407" s="695"/>
      <c r="O407" s="696"/>
      <c r="P407" s="696"/>
    </row>
    <row r="408" spans="3:16" s="189" customFormat="1">
      <c r="C408" s="624"/>
      <c r="D408" s="624"/>
      <c r="E408" s="624"/>
      <c r="F408" s="624"/>
      <c r="G408" s="705" t="s">
        <v>869</v>
      </c>
      <c r="H408" s="706"/>
      <c r="I408" s="706" t="s">
        <v>1733</v>
      </c>
      <c r="J408" s="624"/>
      <c r="K408" s="624"/>
      <c r="L408" s="624"/>
      <c r="M408" s="624"/>
      <c r="N408" s="695"/>
      <c r="O408" s="696"/>
      <c r="P408" s="696"/>
    </row>
    <row r="409" spans="3:16" s="189" customFormat="1">
      <c r="C409" s="624"/>
      <c r="D409" s="624"/>
      <c r="E409" s="624"/>
      <c r="F409" s="624"/>
      <c r="G409" s="705" t="s">
        <v>549</v>
      </c>
      <c r="H409" s="706"/>
      <c r="I409" s="706" t="s">
        <v>1735</v>
      </c>
      <c r="J409" s="624"/>
      <c r="K409" s="624"/>
      <c r="L409" s="624"/>
      <c r="M409" s="624"/>
      <c r="N409" s="695"/>
      <c r="O409" s="696"/>
      <c r="P409" s="696"/>
    </row>
    <row r="410" spans="3:16" s="189" customFormat="1">
      <c r="C410" s="624"/>
      <c r="D410" s="624"/>
      <c r="E410" s="624"/>
      <c r="F410" s="624"/>
      <c r="G410" s="705" t="s">
        <v>557</v>
      </c>
      <c r="H410" s="706"/>
      <c r="I410" s="706" t="s">
        <v>1166</v>
      </c>
      <c r="J410" s="624"/>
      <c r="K410" s="624"/>
      <c r="L410" s="624"/>
      <c r="M410" s="624"/>
      <c r="N410" s="695"/>
      <c r="O410" s="696"/>
      <c r="P410" s="696"/>
    </row>
    <row r="411" spans="3:16" s="189" customFormat="1">
      <c r="C411" s="624"/>
      <c r="D411" s="624"/>
      <c r="E411" s="624"/>
      <c r="F411" s="624"/>
      <c r="G411" s="705" t="s">
        <v>2225</v>
      </c>
      <c r="H411" s="706"/>
      <c r="I411" s="706" t="s">
        <v>1170</v>
      </c>
      <c r="J411" s="624"/>
      <c r="K411" s="624"/>
      <c r="L411" s="624"/>
      <c r="M411" s="624"/>
      <c r="N411" s="695"/>
      <c r="O411" s="696"/>
      <c r="P411" s="696"/>
    </row>
    <row r="412" spans="3:16" s="189" customFormat="1">
      <c r="C412" s="624"/>
      <c r="D412" s="624"/>
      <c r="E412" s="624"/>
      <c r="F412" s="624"/>
      <c r="G412" s="705" t="s">
        <v>417</v>
      </c>
      <c r="H412" s="706"/>
      <c r="I412" s="706" t="s">
        <v>2303</v>
      </c>
      <c r="J412" s="624"/>
      <c r="K412" s="624"/>
      <c r="L412" s="624"/>
      <c r="M412" s="624"/>
      <c r="N412" s="695"/>
      <c r="O412" s="696"/>
      <c r="P412" s="696"/>
    </row>
    <row r="413" spans="3:16" s="189" customFormat="1">
      <c r="C413" s="624"/>
      <c r="D413" s="624"/>
      <c r="E413" s="624"/>
      <c r="F413" s="624"/>
      <c r="G413" s="705" t="s">
        <v>2252</v>
      </c>
      <c r="H413" s="706"/>
      <c r="I413" s="706" t="s">
        <v>2308</v>
      </c>
      <c r="J413" s="624"/>
      <c r="K413" s="624"/>
      <c r="L413" s="624"/>
      <c r="M413" s="624"/>
      <c r="N413" s="695"/>
      <c r="O413" s="696"/>
      <c r="P413" s="696"/>
    </row>
    <row r="414" spans="3:16" s="189" customFormat="1">
      <c r="C414" s="624"/>
      <c r="D414" s="624"/>
      <c r="E414" s="624"/>
      <c r="F414" s="624"/>
      <c r="G414" s="705" t="s">
        <v>1529</v>
      </c>
      <c r="H414" s="706"/>
      <c r="I414" s="706" t="s">
        <v>2310</v>
      </c>
      <c r="J414" s="624"/>
      <c r="K414" s="624"/>
      <c r="L414" s="624"/>
      <c r="M414" s="624"/>
      <c r="N414" s="695"/>
      <c r="O414" s="696"/>
      <c r="P414" s="696"/>
    </row>
    <row r="415" spans="3:16" s="189" customFormat="1" ht="13.5">
      <c r="C415" s="624"/>
      <c r="D415" s="707"/>
      <c r="E415" s="624"/>
      <c r="F415" s="624"/>
      <c r="G415" s="705" t="s">
        <v>258</v>
      </c>
      <c r="H415" s="708"/>
      <c r="I415" s="706" t="s">
        <v>2314</v>
      </c>
      <c r="J415" s="624"/>
      <c r="K415" s="624"/>
      <c r="L415" s="624"/>
      <c r="M415" s="624"/>
      <c r="N415" s="695"/>
      <c r="O415" s="696"/>
      <c r="P415" s="696"/>
    </row>
    <row r="416" spans="3:16" s="189" customFormat="1" ht="13.5">
      <c r="C416" s="707"/>
      <c r="D416" s="707"/>
      <c r="E416" s="624"/>
      <c r="F416" s="624"/>
      <c r="G416" s="705" t="s">
        <v>70</v>
      </c>
      <c r="H416" s="708"/>
      <c r="I416" s="706" t="s">
        <v>2318</v>
      </c>
      <c r="J416" s="624"/>
      <c r="K416" s="624"/>
      <c r="L416" s="624"/>
      <c r="M416" s="624"/>
      <c r="N416" s="695"/>
      <c r="O416" s="696"/>
      <c r="P416" s="696"/>
    </row>
    <row r="417" spans="1:16" s="189" customFormat="1" ht="13.5">
      <c r="C417" s="707"/>
      <c r="D417" s="709"/>
      <c r="E417" s="624"/>
      <c r="F417" s="624"/>
      <c r="G417" s="705" t="s">
        <v>2408</v>
      </c>
      <c r="H417" s="708"/>
      <c r="I417" s="706" t="s">
        <v>1769</v>
      </c>
      <c r="J417" s="624"/>
      <c r="K417" s="624"/>
      <c r="L417" s="624"/>
      <c r="M417" s="624"/>
      <c r="N417" s="695"/>
      <c r="O417" s="696"/>
      <c r="P417" s="696"/>
    </row>
    <row r="418" spans="1:16" s="189" customFormat="1">
      <c r="C418" s="707"/>
      <c r="D418" s="709"/>
      <c r="E418" s="709"/>
      <c r="F418" s="624"/>
      <c r="G418" s="705" t="s">
        <v>2296</v>
      </c>
      <c r="H418" s="624"/>
      <c r="I418" s="706" t="s">
        <v>1770</v>
      </c>
      <c r="J418" s="624"/>
      <c r="K418" s="624"/>
      <c r="L418" s="624"/>
      <c r="M418" s="624"/>
      <c r="N418" s="695"/>
      <c r="O418" s="696"/>
      <c r="P418" s="696"/>
    </row>
    <row r="419" spans="1:16" s="189" customFormat="1" ht="51">
      <c r="C419" s="707"/>
      <c r="D419" s="624"/>
      <c r="E419" s="624"/>
      <c r="F419" s="624"/>
      <c r="G419" s="705" t="s">
        <v>1742</v>
      </c>
      <c r="H419" s="624"/>
      <c r="I419" s="706" t="s">
        <v>2045</v>
      </c>
      <c r="J419" s="624"/>
      <c r="K419" s="624"/>
      <c r="L419" s="624"/>
      <c r="M419" s="624"/>
      <c r="N419" s="695"/>
      <c r="O419" s="696"/>
      <c r="P419" s="696"/>
    </row>
    <row r="420" spans="1:16" s="189" customFormat="1">
      <c r="C420" s="707"/>
      <c r="D420" s="624"/>
      <c r="E420" s="624"/>
      <c r="F420" s="624"/>
      <c r="G420" s="705" t="s">
        <v>2398</v>
      </c>
      <c r="H420" s="624"/>
      <c r="I420" s="625" t="s">
        <v>107</v>
      </c>
      <c r="J420" s="624"/>
      <c r="K420" s="624"/>
      <c r="L420" s="624"/>
      <c r="M420" s="624"/>
      <c r="N420" s="695"/>
      <c r="O420" s="696"/>
      <c r="P420" s="696"/>
    </row>
    <row r="421" spans="1:16" s="189" customFormat="1" ht="13.5">
      <c r="C421" s="707"/>
      <c r="D421" s="624"/>
      <c r="E421" s="624"/>
      <c r="F421" s="624"/>
      <c r="G421" s="705" t="s">
        <v>2400</v>
      </c>
      <c r="H421" s="624"/>
      <c r="I421" s="708" t="s">
        <v>113</v>
      </c>
      <c r="J421" s="624"/>
      <c r="K421" s="624"/>
      <c r="L421" s="624"/>
      <c r="M421" s="624"/>
      <c r="N421" s="695"/>
      <c r="O421" s="696"/>
      <c r="P421" s="696"/>
    </row>
    <row r="422" spans="1:16" s="189" customFormat="1" ht="13.5">
      <c r="C422" s="707"/>
      <c r="D422" s="624"/>
      <c r="E422" s="624"/>
      <c r="F422" s="624"/>
      <c r="G422" s="710" t="s">
        <v>2257</v>
      </c>
      <c r="H422" s="624"/>
      <c r="I422" s="708" t="s">
        <v>2548</v>
      </c>
      <c r="J422" s="624"/>
      <c r="K422" s="624"/>
      <c r="L422" s="624"/>
      <c r="M422" s="624"/>
      <c r="N422" s="695"/>
      <c r="O422" s="696"/>
      <c r="P422" s="696"/>
    </row>
    <row r="423" spans="1:16" s="189" customFormat="1" ht="13.5">
      <c r="C423" s="709"/>
      <c r="D423" s="624"/>
      <c r="E423" s="624"/>
      <c r="F423" s="624"/>
      <c r="G423" s="710" t="s">
        <v>1743</v>
      </c>
      <c r="H423" s="624"/>
      <c r="I423" s="708" t="s">
        <v>2550</v>
      </c>
      <c r="J423" s="624"/>
      <c r="K423" s="624"/>
      <c r="L423" s="624"/>
      <c r="M423" s="624"/>
      <c r="N423" s="695"/>
      <c r="O423" s="696"/>
      <c r="P423" s="696"/>
    </row>
    <row r="424" spans="1:16" s="189" customFormat="1" ht="13.5">
      <c r="C424" s="709"/>
      <c r="D424" s="624"/>
      <c r="E424" s="624"/>
      <c r="F424" s="624"/>
      <c r="G424" s="710" t="s">
        <v>2476</v>
      </c>
      <c r="H424" s="624"/>
      <c r="I424" s="708" t="s">
        <v>2552</v>
      </c>
      <c r="J424" s="624"/>
      <c r="K424" s="624"/>
      <c r="L424" s="624"/>
      <c r="M424" s="624"/>
      <c r="N424" s="695"/>
      <c r="O424" s="696"/>
      <c r="P424" s="696"/>
    </row>
    <row r="425" spans="1:16" s="189" customFormat="1" ht="13.5">
      <c r="C425" s="624"/>
      <c r="D425" s="624"/>
      <c r="E425" s="624"/>
      <c r="F425" s="624"/>
      <c r="G425" s="710" t="s">
        <v>2401</v>
      </c>
      <c r="H425" s="624"/>
      <c r="I425" s="624"/>
      <c r="J425" s="624"/>
      <c r="K425" s="624"/>
      <c r="L425" s="624"/>
      <c r="M425" s="624"/>
      <c r="N425" s="695"/>
      <c r="O425" s="696"/>
      <c r="P425" s="696"/>
    </row>
    <row r="426" spans="1:16" s="189" customFormat="1" ht="13.5">
      <c r="C426" s="624"/>
      <c r="D426" s="624"/>
      <c r="E426" s="624"/>
      <c r="F426" s="624"/>
      <c r="G426" s="710" t="s">
        <v>1806</v>
      </c>
      <c r="H426" s="624"/>
      <c r="I426" s="624"/>
      <c r="J426" s="624"/>
      <c r="K426" s="624"/>
      <c r="L426" s="624"/>
      <c r="M426" s="624"/>
      <c r="N426" s="695"/>
      <c r="O426" s="696"/>
      <c r="P426" s="696"/>
    </row>
    <row r="427" spans="1:16" s="189" customFormat="1" ht="13.5">
      <c r="C427" s="624"/>
      <c r="D427" s="624"/>
      <c r="E427" s="624"/>
      <c r="F427" s="624"/>
      <c r="G427" s="710" t="s">
        <v>1811</v>
      </c>
      <c r="H427" s="624"/>
      <c r="I427" s="624"/>
      <c r="J427" s="624"/>
      <c r="K427" s="624"/>
      <c r="L427" s="624"/>
      <c r="M427" s="624"/>
      <c r="N427" s="695"/>
      <c r="O427" s="696"/>
      <c r="P427" s="696"/>
    </row>
    <row r="428" spans="1:16" s="189" customFormat="1" ht="13.5">
      <c r="C428" s="624"/>
      <c r="D428" s="624"/>
      <c r="E428" s="624"/>
      <c r="F428" s="624"/>
      <c r="G428" s="710" t="s">
        <v>1814</v>
      </c>
      <c r="H428" s="624"/>
      <c r="I428" s="624"/>
      <c r="J428" s="624"/>
      <c r="K428" s="624"/>
      <c r="L428" s="624"/>
      <c r="M428" s="624"/>
      <c r="N428" s="695"/>
      <c r="O428" s="696"/>
      <c r="P428" s="696"/>
    </row>
    <row r="429" spans="1:16" s="189" customFormat="1">
      <c r="C429" s="624"/>
      <c r="D429" s="624"/>
      <c r="E429" s="624"/>
      <c r="F429" s="624"/>
      <c r="G429" s="626" t="s">
        <v>1819</v>
      </c>
      <c r="H429" s="624"/>
      <c r="I429" s="624"/>
      <c r="J429" s="624"/>
      <c r="K429" s="624"/>
      <c r="L429" s="624"/>
      <c r="M429" s="624"/>
      <c r="N429" s="695"/>
      <c r="O429" s="696"/>
      <c r="P429" s="696"/>
    </row>
    <row r="430" spans="1:16" s="189" customFormat="1">
      <c r="C430" s="624"/>
      <c r="D430" s="624"/>
      <c r="E430" s="624"/>
      <c r="F430" s="624"/>
      <c r="G430" s="626" t="s">
        <v>109</v>
      </c>
      <c r="H430" s="624"/>
      <c r="I430" s="624"/>
      <c r="J430" s="624"/>
      <c r="K430" s="624"/>
      <c r="L430" s="624"/>
      <c r="M430" s="624"/>
      <c r="N430" s="695"/>
      <c r="O430" s="696"/>
      <c r="P430" s="696"/>
    </row>
    <row r="431" spans="1:16">
      <c r="A431" s="189"/>
      <c r="B431" s="189"/>
      <c r="C431" s="624"/>
      <c r="D431" s="624"/>
      <c r="E431" s="624"/>
      <c r="F431" s="624"/>
      <c r="G431" s="626" t="s">
        <v>312</v>
      </c>
      <c r="H431" s="624"/>
      <c r="I431" s="624"/>
      <c r="J431" s="624"/>
      <c r="K431" s="624"/>
      <c r="L431" s="624"/>
      <c r="M431" s="624"/>
      <c r="N431" s="695"/>
      <c r="O431" s="696"/>
      <c r="P431" s="696"/>
    </row>
    <row r="432" spans="1:16">
      <c r="A432" s="189"/>
      <c r="B432" s="189"/>
      <c r="C432" s="624"/>
      <c r="D432" s="624"/>
      <c r="E432" s="624"/>
      <c r="F432" s="624"/>
      <c r="G432" s="626" t="s">
        <v>313</v>
      </c>
      <c r="H432" s="624"/>
      <c r="I432" s="624"/>
      <c r="J432" s="624"/>
      <c r="K432" s="624"/>
      <c r="L432" s="624"/>
      <c r="M432" s="624"/>
      <c r="N432" s="695"/>
      <c r="O432" s="696"/>
      <c r="P432" s="696"/>
    </row>
    <row r="433" spans="3:16">
      <c r="C433" s="624"/>
      <c r="D433" s="624"/>
      <c r="E433" s="624"/>
      <c r="F433" s="624"/>
      <c r="G433" s="626" t="s">
        <v>1642</v>
      </c>
      <c r="H433" s="624"/>
      <c r="I433" s="624"/>
      <c r="J433" s="624"/>
      <c r="K433" s="624"/>
      <c r="L433" s="624"/>
      <c r="M433" s="624"/>
      <c r="N433" s="695"/>
      <c r="O433" s="696"/>
      <c r="P433" s="696"/>
    </row>
    <row r="434" spans="3:16">
      <c r="C434" s="624"/>
      <c r="D434" s="624"/>
      <c r="E434" s="624"/>
      <c r="F434" s="624"/>
      <c r="G434" s="624"/>
      <c r="H434" s="624"/>
      <c r="I434" s="624"/>
      <c r="J434" s="624"/>
      <c r="K434" s="624"/>
      <c r="L434" s="624"/>
      <c r="M434" s="624"/>
      <c r="N434" s="695"/>
      <c r="O434" s="696"/>
      <c r="P434" s="696"/>
    </row>
    <row r="435" spans="3:16">
      <c r="C435" s="624"/>
      <c r="D435" s="624"/>
      <c r="E435" s="624"/>
      <c r="F435" s="624"/>
      <c r="G435" s="624"/>
      <c r="H435" s="624"/>
      <c r="I435" s="624"/>
      <c r="J435" s="624"/>
      <c r="K435" s="624"/>
      <c r="L435" s="624"/>
      <c r="M435" s="624"/>
      <c r="N435" s="695"/>
      <c r="O435" s="696"/>
      <c r="P435" s="696"/>
    </row>
    <row r="436" spans="3:16">
      <c r="G436" s="189"/>
    </row>
    <row r="437" spans="3:16">
      <c r="G437" s="144"/>
    </row>
    <row r="438" spans="3:16">
      <c r="G438" s="144"/>
    </row>
  </sheetData>
  <sheetProtection password="ACD2" sheet="1" objects="1" scenarios="1" formatColumns="0" formatRows="0"/>
  <mergeCells count="214">
    <mergeCell ref="H235:K235"/>
    <mergeCell ref="A250:P250"/>
    <mergeCell ref="C233:M233"/>
    <mergeCell ref="D253:E253"/>
    <mergeCell ref="B246:L246"/>
    <mergeCell ref="O258:O259"/>
    <mergeCell ref="B277:N277"/>
    <mergeCell ref="M303:N303"/>
    <mergeCell ref="O303:O307"/>
    <mergeCell ref="M304:N304"/>
    <mergeCell ref="M305:N305"/>
    <mergeCell ref="M306:N306"/>
    <mergeCell ref="M307:N307"/>
    <mergeCell ref="E282:F282"/>
    <mergeCell ref="B282:D282"/>
    <mergeCell ref="M282:P282"/>
    <mergeCell ref="M290:N290"/>
    <mergeCell ref="O290:O294"/>
    <mergeCell ref="M291:N291"/>
    <mergeCell ref="M292:N292"/>
    <mergeCell ref="M293:N293"/>
    <mergeCell ref="M294:N294"/>
    <mergeCell ref="M297:N297"/>
    <mergeCell ref="O297:O301"/>
    <mergeCell ref="M298:N298"/>
    <mergeCell ref="M299:N299"/>
    <mergeCell ref="M300:N300"/>
    <mergeCell ref="M301:N301"/>
    <mergeCell ref="P297:P301"/>
    <mergeCell ref="E296:F296"/>
    <mergeCell ref="I194:J194"/>
    <mergeCell ref="I193:J193"/>
    <mergeCell ref="I191:J191"/>
    <mergeCell ref="I206:J206"/>
    <mergeCell ref="I200:J200"/>
    <mergeCell ref="I201:J201"/>
    <mergeCell ref="K280:O280"/>
    <mergeCell ref="C256:L256"/>
    <mergeCell ref="C255:L255"/>
    <mergeCell ref="C261:L261"/>
    <mergeCell ref="C263:L263"/>
    <mergeCell ref="C264:L264"/>
    <mergeCell ref="C266:L266"/>
    <mergeCell ref="C267:L267"/>
    <mergeCell ref="I205:J205"/>
    <mergeCell ref="A248:P248"/>
    <mergeCell ref="P263:P264"/>
    <mergeCell ref="F253:G253"/>
    <mergeCell ref="A350:P350"/>
    <mergeCell ref="A136:P136"/>
    <mergeCell ref="A138:P138"/>
    <mergeCell ref="B142:N142"/>
    <mergeCell ref="A272:P272"/>
    <mergeCell ref="A274:P274"/>
    <mergeCell ref="I198:J198"/>
    <mergeCell ref="A237:P237"/>
    <mergeCell ref="A239:P239"/>
    <mergeCell ref="I192:J192"/>
    <mergeCell ref="M210:N210"/>
    <mergeCell ref="A348:P348"/>
    <mergeCell ref="I195:J195"/>
    <mergeCell ref="I196:J196"/>
    <mergeCell ref="I197:J197"/>
    <mergeCell ref="E212:P212"/>
    <mergeCell ref="A228:P228"/>
    <mergeCell ref="I199:J199"/>
    <mergeCell ref="C259:L259"/>
    <mergeCell ref="P266:P267"/>
    <mergeCell ref="O266:O267"/>
    <mergeCell ref="B224:L224"/>
    <mergeCell ref="I210:J210"/>
    <mergeCell ref="C258:L258"/>
    <mergeCell ref="O263:O264"/>
    <mergeCell ref="E211:J211"/>
    <mergeCell ref="I202:J202"/>
    <mergeCell ref="I203:J203"/>
    <mergeCell ref="P255:P256"/>
    <mergeCell ref="O255:O256"/>
    <mergeCell ref="B143:N143"/>
    <mergeCell ref="H101:I101"/>
    <mergeCell ref="J171:P171"/>
    <mergeCell ref="H104:I104"/>
    <mergeCell ref="L104:M104"/>
    <mergeCell ref="A121:P121"/>
    <mergeCell ref="A123:P123"/>
    <mergeCell ref="A181:I181"/>
    <mergeCell ref="J181:P181"/>
    <mergeCell ref="B119:L119"/>
    <mergeCell ref="L106:M106"/>
    <mergeCell ref="K128:M128"/>
    <mergeCell ref="C127:L127"/>
    <mergeCell ref="A146:P146"/>
    <mergeCell ref="A171:I171"/>
    <mergeCell ref="A156:P156"/>
    <mergeCell ref="A154:P154"/>
    <mergeCell ref="B169:M169"/>
    <mergeCell ref="J175:L175"/>
    <mergeCell ref="A148:P148"/>
    <mergeCell ref="G25:J25"/>
    <mergeCell ref="L25:O25"/>
    <mergeCell ref="L17:O17"/>
    <mergeCell ref="L18:O18"/>
    <mergeCell ref="A22:E22"/>
    <mergeCell ref="A23:E23"/>
    <mergeCell ref="J98:L98"/>
    <mergeCell ref="H103:I103"/>
    <mergeCell ref="I99:P99"/>
    <mergeCell ref="L62:O62"/>
    <mergeCell ref="A65:P65"/>
    <mergeCell ref="O31:O32"/>
    <mergeCell ref="C73:L73"/>
    <mergeCell ref="G27:J27"/>
    <mergeCell ref="J69:L69"/>
    <mergeCell ref="A27:E27"/>
    <mergeCell ref="L27:O27"/>
    <mergeCell ref="A67:P67"/>
    <mergeCell ref="A85:P85"/>
    <mergeCell ref="L63:O63"/>
    <mergeCell ref="A25:E25"/>
    <mergeCell ref="A36:P36"/>
    <mergeCell ref="A59:P59"/>
    <mergeCell ref="B49:L49"/>
    <mergeCell ref="A45:P45"/>
    <mergeCell ref="A83:P83"/>
    <mergeCell ref="C75:L75"/>
    <mergeCell ref="A165:P165"/>
    <mergeCell ref="A163:P163"/>
    <mergeCell ref="L103:M103"/>
    <mergeCell ref="A94:P94"/>
    <mergeCell ref="A96:P96"/>
    <mergeCell ref="A26:E26"/>
    <mergeCell ref="G26:J26"/>
    <mergeCell ref="L26:O26"/>
    <mergeCell ref="A43:P43"/>
    <mergeCell ref="A57:P57"/>
    <mergeCell ref="H38:K40"/>
    <mergeCell ref="L28:O28"/>
    <mergeCell ref="G28:J28"/>
    <mergeCell ref="A34:P34"/>
    <mergeCell ref="K30:L30"/>
    <mergeCell ref="B50:L50"/>
    <mergeCell ref="A28:E28"/>
    <mergeCell ref="A1:P1"/>
    <mergeCell ref="G24:J24"/>
    <mergeCell ref="L21:O21"/>
    <mergeCell ref="A21:E21"/>
    <mergeCell ref="L20:O20"/>
    <mergeCell ref="G19:J19"/>
    <mergeCell ref="L22:O22"/>
    <mergeCell ref="G18:J18"/>
    <mergeCell ref="G17:J17"/>
    <mergeCell ref="A14:P14"/>
    <mergeCell ref="A17:E17"/>
    <mergeCell ref="A18:E18"/>
    <mergeCell ref="A19:E19"/>
    <mergeCell ref="A16:D16"/>
    <mergeCell ref="G16:I16"/>
    <mergeCell ref="A20:E20"/>
    <mergeCell ref="L24:O24"/>
    <mergeCell ref="G23:J23"/>
    <mergeCell ref="L23:O23"/>
    <mergeCell ref="A24:E24"/>
    <mergeCell ref="L19:O19"/>
    <mergeCell ref="G20:J20"/>
    <mergeCell ref="G21:J21"/>
    <mergeCell ref="G22:J22"/>
    <mergeCell ref="A342:P342"/>
    <mergeCell ref="I329:J329"/>
    <mergeCell ref="D337:K337"/>
    <mergeCell ref="D336:K336"/>
    <mergeCell ref="D335:K335"/>
    <mergeCell ref="A340:P340"/>
    <mergeCell ref="D280:G280"/>
    <mergeCell ref="M283:N283"/>
    <mergeCell ref="M284:N284"/>
    <mergeCell ref="M285:N285"/>
    <mergeCell ref="M286:N286"/>
    <mergeCell ref="M287:N287"/>
    <mergeCell ref="M288:N288"/>
    <mergeCell ref="O284:O288"/>
    <mergeCell ref="I296:J296"/>
    <mergeCell ref="I282:J282"/>
    <mergeCell ref="M312:N312"/>
    <mergeCell ref="K330:M330"/>
    <mergeCell ref="A322:P322"/>
    <mergeCell ref="M313:N313"/>
    <mergeCell ref="M314:N314"/>
    <mergeCell ref="K333:M333"/>
    <mergeCell ref="A324:P324"/>
    <mergeCell ref="E309:F309"/>
    <mergeCell ref="L211:N211"/>
    <mergeCell ref="A226:P226"/>
    <mergeCell ref="A214:P214"/>
    <mergeCell ref="K332:M332"/>
    <mergeCell ref="K331:M331"/>
    <mergeCell ref="K329:M329"/>
    <mergeCell ref="K328:M328"/>
    <mergeCell ref="M310:N310"/>
    <mergeCell ref="O310:O314"/>
    <mergeCell ref="M311:N311"/>
    <mergeCell ref="I309:J309"/>
    <mergeCell ref="M316:N316"/>
    <mergeCell ref="O316:O320"/>
    <mergeCell ref="M317:N317"/>
    <mergeCell ref="M318:N318"/>
    <mergeCell ref="M319:N319"/>
    <mergeCell ref="M320:N320"/>
    <mergeCell ref="C269:L269"/>
    <mergeCell ref="B220:L220"/>
    <mergeCell ref="A216:P216"/>
    <mergeCell ref="C232:M232"/>
    <mergeCell ref="E242:H242"/>
    <mergeCell ref="P258:P259"/>
    <mergeCell ref="P303:P307"/>
  </mergeCells>
  <phoneticPr fontId="6" type="noConversion"/>
  <conditionalFormatting sqref="L344 N328:N330 M334 O328:P328 R327:R338 M327 R277:R279 F281 L235:N235 N246 R241 R235 R232 L231 F279 R53:R55 Q49:Q55 R218:R219 L218 K210:M210 I206 L206 M203:P203 R209 R192:R203 L192:L202 L173 R169 N167:N168 N173 O168:P168 R160:R161 R151:R152 L140 N140 R100 N69 R40:R41 R30 N61 R222:R223">
    <cfRule type="cellIs" dxfId="12" priority="31" stopIfTrue="1" operator="equal">
      <formula>"* * Check Score! * *"</formula>
    </cfRule>
  </conditionalFormatting>
  <conditionalFormatting sqref="O276">
    <cfRule type="cellIs" dxfId="11" priority="13" operator="greaterThan">
      <formula>M276</formula>
    </cfRule>
  </conditionalFormatting>
  <conditionalFormatting sqref="F99:F100">
    <cfRule type="expression" dxfId="10" priority="10">
      <formula>AND($O$87&gt;0,$O$87&lt;4,OR($I$87="Statutory Redevelopment Plan",$I$87="Redevelopment Zone",$I$87="Local Redevelopment Plan"))</formula>
    </cfRule>
  </conditionalFormatting>
  <conditionalFormatting sqref="O326:O327">
    <cfRule type="cellIs" dxfId="9" priority="8" operator="greaterThan">
      <formula>M326</formula>
    </cfRule>
  </conditionalFormatting>
  <dataValidations count="22">
    <dataValidation type="list" allowBlank="1" showInputMessage="1" showErrorMessage="1" sqref="P343 P172 L151:L152 P157 O277:P277 P270 P229 P251 P240 P268 P265 P262 P260 P257 P275 P325 O345:P345 P351">
      <formula1>"Yes, No"</formula1>
    </dataValidation>
    <dataValidation allowBlank="1" showErrorMessage="1" errorTitle=" Optional Physical Improvements" error="Please select the appropriate optional physical improvement  from the list provided by the drop-down arrow on the right-hand side of the cell." promptTitle=" Optional Physical Improvements" prompt="Please select the appropriate optional physical improvement from the list provided by the drop-down arrow on the right-hand side of the cell." sqref="C373:C378 C368:C369"/>
    <dataValidation type="list" allowBlank="1" showInputMessage="1" showErrorMessage="1" sqref="G331">
      <formula1>"60%,50%"</formula1>
    </dataValidation>
    <dataValidation type="list" allowBlank="1" showInputMessage="1" showErrorMessage="1" sqref="O255:P256">
      <formula1>"6,5"</formula1>
    </dataValidation>
    <dataValidation type="list" allowBlank="1" showInputMessage="1" showErrorMessage="1" sqref="O258:P259">
      <formula1>"4,2"</formula1>
    </dataValidation>
    <dataValidation type="list" allowBlank="1" showInputMessage="1" showErrorMessage="1" sqref="O261:P261">
      <formula1>"1"</formula1>
    </dataValidation>
    <dataValidation type="list" allowBlank="1" showInputMessage="1" showErrorMessage="1" sqref="O263:P264">
      <formula1>"2,1"</formula1>
    </dataValidation>
    <dataValidation type="list" allowBlank="1" showInputMessage="1" showErrorMessage="1" sqref="O266:P267">
      <formula1>"3,1"</formula1>
    </dataValidation>
    <dataValidation type="list" allowBlank="1" showInputMessage="1" showErrorMessage="1" sqref="O269:P269">
      <formula1>"2"</formula1>
    </dataValidation>
    <dataValidation type="list" allowBlank="1" showInputMessage="1" showErrorMessage="1" sqref="E242">
      <formula1>"&lt;&lt;Select applicable status&gt;&gt;,Adaptive reuse of a certified historic structure,Preliminary determination of National Register listing"</formula1>
    </dataValidation>
    <dataValidation type="list" allowBlank="1" showInputMessage="1" showErrorMessage="1" errorTitle="Optional Elderly Services " error="Please select the appropriate optional service  from the list provided by the drop-down arrow on the right-hand side of the cell." promptTitle=" Optional Elderly Services" prompt="Please select the appropriate optional service from the list provided by the drop-down arrow on the right-hand side of the cell." sqref="F241">
      <formula1>$E$995:$E$1015</formula1>
    </dataValidation>
    <dataValidation type="list" allowBlank="1" showInputMessage="1" showErrorMessage="1" sqref="H235">
      <formula1>"&lt;&lt;Select applicable documentation&gt;&gt;,PHA Administrative Plan allowing for preference,HUD approval documentation of proposed preference"</formula1>
    </dataValidation>
    <dataValidation type="list" allowBlank="1" showInputMessage="1" showErrorMessage="1" sqref="O232:P232">
      <formula1>"Agree, Disagree"</formula1>
    </dataValidation>
    <dataValidation type="list" allowBlank="1" showInputMessage="1" showErrorMessage="1" sqref="O233:P233 O127:P127 O192:P202 O185:P189 O208:P208 O219:P220 O175:P178 P142:P144 O160:P161 O75:P75 O73:P73 O71:P71 O107:P115 O78:P81 O89:P89 O105:P105 O102:P103 O100:P100 O117:P117 O119:P119 O129:P131 O223:P224">
      <formula1>"Yes, No, N/a"</formula1>
    </dataValidation>
    <dataValidation type="list" allowBlank="1" showInputMessage="1" showErrorMessage="1" sqref="L211:N211">
      <formula1>"&lt;Select unrelated 3rd party type&gt;, Foundation, Trust, Government"</formula1>
    </dataValidation>
    <dataValidation type="list" allowBlank="1" showInputMessage="1" showErrorMessage="1" sqref="J175:L175">
      <formula1>$G$383:$G$433</formula1>
    </dataValidation>
    <dataValidation type="list" allowBlank="1" showInputMessage="1" showErrorMessage="1" sqref="L133">
      <formula1>"&lt;Select&gt;,5,4"</formula1>
    </dataValidation>
    <dataValidation type="list" allowBlank="1" showInputMessage="1" showErrorMessage="1" sqref="L104:M104">
      <formula1>"&lt;&lt;Select event type&gt;&gt;,Published local govt public mtg, Published onsite meeting, Published local public bldg mtg, Other (see comments)"</formula1>
    </dataValidation>
    <dataValidation type="list" allowBlank="1" showInputMessage="1" showErrorMessage="1" sqref="J98:L98">
      <formula1>$C$395:$C$400</formula1>
    </dataValidation>
    <dataValidation type="list" allowBlank="1" showInputMessage="1" showErrorMessage="1" sqref="L91">
      <formula1>"Upper, Middle"</formula1>
    </dataValidation>
    <dataValidation type="list" allowBlank="1" showInputMessage="1" showErrorMessage="1" sqref="D90">
      <formula1>"&lt; Select &gt;,5%, 10%, 15%, 20%"</formula1>
    </dataValidation>
    <dataValidation type="list" allowBlank="1" showInputMessage="1" showErrorMessage="1" sqref="J69:L69">
      <formula1>"&lt;Select a Sustainable Development Certification&gt;,Earth Craft Communities,Earth Craft House Multifamily,Earth Craft House Single Family,Earth Craft House Renovation,LEED-ND,LEED for Homes,EF Green Communities, NAHB Natl Green Bdlg Stds, EnergyStar v3"</formula1>
    </dataValidation>
  </dataValidations>
  <printOptions horizontalCentered="1"/>
  <pageMargins left="0.25" right="0.25" top="0.7" bottom="0.4" header="0.5" footer="0.25"/>
  <pageSetup fitToHeight="0" orientation="landscape" r:id="rId1"/>
  <headerFooter alignWithMargins="0">
    <oddHeader>&amp;L&amp;11Georgia Department of Community Affairs&amp;C&amp;11 2014 Funding Application&amp;R&amp;11Housing Finance and Development Division</oddHeader>
    <oddFooter>&amp;L&amp;"Arial Narrow,Regular"&amp;G &amp;F&amp;C&amp;"Arial Narrow,Regular"&amp;A&amp;R&amp;"Arial Narrow,Regular"&amp;P of &amp;N</oddFooter>
  </headerFooter>
  <rowBreaks count="8" manualBreakCount="8">
    <brk id="37" max="16383" man="1"/>
    <brk id="68" max="16383" man="1"/>
    <brk id="97" max="16383" man="1"/>
    <brk id="172" max="16383" man="1"/>
    <brk id="217" max="16383" man="1"/>
    <brk id="251" max="16383" man="1"/>
    <brk id="275" max="16383" man="1"/>
    <brk id="325" max="16383" man="1"/>
  </rowBreaks>
  <legacyDrawingHF r:id="rId2"/>
</worksheet>
</file>

<file path=xl/worksheets/sheet13.xml><?xml version="1.0" encoding="utf-8"?>
<worksheet xmlns="http://schemas.openxmlformats.org/spreadsheetml/2006/main" xmlns:r="http://schemas.openxmlformats.org/officeDocument/2006/relationships">
  <sheetPr codeName="Sheet2"/>
  <dimension ref="A1:F25"/>
  <sheetViews>
    <sheetView showGridLines="0" workbookViewId="0">
      <selection sqref="A1:XFD1048576"/>
    </sheetView>
  </sheetViews>
  <sheetFormatPr defaultRowHeight="12.75"/>
  <cols>
    <col min="1" max="1" width="88.42578125" style="31" customWidth="1"/>
    <col min="2" max="16384" width="9.140625" style="31"/>
  </cols>
  <sheetData>
    <row r="1" spans="1:6" ht="15.75">
      <c r="A1" s="1222" t="s">
        <v>3347</v>
      </c>
    </row>
    <row r="2" spans="1:6" ht="16.5">
      <c r="A2" s="1223" t="str">
        <f>'Part I-Project Information'!F23</f>
        <v>Highland Estates</v>
      </c>
    </row>
    <row r="3" spans="1:6" ht="16.5">
      <c r="A3" s="1223" t="str">
        <f>CONCATENATE('Part I-Project Information'!F27,", ", 'Part I-Project Information'!J28," County")</f>
        <v>Rome, Floyd County</v>
      </c>
    </row>
    <row r="4" spans="1:6" ht="16.5">
      <c r="A4" s="1339" t="str">
        <f>IF('Part IX A-Scoring Criteria'!$O$219="Yes",CONCATENATE("Part A - ",'Part IX A-Scoring Criteria'!$B$219),IF('Part IX A-Scoring Criteria'!$O$223="Yes",CONCATENATE("Part B - ",'Part IX A-Scoring Criteria'!$B$222),""))</f>
        <v/>
      </c>
    </row>
    <row r="5" spans="1:6" ht="6.75" customHeight="1"/>
    <row r="6" spans="1:6" ht="113.25" customHeight="1">
      <c r="A6" s="1353" t="s">
        <v>2910</v>
      </c>
      <c r="B6" s="2113" t="s">
        <v>2911</v>
      </c>
      <c r="C6" s="1352"/>
      <c r="D6" s="1352"/>
      <c r="E6" s="1352"/>
      <c r="F6" s="1352"/>
    </row>
    <row r="7" spans="1:6" ht="6.6" customHeight="1">
      <c r="A7" s="1353"/>
      <c r="B7" s="2113"/>
      <c r="C7" s="1352"/>
      <c r="D7" s="1352"/>
      <c r="E7" s="1352"/>
      <c r="F7" s="1352"/>
    </row>
    <row r="8" spans="1:6" ht="134.25" customHeight="1">
      <c r="A8" s="1353"/>
      <c r="C8" s="1340"/>
    </row>
    <row r="9" spans="1:6" ht="6.6" customHeight="1">
      <c r="A9" s="1353"/>
    </row>
    <row r="10" spans="1:6" ht="111" customHeight="1">
      <c r="A10" s="1353"/>
    </row>
    <row r="11" spans="1:6" ht="6.6" customHeight="1">
      <c r="A11" s="1353"/>
    </row>
    <row r="12" spans="1:6" ht="111" customHeight="1">
      <c r="A12" s="1353"/>
    </row>
    <row r="13" spans="1:6" ht="6.6" customHeight="1">
      <c r="A13" s="1353"/>
    </row>
    <row r="14" spans="1:6" ht="111" customHeight="1">
      <c r="A14" s="1353"/>
    </row>
    <row r="15" spans="1:6" ht="6.6" customHeight="1">
      <c r="A15" s="1353"/>
    </row>
    <row r="16" spans="1:6" ht="111" customHeight="1">
      <c r="A16" s="1353"/>
    </row>
    <row r="17" spans="1:1" ht="6.6" customHeight="1">
      <c r="A17" s="1353"/>
    </row>
    <row r="18" spans="1:1" ht="111" customHeight="1">
      <c r="A18" s="1353"/>
    </row>
    <row r="19" spans="1:1" ht="6.6" customHeight="1">
      <c r="A19" s="1353"/>
    </row>
    <row r="20" spans="1:1" ht="105.75" customHeight="1">
      <c r="A20" s="1353"/>
    </row>
    <row r="21" spans="1:1" ht="6.6" customHeight="1">
      <c r="A21" s="1353"/>
    </row>
    <row r="22" spans="1:1" ht="105.75" customHeight="1">
      <c r="A22" s="1353"/>
    </row>
    <row r="23" spans="1:1" ht="6.6" customHeight="1">
      <c r="A23" s="1353"/>
    </row>
    <row r="24" spans="1:1" ht="105.75" customHeight="1">
      <c r="A24" s="1353"/>
    </row>
    <row r="25" spans="1:1" ht="6.6" customHeight="1">
      <c r="A25" s="1341"/>
    </row>
  </sheetData>
  <sheetProtection password="ACD2" sheet="1" objects="1" scenarios="1"/>
  <mergeCells count="2">
    <mergeCell ref="A6:A24"/>
    <mergeCell ref="B6:F7"/>
  </mergeCells>
  <printOptions horizontalCentered="1"/>
  <pageMargins left="0.7" right="0.7" top="0.5" bottom="0.5" header="0.3" footer="0.3"/>
  <pageSetup orientation="portrait" r:id="rId1"/>
  <headerFooter>
    <oddHeader>&amp;L&amp;8Georgia Department of Community Affairs&amp;R&amp;8Housing Finance and Development Division</oddHeader>
    <oddFooter>&amp;C&amp;8&amp;F&amp;R&amp;8&amp;P of &amp;N</oddFooter>
  </headerFooter>
</worksheet>
</file>

<file path=xl/worksheets/sheet14.xml><?xml version="1.0" encoding="utf-8"?>
<worksheet xmlns="http://schemas.openxmlformats.org/spreadsheetml/2006/main" xmlns:r="http://schemas.openxmlformats.org/officeDocument/2006/relationships">
  <sheetPr codeName="Sheet13"/>
  <dimension ref="A1:Z58"/>
  <sheetViews>
    <sheetView showGridLines="0" workbookViewId="0">
      <selection sqref="A1:XFD1048576"/>
    </sheetView>
  </sheetViews>
  <sheetFormatPr defaultColWidth="8.85546875" defaultRowHeight="15.75"/>
  <cols>
    <col min="1" max="1" width="2.28515625" style="1342" customWidth="1"/>
    <col min="2" max="12" width="7.28515625" style="1342" customWidth="1"/>
    <col min="13" max="13" width="8.7109375" style="1342" customWidth="1"/>
    <col min="14" max="15" width="5.85546875" style="1342" customWidth="1"/>
    <col min="16" max="16384" width="8.85546875" style="1342"/>
  </cols>
  <sheetData>
    <row r="1" spans="1:26" ht="19.5">
      <c r="N1" s="1343" t="s">
        <v>1592</v>
      </c>
      <c r="O1" s="1343"/>
      <c r="P1" s="1343"/>
      <c r="Q1" s="1343"/>
      <c r="R1" s="1343"/>
      <c r="S1" s="1343"/>
      <c r="T1" s="1343"/>
      <c r="U1" s="1343"/>
      <c r="V1" s="1343"/>
      <c r="W1" s="1343"/>
      <c r="X1" s="1343"/>
      <c r="Y1" s="1343"/>
      <c r="Z1" s="1343"/>
    </row>
    <row r="3" spans="1:26">
      <c r="N3" s="1344" t="s">
        <v>1593</v>
      </c>
      <c r="O3" s="1344"/>
      <c r="P3" s="1344"/>
      <c r="Q3" s="1344"/>
      <c r="R3" s="1344"/>
      <c r="S3" s="1344"/>
      <c r="T3" s="1344"/>
      <c r="U3" s="1344"/>
      <c r="V3" s="1344"/>
      <c r="W3" s="1344"/>
      <c r="X3" s="1344"/>
      <c r="Y3" s="1344"/>
      <c r="Z3" s="1344"/>
    </row>
    <row r="4" spans="1:26">
      <c r="N4" s="1345" t="s">
        <v>1594</v>
      </c>
      <c r="O4" s="1345"/>
      <c r="P4" s="1345"/>
      <c r="Q4" s="1345"/>
      <c r="R4" s="1345"/>
      <c r="S4" s="1345"/>
      <c r="T4" s="1345"/>
      <c r="U4" s="1345"/>
      <c r="V4" s="1345"/>
      <c r="W4" s="1345"/>
      <c r="X4" s="1345"/>
      <c r="Y4" s="1345"/>
      <c r="Z4" s="1345"/>
    </row>
    <row r="6" spans="1:26">
      <c r="B6" s="1346"/>
      <c r="C6" s="1346"/>
      <c r="D6" s="1346"/>
      <c r="E6" s="1346"/>
      <c r="F6" s="1346"/>
      <c r="G6" s="1346"/>
      <c r="H6" s="1346"/>
      <c r="I6" s="1346"/>
      <c r="J6" s="1346"/>
      <c r="K6" s="1346"/>
      <c r="L6" s="1346"/>
      <c r="M6" s="1346"/>
      <c r="N6" s="1347" t="s">
        <v>744</v>
      </c>
    </row>
    <row r="7" spans="1:26" ht="57" customHeight="1">
      <c r="A7" s="2120" t="s">
        <v>3007</v>
      </c>
      <c r="B7" s="2120"/>
      <c r="C7" s="2120"/>
      <c r="D7" s="2120"/>
      <c r="E7" s="2120"/>
      <c r="F7" s="2120"/>
      <c r="G7" s="2120"/>
      <c r="H7" s="2120"/>
      <c r="I7" s="2120"/>
      <c r="J7" s="2120"/>
      <c r="K7" s="2120"/>
      <c r="L7" s="2120"/>
      <c r="M7" s="2120"/>
    </row>
    <row r="8" spans="1:26" ht="11.45" customHeight="1">
      <c r="A8" s="1346"/>
      <c r="B8" s="1346"/>
      <c r="C8" s="1346"/>
      <c r="D8" s="1346"/>
      <c r="E8" s="1346"/>
      <c r="F8" s="1346"/>
      <c r="G8" s="1346"/>
      <c r="H8" s="1346"/>
      <c r="I8" s="1346"/>
      <c r="J8" s="1346"/>
      <c r="K8" s="1346"/>
      <c r="L8" s="1346"/>
      <c r="M8" s="1346"/>
    </row>
    <row r="9" spans="1:26">
      <c r="A9" s="1346" t="s">
        <v>749</v>
      </c>
      <c r="B9" s="1346"/>
      <c r="C9" s="1346"/>
      <c r="D9" s="1346"/>
      <c r="E9" s="1346"/>
      <c r="F9" s="1346"/>
      <c r="G9" s="1346"/>
      <c r="H9" s="1346"/>
      <c r="I9" s="1346"/>
      <c r="J9" s="1346"/>
      <c r="K9" s="1346"/>
      <c r="L9" s="1346"/>
      <c r="M9" s="1346"/>
    </row>
    <row r="10" spans="1:26" ht="11.45" customHeight="1">
      <c r="A10" s="1346"/>
      <c r="B10" s="1346"/>
      <c r="C10" s="1346"/>
      <c r="D10" s="1346"/>
      <c r="E10" s="1346"/>
      <c r="F10" s="1346"/>
      <c r="G10" s="1346"/>
      <c r="H10" s="1346"/>
      <c r="I10" s="1346"/>
      <c r="J10" s="1346"/>
      <c r="K10" s="1346"/>
      <c r="L10" s="1346"/>
      <c r="M10" s="1346"/>
    </row>
    <row r="11" spans="1:26">
      <c r="A11" s="2116" t="s">
        <v>2031</v>
      </c>
      <c r="B11" s="2116"/>
      <c r="C11" s="2116"/>
      <c r="D11" s="2116"/>
      <c r="E11" s="2116"/>
      <c r="F11" s="2116"/>
      <c r="G11" s="2116"/>
      <c r="H11" s="2116"/>
      <c r="I11" s="2116"/>
      <c r="J11" s="2116"/>
      <c r="K11" s="2116"/>
      <c r="L11" s="2116"/>
      <c r="M11" s="2116"/>
    </row>
    <row r="12" spans="1:26" ht="6.75" customHeight="1">
      <c r="A12" s="2116"/>
      <c r="B12" s="2116"/>
      <c r="C12" s="2116"/>
      <c r="D12" s="2116"/>
      <c r="E12" s="2116"/>
      <c r="F12" s="2116"/>
      <c r="G12" s="2116"/>
      <c r="H12" s="2116"/>
      <c r="I12" s="2116"/>
      <c r="J12" s="2116"/>
      <c r="K12" s="2116"/>
      <c r="L12" s="2116"/>
      <c r="M12" s="2116"/>
    </row>
    <row r="13" spans="1:26" ht="44.25" customHeight="1">
      <c r="A13" s="2121" t="s">
        <v>3206</v>
      </c>
      <c r="B13" s="2121"/>
      <c r="C13" s="2121"/>
      <c r="D13" s="2121"/>
      <c r="E13" s="2121"/>
      <c r="F13" s="2121"/>
      <c r="G13" s="2121"/>
      <c r="H13" s="2121"/>
      <c r="I13" s="2121"/>
      <c r="J13" s="2121"/>
      <c r="K13" s="2121"/>
      <c r="L13" s="2121"/>
      <c r="M13" s="2121"/>
    </row>
    <row r="14" spans="1:26" ht="3" customHeight="1">
      <c r="A14" s="2116"/>
      <c r="B14" s="2116"/>
      <c r="C14" s="2116"/>
      <c r="D14" s="2116"/>
      <c r="E14" s="2116"/>
      <c r="F14" s="2116"/>
      <c r="G14" s="2116"/>
      <c r="H14" s="2116"/>
      <c r="I14" s="2116"/>
      <c r="J14" s="2116"/>
      <c r="K14" s="2116"/>
      <c r="L14" s="2116"/>
      <c r="M14" s="2116"/>
    </row>
    <row r="15" spans="1:26" ht="87.75" customHeight="1">
      <c r="A15" s="1348" t="s">
        <v>1850</v>
      </c>
      <c r="B15" s="2115" t="s">
        <v>3008</v>
      </c>
      <c r="C15" s="2115"/>
      <c r="D15" s="2115"/>
      <c r="E15" s="2115"/>
      <c r="F15" s="2115"/>
      <c r="G15" s="2115"/>
      <c r="H15" s="2115"/>
      <c r="I15" s="2115"/>
      <c r="J15" s="2115"/>
      <c r="K15" s="2115"/>
      <c r="L15" s="2115"/>
      <c r="M15" s="2115"/>
    </row>
    <row r="16" spans="1:26" ht="3" customHeight="1">
      <c r="A16" s="2116"/>
      <c r="B16" s="2116"/>
      <c r="C16" s="2116"/>
      <c r="D16" s="2116"/>
      <c r="E16" s="2116"/>
      <c r="F16" s="2116"/>
      <c r="G16" s="2116"/>
      <c r="H16" s="2116"/>
      <c r="I16" s="2116"/>
      <c r="J16" s="2116"/>
      <c r="K16" s="2116"/>
      <c r="L16" s="2116"/>
      <c r="M16" s="2116"/>
    </row>
    <row r="17" spans="1:13" ht="58.5" customHeight="1">
      <c r="A17" s="1348" t="s">
        <v>1851</v>
      </c>
      <c r="B17" s="2115" t="s">
        <v>3009</v>
      </c>
      <c r="C17" s="2115"/>
      <c r="D17" s="2115"/>
      <c r="E17" s="2115"/>
      <c r="F17" s="2115"/>
      <c r="G17" s="2115"/>
      <c r="H17" s="2115"/>
      <c r="I17" s="2115"/>
      <c r="J17" s="2115"/>
      <c r="K17" s="2115"/>
      <c r="L17" s="2115"/>
      <c r="M17" s="2115"/>
    </row>
    <row r="18" spans="1:13" ht="3" customHeight="1">
      <c r="A18" s="2116"/>
      <c r="B18" s="2116"/>
      <c r="C18" s="2116"/>
      <c r="D18" s="2116"/>
      <c r="E18" s="2116"/>
      <c r="F18" s="2116"/>
      <c r="G18" s="2116"/>
      <c r="H18" s="2116"/>
      <c r="I18" s="2116"/>
      <c r="J18" s="2116"/>
      <c r="K18" s="2116"/>
      <c r="L18" s="2116"/>
      <c r="M18" s="2116"/>
    </row>
    <row r="19" spans="1:13" ht="115.5" customHeight="1">
      <c r="A19" s="1348" t="s">
        <v>1852</v>
      </c>
      <c r="B19" s="2115" t="s">
        <v>680</v>
      </c>
      <c r="C19" s="2115"/>
      <c r="D19" s="2115"/>
      <c r="E19" s="2115"/>
      <c r="F19" s="2115"/>
      <c r="G19" s="2115"/>
      <c r="H19" s="2115"/>
      <c r="I19" s="2115"/>
      <c r="J19" s="2115"/>
      <c r="K19" s="2115"/>
      <c r="L19" s="2115"/>
      <c r="M19" s="2115"/>
    </row>
    <row r="20" spans="1:13" ht="3" customHeight="1">
      <c r="A20" s="2116"/>
      <c r="B20" s="2116"/>
      <c r="C20" s="2116"/>
      <c r="D20" s="2116"/>
      <c r="E20" s="2116"/>
      <c r="F20" s="2116"/>
      <c r="G20" s="2116"/>
      <c r="H20" s="2116"/>
      <c r="I20" s="2116"/>
      <c r="J20" s="2116"/>
      <c r="K20" s="2116"/>
      <c r="L20" s="2116"/>
      <c r="M20" s="2116"/>
    </row>
    <row r="21" spans="1:13" ht="149.25" customHeight="1">
      <c r="A21" s="1348" t="s">
        <v>2511</v>
      </c>
      <c r="B21" s="2115" t="s">
        <v>3331</v>
      </c>
      <c r="C21" s="2115"/>
      <c r="D21" s="2115"/>
      <c r="E21" s="2115"/>
      <c r="F21" s="2115"/>
      <c r="G21" s="2115"/>
      <c r="H21" s="2115"/>
      <c r="I21" s="2115"/>
      <c r="J21" s="2115"/>
      <c r="K21" s="2115"/>
      <c r="L21" s="2115"/>
      <c r="M21" s="2115"/>
    </row>
    <row r="22" spans="1:13" ht="3" customHeight="1">
      <c r="A22" s="2116"/>
      <c r="B22" s="2116"/>
      <c r="C22" s="2116"/>
      <c r="D22" s="2116"/>
      <c r="E22" s="2116"/>
      <c r="F22" s="2116"/>
      <c r="G22" s="2116"/>
      <c r="H22" s="2116"/>
      <c r="I22" s="2116"/>
      <c r="J22" s="2116"/>
      <c r="K22" s="2116"/>
      <c r="L22" s="2116"/>
      <c r="M22" s="2116"/>
    </row>
    <row r="23" spans="1:13" ht="44.25" customHeight="1">
      <c r="A23" s="1348" t="s">
        <v>1648</v>
      </c>
      <c r="B23" s="2115" t="s">
        <v>723</v>
      </c>
      <c r="C23" s="2115"/>
      <c r="D23" s="2115"/>
      <c r="E23" s="2115"/>
      <c r="F23" s="2115"/>
      <c r="G23" s="2115"/>
      <c r="H23" s="2115"/>
      <c r="I23" s="2115"/>
      <c r="J23" s="2115"/>
      <c r="K23" s="2115"/>
      <c r="L23" s="2115"/>
      <c r="M23" s="2115"/>
    </row>
    <row r="24" spans="1:13" ht="165" customHeight="1">
      <c r="A24" s="1348" t="s">
        <v>1649</v>
      </c>
      <c r="B24" s="2115" t="s">
        <v>3332</v>
      </c>
      <c r="C24" s="2115"/>
      <c r="D24" s="2115"/>
      <c r="E24" s="2115"/>
      <c r="F24" s="2115"/>
      <c r="G24" s="2115"/>
      <c r="H24" s="2115"/>
      <c r="I24" s="2115"/>
      <c r="J24" s="2115"/>
      <c r="K24" s="2115"/>
      <c r="L24" s="2115"/>
      <c r="M24" s="2115"/>
    </row>
    <row r="25" spans="1:13" ht="3" customHeight="1">
      <c r="A25" s="2116"/>
      <c r="B25" s="2116"/>
      <c r="C25" s="2116"/>
      <c r="D25" s="2116"/>
      <c r="E25" s="2116"/>
      <c r="F25" s="2116"/>
      <c r="G25" s="2116"/>
      <c r="H25" s="2116"/>
      <c r="I25" s="2116"/>
      <c r="J25" s="2116"/>
      <c r="K25" s="2116"/>
      <c r="L25" s="2116"/>
      <c r="M25" s="2116"/>
    </row>
    <row r="26" spans="1:13" ht="44.25" customHeight="1">
      <c r="A26" s="1348" t="s">
        <v>101</v>
      </c>
      <c r="B26" s="2115" t="s">
        <v>3010</v>
      </c>
      <c r="C26" s="2115"/>
      <c r="D26" s="2115"/>
      <c r="E26" s="2115"/>
      <c r="F26" s="2115"/>
      <c r="G26" s="2115"/>
      <c r="H26" s="2115"/>
      <c r="I26" s="2115"/>
      <c r="J26" s="2115"/>
      <c r="K26" s="2115"/>
      <c r="L26" s="2115"/>
      <c r="M26" s="2115"/>
    </row>
    <row r="27" spans="1:13" ht="3" customHeight="1">
      <c r="A27" s="2116"/>
      <c r="B27" s="2116"/>
      <c r="C27" s="2116"/>
      <c r="D27" s="2116"/>
      <c r="E27" s="2116"/>
      <c r="F27" s="2116"/>
      <c r="G27" s="2116"/>
      <c r="H27" s="2116"/>
      <c r="I27" s="2116"/>
      <c r="J27" s="2116"/>
      <c r="K27" s="2116"/>
      <c r="L27" s="2116"/>
      <c r="M27" s="2116"/>
    </row>
    <row r="28" spans="1:13" ht="15" customHeight="1">
      <c r="A28" s="1348" t="s">
        <v>539</v>
      </c>
      <c r="B28" s="2115" t="s">
        <v>1554</v>
      </c>
      <c r="C28" s="2115"/>
      <c r="D28" s="2115"/>
      <c r="E28" s="2115"/>
      <c r="F28" s="2115"/>
      <c r="G28" s="2115"/>
      <c r="H28" s="2115"/>
      <c r="I28" s="2115"/>
      <c r="J28" s="2115"/>
      <c r="K28" s="2115"/>
      <c r="L28" s="2115"/>
      <c r="M28" s="2115"/>
    </row>
    <row r="29" spans="1:13" ht="4.5" customHeight="1">
      <c r="A29" s="2116"/>
      <c r="B29" s="2116"/>
      <c r="C29" s="2116"/>
      <c r="D29" s="2116"/>
      <c r="E29" s="2116"/>
      <c r="F29" s="2116"/>
      <c r="G29" s="2116"/>
      <c r="H29" s="2116"/>
      <c r="I29" s="2116"/>
      <c r="J29" s="2116"/>
      <c r="K29" s="2116"/>
      <c r="L29" s="2116"/>
      <c r="M29" s="2116"/>
    </row>
    <row r="30" spans="1:13" ht="15" customHeight="1">
      <c r="A30" s="2116" t="s">
        <v>1555</v>
      </c>
      <c r="B30" s="2116"/>
      <c r="C30" s="2116"/>
      <c r="D30" s="2116"/>
      <c r="E30" s="2116"/>
      <c r="F30" s="2116"/>
      <c r="G30" s="2116"/>
      <c r="H30" s="2116"/>
      <c r="I30" s="2116"/>
      <c r="J30" s="2116"/>
      <c r="K30" s="2116"/>
      <c r="L30" s="2116"/>
      <c r="M30" s="2116"/>
    </row>
    <row r="31" spans="1:13" ht="3" customHeight="1">
      <c r="A31" s="2116"/>
      <c r="B31" s="2116"/>
      <c r="C31" s="2116"/>
      <c r="D31" s="2116"/>
      <c r="E31" s="2116"/>
      <c r="F31" s="2116"/>
      <c r="G31" s="2116"/>
      <c r="H31" s="2116"/>
      <c r="I31" s="2116"/>
      <c r="J31" s="2116"/>
      <c r="K31" s="2116"/>
      <c r="L31" s="2116"/>
      <c r="M31" s="2116"/>
    </row>
    <row r="32" spans="1:13" ht="28.5" customHeight="1">
      <c r="A32" s="1349" t="s">
        <v>1556</v>
      </c>
      <c r="B32" s="2115" t="s">
        <v>3011</v>
      </c>
      <c r="C32" s="2115"/>
      <c r="D32" s="2115"/>
      <c r="E32" s="2115"/>
      <c r="F32" s="2115"/>
      <c r="G32" s="2115"/>
      <c r="H32" s="2115"/>
      <c r="I32" s="2115"/>
      <c r="J32" s="2115"/>
      <c r="K32" s="2115"/>
      <c r="L32" s="2115"/>
      <c r="M32" s="2115"/>
    </row>
    <row r="33" spans="1:13" ht="3" customHeight="1">
      <c r="A33" s="2116"/>
      <c r="B33" s="2116"/>
      <c r="C33" s="2116"/>
      <c r="D33" s="2116"/>
      <c r="E33" s="2116"/>
      <c r="F33" s="2116"/>
      <c r="G33" s="2116"/>
      <c r="H33" s="2116"/>
      <c r="I33" s="2116"/>
      <c r="J33" s="2116"/>
      <c r="K33" s="2116"/>
      <c r="L33" s="2116"/>
      <c r="M33" s="2116"/>
    </row>
    <row r="34" spans="1:13" ht="43.5" customHeight="1">
      <c r="A34" s="1349" t="s">
        <v>1556</v>
      </c>
      <c r="B34" s="2115" t="s">
        <v>3012</v>
      </c>
      <c r="C34" s="2115"/>
      <c r="D34" s="2115"/>
      <c r="E34" s="2115"/>
      <c r="F34" s="2115"/>
      <c r="G34" s="2115"/>
      <c r="H34" s="2115"/>
      <c r="I34" s="2115"/>
      <c r="J34" s="2115"/>
      <c r="K34" s="2115"/>
      <c r="L34" s="2115"/>
      <c r="M34" s="2115"/>
    </row>
    <row r="35" spans="1:13" ht="3" customHeight="1">
      <c r="A35" s="2116"/>
      <c r="B35" s="2116"/>
      <c r="C35" s="2116"/>
      <c r="D35" s="2116"/>
      <c r="E35" s="2116"/>
      <c r="F35" s="2116"/>
      <c r="G35" s="2116"/>
      <c r="H35" s="2116"/>
      <c r="I35" s="2116"/>
      <c r="J35" s="2116"/>
      <c r="K35" s="2116"/>
      <c r="L35" s="2116"/>
      <c r="M35" s="2116"/>
    </row>
    <row r="36" spans="1:13" ht="72.75" customHeight="1">
      <c r="A36" s="1349" t="s">
        <v>1556</v>
      </c>
      <c r="B36" s="2115" t="s">
        <v>3013</v>
      </c>
      <c r="C36" s="2115"/>
      <c r="D36" s="2115"/>
      <c r="E36" s="2115"/>
      <c r="F36" s="2115"/>
      <c r="G36" s="2115"/>
      <c r="H36" s="2115"/>
      <c r="I36" s="2115"/>
      <c r="J36" s="2115"/>
      <c r="K36" s="2115"/>
      <c r="L36" s="2115"/>
      <c r="M36" s="2115"/>
    </row>
    <row r="37" spans="1:13" ht="9" customHeight="1">
      <c r="A37" s="2116"/>
      <c r="B37" s="2116"/>
      <c r="C37" s="2116"/>
      <c r="D37" s="2116"/>
      <c r="E37" s="2116"/>
      <c r="F37" s="2116"/>
      <c r="G37" s="2116"/>
      <c r="H37" s="2116"/>
      <c r="I37" s="2116"/>
      <c r="J37" s="2116"/>
      <c r="K37" s="2116"/>
      <c r="L37" s="2116"/>
      <c r="M37" s="2116"/>
    </row>
    <row r="38" spans="1:13" ht="29.25" customHeight="1">
      <c r="A38" s="2115" t="s">
        <v>996</v>
      </c>
      <c r="B38" s="2115"/>
      <c r="C38" s="2115"/>
      <c r="D38" s="2115"/>
      <c r="E38" s="2115"/>
      <c r="F38" s="2115"/>
      <c r="G38" s="2115"/>
      <c r="H38" s="2115"/>
      <c r="I38" s="2115"/>
      <c r="J38" s="2115"/>
      <c r="K38" s="2115"/>
      <c r="L38" s="2115"/>
      <c r="M38" s="2115"/>
    </row>
    <row r="39" spans="1:13" ht="3" customHeight="1">
      <c r="A39" s="2116"/>
      <c r="B39" s="2116"/>
      <c r="C39" s="2116"/>
      <c r="D39" s="2116"/>
      <c r="E39" s="2116"/>
      <c r="F39" s="2116"/>
      <c r="G39" s="2116"/>
      <c r="H39" s="2116"/>
      <c r="I39" s="2116"/>
      <c r="J39" s="2116"/>
      <c r="K39" s="2116"/>
      <c r="L39" s="2116"/>
      <c r="M39" s="2116"/>
    </row>
    <row r="40" spans="1:13" ht="29.25" customHeight="1">
      <c r="A40" s="2115" t="s">
        <v>3014</v>
      </c>
      <c r="B40" s="2115"/>
      <c r="C40" s="2115"/>
      <c r="D40" s="2115"/>
      <c r="E40" s="2115"/>
      <c r="F40" s="2115"/>
      <c r="G40" s="2115"/>
      <c r="H40" s="2115"/>
      <c r="I40" s="2115"/>
      <c r="J40" s="2115"/>
      <c r="K40" s="2115"/>
      <c r="L40" s="2115"/>
      <c r="M40" s="2115"/>
    </row>
    <row r="41" spans="1:13" ht="3" customHeight="1">
      <c r="A41" s="2116"/>
      <c r="B41" s="2116"/>
      <c r="C41" s="2116"/>
      <c r="D41" s="2116"/>
      <c r="E41" s="2116"/>
      <c r="F41" s="2116"/>
      <c r="G41" s="2116"/>
      <c r="H41" s="2116"/>
      <c r="I41" s="2116"/>
      <c r="J41" s="2116"/>
      <c r="K41" s="2116"/>
      <c r="L41" s="2116"/>
      <c r="M41" s="2116"/>
    </row>
    <row r="42" spans="1:13">
      <c r="A42" s="2116" t="s">
        <v>972</v>
      </c>
      <c r="B42" s="2116"/>
      <c r="C42" s="2116"/>
      <c r="D42" s="2116"/>
      <c r="E42" s="2116"/>
      <c r="F42" s="2116"/>
      <c r="G42" s="2116"/>
      <c r="H42" s="2116"/>
      <c r="I42" s="2116"/>
      <c r="J42" s="2116"/>
      <c r="K42" s="2116"/>
      <c r="L42" s="2116"/>
      <c r="M42" s="2116"/>
    </row>
    <row r="43" spans="1:13">
      <c r="A43" s="1350"/>
      <c r="B43" s="1350"/>
      <c r="C43" s="1350"/>
      <c r="D43" s="1350"/>
      <c r="E43" s="1350"/>
      <c r="F43" s="1350"/>
      <c r="G43" s="1350"/>
      <c r="H43" s="1350"/>
      <c r="I43" s="1350"/>
      <c r="J43" s="1350"/>
      <c r="K43" s="1350"/>
      <c r="L43" s="1350"/>
      <c r="M43" s="1350"/>
    </row>
    <row r="44" spans="1:13">
      <c r="A44" s="2117"/>
      <c r="B44" s="2117"/>
      <c r="C44" s="2117"/>
      <c r="D44" s="2117"/>
      <c r="E44" s="2117"/>
      <c r="F44" s="2117"/>
      <c r="G44" s="1351"/>
      <c r="H44" s="2117"/>
      <c r="I44" s="2117"/>
      <c r="J44" s="2117"/>
      <c r="K44" s="2117"/>
      <c r="L44" s="2117"/>
      <c r="M44" s="2117"/>
    </row>
    <row r="45" spans="1:13" ht="12" customHeight="1">
      <c r="A45" s="2118" t="s">
        <v>973</v>
      </c>
      <c r="B45" s="2118"/>
      <c r="C45" s="2118"/>
      <c r="D45" s="2118"/>
      <c r="E45" s="2118"/>
      <c r="F45" s="2118"/>
      <c r="G45" s="1351"/>
      <c r="H45" s="2118" t="s">
        <v>2107</v>
      </c>
      <c r="I45" s="2118"/>
      <c r="J45" s="2118"/>
      <c r="K45" s="2118"/>
      <c r="L45" s="2118"/>
      <c r="M45" s="2118"/>
    </row>
    <row r="46" spans="1:13">
      <c r="A46" s="1351"/>
      <c r="B46" s="1351"/>
      <c r="C46" s="1351"/>
      <c r="D46" s="1351"/>
      <c r="E46" s="1351"/>
      <c r="F46" s="1351"/>
      <c r="G46" s="1351"/>
      <c r="H46" s="1351"/>
      <c r="I46" s="1351"/>
      <c r="J46" s="1351"/>
      <c r="K46" s="1351"/>
      <c r="L46" s="1351"/>
      <c r="M46" s="1351"/>
    </row>
    <row r="47" spans="1:13">
      <c r="A47" s="2117"/>
      <c r="B47" s="2117"/>
      <c r="C47" s="2117"/>
      <c r="D47" s="2117"/>
      <c r="E47" s="2117"/>
      <c r="F47" s="2117"/>
      <c r="G47" s="1351"/>
      <c r="H47" s="2119"/>
      <c r="I47" s="2119"/>
      <c r="J47" s="2119"/>
      <c r="K47" s="2119"/>
      <c r="L47" s="2119"/>
      <c r="M47" s="2119"/>
    </row>
    <row r="48" spans="1:13" ht="12" customHeight="1">
      <c r="A48" s="2118" t="s">
        <v>974</v>
      </c>
      <c r="B48" s="2118"/>
      <c r="C48" s="2118"/>
      <c r="D48" s="2118"/>
      <c r="E48" s="2118"/>
      <c r="F48" s="2118"/>
      <c r="G48" s="1351"/>
      <c r="H48" s="2118" t="s">
        <v>975</v>
      </c>
      <c r="I48" s="2118"/>
      <c r="J48" s="2118"/>
      <c r="K48" s="2118"/>
      <c r="L48" s="2118"/>
      <c r="M48" s="2118"/>
    </row>
    <row r="49" spans="1:13" ht="11.45" customHeight="1">
      <c r="A49" s="2116"/>
      <c r="B49" s="2116"/>
      <c r="C49" s="2116"/>
      <c r="D49" s="2116"/>
      <c r="E49" s="2116"/>
      <c r="F49" s="2116"/>
      <c r="G49" s="2116"/>
      <c r="H49" s="2116"/>
      <c r="I49" s="2116"/>
      <c r="J49" s="2116"/>
      <c r="K49" s="2116"/>
      <c r="L49" s="2116"/>
      <c r="M49" s="2116"/>
    </row>
    <row r="50" spans="1:13" ht="11.45" customHeight="1">
      <c r="A50" s="1346"/>
      <c r="B50" s="1346"/>
      <c r="C50" s="1346"/>
      <c r="D50" s="1346"/>
      <c r="E50" s="1346"/>
      <c r="F50" s="1346"/>
      <c r="G50" s="1346"/>
      <c r="H50" s="2114" t="s">
        <v>976</v>
      </c>
      <c r="I50" s="2114"/>
      <c r="J50" s="2114"/>
      <c r="K50" s="2114"/>
      <c r="L50" s="2114"/>
      <c r="M50" s="2114"/>
    </row>
    <row r="51" spans="1:13" ht="11.45" customHeight="1">
      <c r="A51" s="1346"/>
      <c r="B51" s="1346"/>
      <c r="C51" s="1346"/>
      <c r="D51" s="1346"/>
      <c r="E51" s="1346"/>
      <c r="F51" s="1346"/>
      <c r="G51" s="1346"/>
    </row>
    <row r="52" spans="1:13" ht="11.45" customHeight="1">
      <c r="A52" s="1346"/>
      <c r="B52" s="1346"/>
      <c r="C52" s="1346"/>
      <c r="D52" s="1346"/>
      <c r="E52" s="1346"/>
      <c r="F52" s="1346"/>
      <c r="G52" s="1346"/>
      <c r="H52" s="1346"/>
      <c r="I52" s="1346"/>
      <c r="J52" s="1346"/>
      <c r="K52" s="1346"/>
      <c r="L52" s="1346"/>
      <c r="M52" s="1346"/>
    </row>
    <row r="53" spans="1:13" ht="11.45" customHeight="1">
      <c r="A53" s="1346"/>
      <c r="B53" s="1346"/>
      <c r="C53" s="1346"/>
      <c r="D53" s="1346"/>
      <c r="E53" s="1346"/>
      <c r="F53" s="1346"/>
      <c r="G53" s="1346"/>
      <c r="H53" s="1346"/>
      <c r="I53" s="1346"/>
      <c r="J53" s="1346"/>
      <c r="K53" s="1346"/>
      <c r="L53" s="1346"/>
      <c r="M53" s="1346"/>
    </row>
    <row r="54" spans="1:13" ht="11.45" customHeight="1"/>
    <row r="55" spans="1:13" ht="11.45" customHeight="1"/>
    <row r="56" spans="1:13" ht="11.45" customHeight="1"/>
    <row r="57" spans="1:13" ht="11.45" customHeight="1"/>
    <row r="58" spans="1:13" ht="11.45" customHeight="1"/>
  </sheetData>
  <sheetProtection password="ACD2" sheet="1" objects="1" scenarios="1"/>
  <mergeCells count="43">
    <mergeCell ref="B15:M15"/>
    <mergeCell ref="A7:M7"/>
    <mergeCell ref="A11:M11"/>
    <mergeCell ref="A12:M12"/>
    <mergeCell ref="A13:M13"/>
    <mergeCell ref="A14:M14"/>
    <mergeCell ref="A27:M27"/>
    <mergeCell ref="A16:M16"/>
    <mergeCell ref="B17:M17"/>
    <mergeCell ref="A18:M18"/>
    <mergeCell ref="B19:M19"/>
    <mergeCell ref="A20:M20"/>
    <mergeCell ref="B21:M21"/>
    <mergeCell ref="A22:M22"/>
    <mergeCell ref="B23:M23"/>
    <mergeCell ref="B24:M24"/>
    <mergeCell ref="A25:M25"/>
    <mergeCell ref="B26:M26"/>
    <mergeCell ref="A39:M39"/>
    <mergeCell ref="B28:M28"/>
    <mergeCell ref="A29:M29"/>
    <mergeCell ref="A30:M30"/>
    <mergeCell ref="A31:M31"/>
    <mergeCell ref="B32:M32"/>
    <mergeCell ref="A33:M33"/>
    <mergeCell ref="B34:M34"/>
    <mergeCell ref="A35:M35"/>
    <mergeCell ref="B36:M36"/>
    <mergeCell ref="A37:M37"/>
    <mergeCell ref="A38:M38"/>
    <mergeCell ref="H50:M50"/>
    <mergeCell ref="A40:M40"/>
    <mergeCell ref="A41:M41"/>
    <mergeCell ref="A42:M42"/>
    <mergeCell ref="A44:F44"/>
    <mergeCell ref="H44:M44"/>
    <mergeCell ref="A45:F45"/>
    <mergeCell ref="H45:M45"/>
    <mergeCell ref="A47:F47"/>
    <mergeCell ref="H47:M47"/>
    <mergeCell ref="A48:F48"/>
    <mergeCell ref="H48:M48"/>
    <mergeCell ref="A49:M49"/>
  </mergeCells>
  <printOptions horizontalCentered="1"/>
  <pageMargins left="0.75" right="0.75" top="0.8" bottom="0.7" header="0.5" footer="0.5"/>
  <pageSetup fitToHeight="0" orientation="portrait" r:id="rId1"/>
  <headerFooter alignWithMargins="0">
    <oddFooter>&amp;L&amp;"Times New Roman,Regular"&amp;8&amp;G  2014 Funding Application&amp;C&amp;"Times New Roman,Regular"&amp;8DCA Housing Finance and Development Division&amp;R&amp;"Times New Roman,Regular"&amp;8Page &amp;P of &amp;N</oddFooter>
  </headerFooter>
  <legacyDrawingHF r:id="rId2"/>
</worksheet>
</file>

<file path=xl/worksheets/sheet15.xml><?xml version="1.0" encoding="utf-8"?>
<worksheet xmlns="http://schemas.openxmlformats.org/spreadsheetml/2006/main" xmlns:r="http://schemas.openxmlformats.org/officeDocument/2006/relationships">
  <sheetPr codeName="Sheet14">
    <pageSetUpPr fitToPage="1"/>
  </sheetPr>
  <dimension ref="A1:Z192"/>
  <sheetViews>
    <sheetView showGridLines="0" zoomScale="96" zoomScaleNormal="96" workbookViewId="0">
      <selection activeCell="R8" sqref="R8"/>
    </sheetView>
  </sheetViews>
  <sheetFormatPr defaultColWidth="8.85546875" defaultRowHeight="12.75"/>
  <cols>
    <col min="1" max="1" width="1.7109375" style="31" customWidth="1"/>
    <col min="2" max="2" width="5.28515625" style="31" customWidth="1"/>
    <col min="3" max="3" width="9.7109375" style="31" customWidth="1"/>
    <col min="4" max="8" width="7.7109375" style="31" customWidth="1"/>
    <col min="9" max="9" width="10.5703125" style="31" customWidth="1"/>
    <col min="10" max="17" width="7.7109375" style="31" customWidth="1"/>
    <col min="18" max="18" width="7.85546875" style="31" customWidth="1"/>
    <col min="19" max="16384" width="8.85546875" style="31"/>
  </cols>
  <sheetData>
    <row r="1" spans="1:26" s="206" customFormat="1" ht="3" customHeight="1">
      <c r="A1" s="207"/>
      <c r="B1" s="207"/>
      <c r="C1" s="207"/>
      <c r="D1" s="207"/>
      <c r="E1" s="207"/>
      <c r="F1" s="207"/>
      <c r="G1" s="207"/>
      <c r="H1" s="207"/>
      <c r="I1" s="207"/>
      <c r="J1" s="207"/>
      <c r="K1" s="207"/>
      <c r="L1" s="207"/>
      <c r="M1" s="207"/>
      <c r="N1" s="207"/>
      <c r="O1" s="207"/>
      <c r="P1" s="207"/>
    </row>
    <row r="2" spans="1:26" s="332" customFormat="1" ht="13.15" customHeight="1">
      <c r="A2" s="2123" t="s">
        <v>765</v>
      </c>
      <c r="B2" s="2124"/>
      <c r="C2" s="2124"/>
      <c r="D2" s="2124"/>
      <c r="E2" s="2124"/>
      <c r="F2" s="2124"/>
      <c r="G2" s="2124"/>
      <c r="H2" s="2124"/>
      <c r="I2" s="2124"/>
      <c r="J2" s="2124"/>
      <c r="K2" s="2124"/>
      <c r="L2" s="2124"/>
      <c r="M2" s="2124"/>
      <c r="N2" s="2124"/>
      <c r="O2" s="2124"/>
      <c r="P2" s="2124"/>
      <c r="Q2" s="2124"/>
      <c r="R2" s="2125"/>
      <c r="S2" s="208"/>
      <c r="T2" s="208"/>
      <c r="U2" s="208"/>
    </row>
    <row r="3" spans="1:26" s="332" customFormat="1" ht="4.1500000000000004" customHeight="1">
      <c r="A3" s="209"/>
      <c r="B3" s="209"/>
      <c r="C3" s="209"/>
      <c r="D3" s="209"/>
      <c r="E3" s="209"/>
      <c r="F3" s="209"/>
      <c r="G3" s="209"/>
      <c r="H3" s="209"/>
      <c r="I3" s="209"/>
      <c r="J3" s="209"/>
      <c r="K3" s="209"/>
      <c r="L3" s="209"/>
      <c r="M3" s="209"/>
      <c r="N3" s="209"/>
      <c r="O3" s="209"/>
      <c r="P3" s="209"/>
      <c r="Q3" s="208"/>
      <c r="R3" s="208"/>
      <c r="S3" s="208"/>
      <c r="T3" s="208"/>
      <c r="U3" s="208"/>
    </row>
    <row r="4" spans="1:26" s="332" customFormat="1" ht="12" customHeight="1">
      <c r="A4" s="333" t="s">
        <v>1839</v>
      </c>
      <c r="B4" s="333"/>
      <c r="C4" s="333"/>
      <c r="D4" s="208"/>
      <c r="E4" s="208"/>
      <c r="F4" s="333" t="s">
        <v>1840</v>
      </c>
      <c r="G4" s="333"/>
      <c r="H4" s="208"/>
      <c r="I4" s="208"/>
      <c r="J4" s="333" t="s">
        <v>1841</v>
      </c>
      <c r="K4" s="333"/>
      <c r="L4" s="333"/>
      <c r="M4" s="333"/>
      <c r="N4" s="333"/>
      <c r="O4" s="333"/>
      <c r="P4" s="208"/>
      <c r="Q4" s="334" t="s">
        <v>1842</v>
      </c>
      <c r="R4" s="335" t="s">
        <v>1843</v>
      </c>
      <c r="S4" s="208"/>
      <c r="T4" s="208"/>
      <c r="U4" s="208"/>
      <c r="W4" s="336"/>
      <c r="X4" s="336"/>
      <c r="Y4" s="336"/>
      <c r="Z4" s="336"/>
    </row>
    <row r="5" spans="1:26" s="332" customFormat="1" ht="4.1500000000000004" customHeight="1">
      <c r="A5" s="333"/>
      <c r="B5" s="333"/>
      <c r="C5" s="333"/>
      <c r="D5" s="333"/>
      <c r="E5" s="208"/>
      <c r="F5" s="333"/>
      <c r="G5" s="333"/>
      <c r="H5" s="208"/>
      <c r="I5" s="208"/>
      <c r="J5" s="333"/>
      <c r="K5" s="333"/>
      <c r="L5" s="333"/>
      <c r="M5" s="333"/>
      <c r="N5" s="333"/>
      <c r="O5" s="333"/>
      <c r="P5" s="208"/>
      <c r="Q5" s="334"/>
      <c r="R5" s="335"/>
      <c r="S5" s="208"/>
      <c r="T5" s="208"/>
      <c r="U5" s="208"/>
      <c r="W5" s="336"/>
      <c r="X5" s="336"/>
      <c r="Y5" s="336"/>
      <c r="Z5" s="336"/>
    </row>
    <row r="6" spans="1:26" s="332" customFormat="1" ht="11.45" customHeight="1">
      <c r="A6" s="337" t="s">
        <v>1844</v>
      </c>
      <c r="B6" s="210"/>
      <c r="C6" s="210"/>
      <c r="D6" s="208"/>
      <c r="E6" s="208"/>
      <c r="F6" s="210" t="s">
        <v>535</v>
      </c>
      <c r="G6" s="210"/>
      <c r="H6" s="208"/>
      <c r="I6" s="208"/>
      <c r="J6" s="210" t="s">
        <v>1845</v>
      </c>
      <c r="K6" s="210"/>
      <c r="L6" s="210"/>
      <c r="M6" s="210"/>
      <c r="N6" s="210"/>
      <c r="O6" s="210"/>
      <c r="P6" s="208"/>
      <c r="Q6" s="338" t="s">
        <v>1846</v>
      </c>
      <c r="R6" s="338">
        <v>1000000</v>
      </c>
      <c r="S6" s="208"/>
      <c r="U6" s="208"/>
      <c r="V6" s="339"/>
      <c r="W6" s="339"/>
      <c r="X6" s="211"/>
    </row>
    <row r="7" spans="1:26" s="332" customFormat="1" ht="11.45" customHeight="1">
      <c r="A7" s="337"/>
      <c r="B7" s="210"/>
      <c r="C7" s="210"/>
      <c r="D7" s="208"/>
      <c r="E7" s="208"/>
      <c r="F7" s="210"/>
      <c r="G7" s="210"/>
      <c r="H7" s="208"/>
      <c r="I7" s="208"/>
      <c r="J7" s="210" t="s">
        <v>1845</v>
      </c>
      <c r="L7" s="210" t="s">
        <v>3232</v>
      </c>
      <c r="M7" s="210"/>
      <c r="N7" s="210"/>
      <c r="O7" s="210"/>
      <c r="P7" s="208"/>
      <c r="Q7" s="338" t="s">
        <v>1846</v>
      </c>
      <c r="R7" s="338">
        <v>1200000</v>
      </c>
      <c r="S7" s="208"/>
      <c r="T7" s="208"/>
      <c r="U7" s="208"/>
      <c r="V7" s="339"/>
      <c r="W7" s="339"/>
      <c r="X7" s="211"/>
    </row>
    <row r="8" spans="1:26" s="332" customFormat="1" ht="11.45" customHeight="1">
      <c r="A8" s="337"/>
      <c r="B8" s="210"/>
      <c r="C8" s="210"/>
      <c r="D8" s="208"/>
      <c r="E8" s="208"/>
      <c r="F8" s="210"/>
      <c r="G8" s="210"/>
      <c r="H8" s="208"/>
      <c r="I8" s="208"/>
      <c r="J8" s="210" t="s">
        <v>1328</v>
      </c>
      <c r="K8" s="210"/>
      <c r="L8" s="210"/>
      <c r="M8" s="210"/>
      <c r="N8" s="210"/>
      <c r="O8" s="210"/>
      <c r="P8" s="208"/>
      <c r="Q8" s="338" t="s">
        <v>1846</v>
      </c>
      <c r="R8" s="338">
        <v>1800000</v>
      </c>
      <c r="S8" s="208"/>
      <c r="T8" s="208"/>
      <c r="U8" s="208"/>
      <c r="V8" s="339"/>
      <c r="W8" s="339"/>
      <c r="X8" s="211"/>
    </row>
    <row r="9" spans="1:26" s="332" customFormat="1" ht="11.45" customHeight="1">
      <c r="A9" s="210"/>
      <c r="B9" s="210"/>
      <c r="C9" s="210"/>
      <c r="D9" s="208"/>
      <c r="E9" s="208"/>
      <c r="F9" s="210" t="s">
        <v>2564</v>
      </c>
      <c r="G9" s="210"/>
      <c r="H9" s="208"/>
      <c r="I9" s="208"/>
      <c r="J9" s="210" t="s">
        <v>1878</v>
      </c>
      <c r="K9" s="210"/>
      <c r="L9" s="210"/>
      <c r="M9" s="210"/>
      <c r="N9" s="210"/>
      <c r="O9" s="210"/>
      <c r="P9" s="208"/>
      <c r="Q9" s="338">
        <v>1000000</v>
      </c>
      <c r="R9" s="338">
        <v>2500000</v>
      </c>
      <c r="S9" s="340"/>
      <c r="T9" s="340"/>
      <c r="U9" s="208"/>
      <c r="V9" s="341"/>
      <c r="W9" s="341"/>
      <c r="X9" s="341"/>
    </row>
    <row r="10" spans="1:26" s="332" customFormat="1" ht="11.45" customHeight="1">
      <c r="A10" s="337"/>
      <c r="B10" s="210"/>
      <c r="C10" s="210"/>
      <c r="D10" s="208"/>
      <c r="E10" s="208"/>
      <c r="F10" s="210"/>
      <c r="G10" s="210"/>
      <c r="H10" s="208"/>
      <c r="I10" s="208"/>
      <c r="J10" s="210" t="s">
        <v>2532</v>
      </c>
      <c r="K10" s="210"/>
      <c r="L10" s="210"/>
      <c r="M10" s="210"/>
      <c r="N10" s="210"/>
      <c r="O10" s="210"/>
      <c r="P10" s="208"/>
      <c r="Q10" s="338" t="s">
        <v>1846</v>
      </c>
      <c r="R10" s="350">
        <v>0.25</v>
      </c>
      <c r="S10" s="208"/>
      <c r="T10" s="208"/>
      <c r="U10" s="208"/>
      <c r="V10" s="339"/>
      <c r="W10" s="339"/>
      <c r="X10" s="211"/>
    </row>
    <row r="11" spans="1:26" s="332" customFormat="1" ht="11.45" customHeight="1">
      <c r="A11" s="210"/>
      <c r="B11" s="210"/>
      <c r="C11" s="210"/>
      <c r="D11" s="208"/>
      <c r="E11" s="208"/>
      <c r="F11" s="210"/>
      <c r="G11" s="210"/>
      <c r="H11" s="208"/>
      <c r="I11" s="208"/>
      <c r="J11" s="342" t="s">
        <v>512</v>
      </c>
      <c r="K11" s="342" t="s">
        <v>2595</v>
      </c>
      <c r="L11" s="342" t="s">
        <v>2596</v>
      </c>
      <c r="M11" s="342" t="s">
        <v>2597</v>
      </c>
      <c r="N11" s="342" t="s">
        <v>2598</v>
      </c>
      <c r="O11" s="210"/>
      <c r="P11" s="208"/>
      <c r="Q11" s="343"/>
      <c r="R11" s="343"/>
      <c r="S11" s="340"/>
      <c r="T11" s="340"/>
      <c r="U11" s="208"/>
      <c r="V11" s="341"/>
      <c r="W11" s="341"/>
      <c r="X11" s="341"/>
    </row>
    <row r="12" spans="1:26" s="332" customFormat="1" ht="11.45" customHeight="1">
      <c r="A12" s="210"/>
      <c r="B12" s="210"/>
      <c r="C12" s="210"/>
      <c r="D12" s="208"/>
      <c r="E12" s="208"/>
      <c r="F12" s="210" t="s">
        <v>1329</v>
      </c>
      <c r="G12" s="210"/>
      <c r="H12" s="208"/>
      <c r="I12" s="208"/>
      <c r="J12" s="344">
        <v>110481</v>
      </c>
      <c r="K12" s="344">
        <v>126647</v>
      </c>
      <c r="L12" s="344">
        <v>154003</v>
      </c>
      <c r="M12" s="344">
        <v>199229</v>
      </c>
      <c r="N12" s="344">
        <v>199229</v>
      </c>
      <c r="O12" s="210"/>
      <c r="Q12" s="338" t="s">
        <v>1846</v>
      </c>
      <c r="R12" s="338">
        <f>'Part VI-Revenues &amp; Expenses'!$H$62*$J12+'Part VI-Revenues &amp; Expenses'!$I$62*$K12+'Part VI-Revenues &amp; Expenses'!$J$62*$L12+'Part VI-Revenues &amp; Expenses'!$K$62*$M12+'Part VI-Revenues &amp; Expenses'!$L$62*$N12</f>
        <v>12279708</v>
      </c>
      <c r="S12" s="359" t="s">
        <v>818</v>
      </c>
      <c r="T12" s="340"/>
      <c r="U12" s="208"/>
      <c r="V12" s="341"/>
      <c r="W12" s="341"/>
      <c r="X12" s="341"/>
    </row>
    <row r="13" spans="1:26" s="332" customFormat="1" ht="11.45" customHeight="1">
      <c r="A13" s="210"/>
      <c r="B13" s="210"/>
      <c r="C13" s="210"/>
      <c r="D13" s="208"/>
      <c r="E13" s="208"/>
      <c r="F13" s="210" t="s">
        <v>1330</v>
      </c>
      <c r="G13" s="210"/>
      <c r="H13" s="208"/>
      <c r="I13" s="208"/>
      <c r="J13" s="344">
        <v>121529</v>
      </c>
      <c r="K13" s="344">
        <v>139312</v>
      </c>
      <c r="L13" s="344">
        <v>169403</v>
      </c>
      <c r="M13" s="344">
        <v>219152</v>
      </c>
      <c r="N13" s="344">
        <v>219152</v>
      </c>
      <c r="O13" s="210"/>
      <c r="Q13" s="338" t="s">
        <v>1846</v>
      </c>
      <c r="R13" s="338">
        <f>'Part VI-Revenues &amp; Expenses'!$H$62*$J13+'Part VI-Revenues &amp; Expenses'!$I$62*$K13+'Part VI-Revenues &amp; Expenses'!$J$62*$L13+'Part VI-Revenues &amp; Expenses'!$K$62*$M13+'Part VI-Revenues &amp; Expenses'!$L$62*$N13</f>
        <v>13507668</v>
      </c>
      <c r="S13" s="359" t="s">
        <v>818</v>
      </c>
      <c r="T13" s="208"/>
      <c r="U13" s="208"/>
      <c r="V13" s="341"/>
      <c r="W13" s="341"/>
      <c r="X13" s="341"/>
    </row>
    <row r="14" spans="1:26" s="332" customFormat="1" ht="3" customHeight="1">
      <c r="A14" s="210"/>
      <c r="B14" s="210"/>
      <c r="C14" s="210"/>
      <c r="D14" s="210"/>
      <c r="E14" s="208"/>
      <c r="F14" s="210"/>
      <c r="G14" s="210"/>
      <c r="H14" s="345"/>
      <c r="I14" s="208"/>
      <c r="J14" s="210"/>
      <c r="K14" s="346"/>
      <c r="L14" s="346"/>
      <c r="M14" s="346"/>
      <c r="N14" s="346"/>
      <c r="O14" s="210"/>
      <c r="P14" s="208"/>
      <c r="Q14" s="343"/>
      <c r="R14" s="343"/>
      <c r="S14" s="208"/>
      <c r="T14" s="208"/>
      <c r="U14" s="208"/>
    </row>
    <row r="15" spans="1:26" s="332" customFormat="1" ht="12" customHeight="1">
      <c r="A15" s="337" t="s">
        <v>1261</v>
      </c>
      <c r="B15" s="333"/>
      <c r="C15" s="333"/>
      <c r="D15" s="333"/>
      <c r="E15" s="208"/>
      <c r="F15" s="333"/>
      <c r="G15" s="333"/>
      <c r="H15" s="333"/>
      <c r="I15" s="208"/>
      <c r="J15" s="210"/>
      <c r="K15" s="333"/>
      <c r="L15" s="333"/>
      <c r="M15" s="333"/>
      <c r="N15" s="333"/>
      <c r="O15" s="333"/>
      <c r="P15" s="208"/>
      <c r="Q15" s="334"/>
      <c r="R15" s="335"/>
      <c r="S15" s="336"/>
    </row>
    <row r="16" spans="1:26" s="332" customFormat="1" ht="11.45" customHeight="1">
      <c r="A16" s="208"/>
      <c r="B16" s="210" t="s">
        <v>1261</v>
      </c>
      <c r="C16" s="210"/>
      <c r="D16" s="208"/>
      <c r="E16" s="208"/>
      <c r="F16" s="210" t="s">
        <v>1262</v>
      </c>
      <c r="G16" s="210" t="s">
        <v>1276</v>
      </c>
      <c r="H16" s="208"/>
      <c r="I16" s="208"/>
      <c r="J16" s="210" t="s">
        <v>1628</v>
      </c>
      <c r="K16" s="210"/>
      <c r="L16" s="210"/>
      <c r="M16" s="210"/>
      <c r="N16" s="210"/>
      <c r="O16" s="210"/>
      <c r="P16" s="208"/>
      <c r="Q16" s="212">
        <v>4500</v>
      </c>
      <c r="R16" s="347" t="s">
        <v>1846</v>
      </c>
      <c r="S16" s="348"/>
    </row>
    <row r="17" spans="1:21" s="332" customFormat="1" ht="11.45" customHeight="1">
      <c r="A17" s="208"/>
      <c r="B17" s="210"/>
      <c r="C17" s="210"/>
      <c r="D17" s="208"/>
      <c r="E17" s="208"/>
      <c r="F17" s="210"/>
      <c r="G17" s="210" t="s">
        <v>1701</v>
      </c>
      <c r="H17" s="208"/>
      <c r="I17" s="208"/>
      <c r="J17" s="210" t="s">
        <v>1628</v>
      </c>
      <c r="K17" s="210"/>
      <c r="L17" s="210"/>
      <c r="M17" s="210"/>
      <c r="N17" s="210"/>
      <c r="O17" s="210"/>
      <c r="P17" s="208"/>
      <c r="Q17" s="212">
        <v>4000</v>
      </c>
      <c r="R17" s="347" t="s">
        <v>1846</v>
      </c>
      <c r="S17" s="348"/>
    </row>
    <row r="18" spans="1:21" s="332" customFormat="1" ht="11.45" customHeight="1">
      <c r="A18" s="210"/>
      <c r="B18" s="210"/>
      <c r="C18" s="210"/>
      <c r="D18" s="208"/>
      <c r="E18" s="208"/>
      <c r="F18" s="210" t="s">
        <v>2032</v>
      </c>
      <c r="G18" s="210"/>
      <c r="H18" s="208"/>
      <c r="I18" s="208"/>
      <c r="J18" s="210" t="s">
        <v>1628</v>
      </c>
      <c r="K18" s="210"/>
      <c r="L18" s="210"/>
      <c r="M18" s="210"/>
      <c r="N18" s="210"/>
      <c r="O18" s="210"/>
      <c r="P18" s="208"/>
      <c r="Q18" s="212">
        <v>3000</v>
      </c>
      <c r="R18" s="347" t="s">
        <v>1846</v>
      </c>
      <c r="S18" s="348"/>
    </row>
    <row r="19" spans="1:21" s="332" customFormat="1" ht="11.45" customHeight="1">
      <c r="A19" s="210"/>
      <c r="B19" s="210"/>
      <c r="C19" s="210"/>
      <c r="D19" s="208"/>
      <c r="E19" s="208"/>
      <c r="F19" s="210" t="s">
        <v>2875</v>
      </c>
      <c r="G19" s="210"/>
      <c r="H19" s="208"/>
      <c r="I19" s="208"/>
      <c r="J19" s="210" t="s">
        <v>1628</v>
      </c>
      <c r="K19" s="210"/>
      <c r="L19" s="210"/>
      <c r="M19" s="210"/>
      <c r="N19" s="210"/>
      <c r="O19" s="210"/>
      <c r="P19" s="208"/>
      <c r="Q19" s="212">
        <v>3000</v>
      </c>
      <c r="R19" s="347" t="s">
        <v>1846</v>
      </c>
      <c r="S19" s="348"/>
      <c r="T19" s="348"/>
      <c r="U19" s="348"/>
    </row>
    <row r="20" spans="1:21" s="332" customFormat="1" ht="11.45" customHeight="1">
      <c r="A20" s="210"/>
      <c r="B20" s="210" t="s">
        <v>1263</v>
      </c>
      <c r="C20" s="210"/>
      <c r="D20" s="208"/>
      <c r="E20" s="208"/>
      <c r="F20" s="210" t="s">
        <v>291</v>
      </c>
      <c r="G20" s="210"/>
      <c r="H20" s="208"/>
      <c r="I20" s="208"/>
      <c r="J20" s="210" t="s">
        <v>1628</v>
      </c>
      <c r="K20" s="210"/>
      <c r="L20" s="210"/>
      <c r="M20" s="210"/>
      <c r="N20" s="210"/>
      <c r="O20" s="210"/>
      <c r="P20" s="208"/>
      <c r="Q20" s="349">
        <v>350</v>
      </c>
      <c r="R20" s="347" t="s">
        <v>1846</v>
      </c>
      <c r="S20" s="348"/>
      <c r="T20" s="348"/>
      <c r="U20" s="348"/>
    </row>
    <row r="21" spans="1:21" s="332" customFormat="1" ht="11.45" customHeight="1">
      <c r="A21" s="210"/>
      <c r="B21" s="210"/>
      <c r="C21" s="210"/>
      <c r="D21" s="208"/>
      <c r="E21" s="208"/>
      <c r="F21" s="210" t="s">
        <v>1264</v>
      </c>
      <c r="G21" s="210"/>
      <c r="H21" s="208"/>
      <c r="I21" s="208"/>
      <c r="J21" s="210" t="s">
        <v>1628</v>
      </c>
      <c r="K21" s="210"/>
      <c r="L21" s="210"/>
      <c r="M21" s="210"/>
      <c r="N21" s="210"/>
      <c r="O21" s="210"/>
      <c r="P21" s="208"/>
      <c r="Q21" s="349">
        <v>250</v>
      </c>
      <c r="R21" s="347" t="s">
        <v>1846</v>
      </c>
      <c r="S21" s="348"/>
      <c r="T21" s="348"/>
      <c r="U21" s="348"/>
    </row>
    <row r="22" spans="1:21" s="332" customFormat="1" ht="11.45" customHeight="1">
      <c r="A22" s="210"/>
      <c r="B22" s="210"/>
      <c r="C22" s="210"/>
      <c r="D22" s="210"/>
      <c r="E22" s="208"/>
      <c r="F22" s="210" t="s">
        <v>1265</v>
      </c>
      <c r="G22" s="210"/>
      <c r="H22" s="208"/>
      <c r="I22" s="208"/>
      <c r="J22" s="210" t="s">
        <v>1628</v>
      </c>
      <c r="K22" s="210"/>
      <c r="L22" s="210"/>
      <c r="M22" s="210"/>
      <c r="N22" s="210"/>
      <c r="O22" s="210"/>
      <c r="P22" s="208"/>
      <c r="Q22" s="349">
        <v>420</v>
      </c>
      <c r="R22" s="347" t="s">
        <v>1846</v>
      </c>
      <c r="S22" s="348"/>
      <c r="T22" s="348"/>
      <c r="U22" s="348"/>
    </row>
    <row r="23" spans="1:21" s="332" customFormat="1" ht="11.45" customHeight="1">
      <c r="A23" s="210"/>
      <c r="B23" s="210"/>
      <c r="C23" s="210"/>
      <c r="D23" s="210"/>
      <c r="E23" s="208"/>
      <c r="F23" s="210" t="s">
        <v>1217</v>
      </c>
      <c r="G23" s="210"/>
      <c r="H23" s="208"/>
      <c r="I23" s="208"/>
      <c r="J23" s="210" t="s">
        <v>1628</v>
      </c>
      <c r="K23" s="210"/>
      <c r="L23" s="210"/>
      <c r="M23" s="210"/>
      <c r="N23" s="210"/>
      <c r="O23" s="210"/>
      <c r="P23" s="208"/>
      <c r="Q23" s="349">
        <v>420</v>
      </c>
      <c r="R23" s="347" t="s">
        <v>1846</v>
      </c>
      <c r="S23" s="348"/>
      <c r="T23" s="348"/>
      <c r="U23" s="348"/>
    </row>
    <row r="24" spans="1:21" s="332" customFormat="1" ht="3" customHeight="1">
      <c r="A24" s="208"/>
      <c r="B24" s="210"/>
      <c r="C24" s="210"/>
      <c r="D24" s="210"/>
      <c r="E24" s="208"/>
      <c r="F24" s="210"/>
      <c r="G24" s="210"/>
      <c r="H24" s="208"/>
      <c r="I24" s="208"/>
      <c r="J24" s="210"/>
      <c r="K24" s="210"/>
      <c r="L24" s="210"/>
      <c r="M24" s="210"/>
      <c r="N24" s="210"/>
      <c r="O24" s="210"/>
      <c r="P24" s="208"/>
      <c r="Q24" s="210"/>
      <c r="R24" s="342"/>
      <c r="S24" s="348"/>
      <c r="T24" s="348"/>
      <c r="U24" s="348"/>
    </row>
    <row r="25" spans="1:21" s="332" customFormat="1" ht="12" customHeight="1">
      <c r="A25" s="337" t="s">
        <v>1266</v>
      </c>
      <c r="B25" s="210"/>
      <c r="C25" s="210"/>
      <c r="D25" s="210"/>
      <c r="E25" s="208"/>
      <c r="F25" s="210"/>
      <c r="G25" s="210"/>
      <c r="H25" s="208"/>
      <c r="I25" s="208"/>
      <c r="J25" s="210"/>
      <c r="K25" s="210"/>
      <c r="L25" s="210"/>
      <c r="M25" s="210"/>
      <c r="N25" s="210"/>
      <c r="O25" s="210"/>
      <c r="P25" s="208"/>
      <c r="Q25" s="210"/>
      <c r="R25" s="342"/>
      <c r="S25" s="348"/>
      <c r="T25" s="348"/>
      <c r="U25" s="348"/>
    </row>
    <row r="26" spans="1:21" s="332" customFormat="1" ht="11.45" customHeight="1">
      <c r="A26" s="210"/>
      <c r="B26" s="210" t="s">
        <v>1267</v>
      </c>
      <c r="C26" s="210"/>
      <c r="D26" s="210"/>
      <c r="E26" s="208"/>
      <c r="F26" s="213" t="s">
        <v>1268</v>
      </c>
      <c r="G26" s="210"/>
      <c r="H26" s="208"/>
      <c r="I26" s="208"/>
      <c r="J26" s="210" t="s">
        <v>1269</v>
      </c>
      <c r="K26" s="210"/>
      <c r="L26" s="210"/>
      <c r="M26" s="210"/>
      <c r="N26" s="210"/>
      <c r="O26" s="210"/>
      <c r="P26" s="208"/>
      <c r="Q26" s="2126">
        <v>6500</v>
      </c>
      <c r="R26" s="2127"/>
      <c r="S26" s="348"/>
      <c r="T26" s="348"/>
      <c r="U26" s="348"/>
    </row>
    <row r="27" spans="1:21" s="332" customFormat="1" ht="11.45" customHeight="1">
      <c r="A27" s="210"/>
      <c r="B27" s="210"/>
      <c r="C27" s="210"/>
      <c r="D27" s="210"/>
      <c r="E27" s="208"/>
      <c r="F27" s="213" t="s">
        <v>1268</v>
      </c>
      <c r="G27" s="210"/>
      <c r="H27" s="208"/>
      <c r="I27" s="208"/>
      <c r="J27" s="210" t="s">
        <v>1270</v>
      </c>
      <c r="K27" s="210"/>
      <c r="L27" s="210"/>
      <c r="M27" s="210"/>
      <c r="N27" s="210"/>
      <c r="O27" s="210"/>
      <c r="P27" s="208"/>
      <c r="Q27" s="2126">
        <v>5500</v>
      </c>
      <c r="R27" s="2127"/>
      <c r="S27" s="348"/>
      <c r="T27" s="348"/>
      <c r="U27" s="348"/>
    </row>
    <row r="28" spans="1:21" s="332" customFormat="1" ht="11.45" customHeight="1">
      <c r="A28" s="208"/>
      <c r="B28" s="208"/>
      <c r="C28" s="210"/>
      <c r="D28" s="210"/>
      <c r="E28" s="208"/>
      <c r="F28" s="213" t="s">
        <v>1271</v>
      </c>
      <c r="G28" s="210"/>
      <c r="H28" s="208"/>
      <c r="I28" s="208"/>
      <c r="J28" s="210" t="s">
        <v>1269</v>
      </c>
      <c r="K28" s="210"/>
      <c r="L28" s="210"/>
      <c r="M28" s="210"/>
      <c r="N28" s="210"/>
      <c r="O28" s="210"/>
      <c r="P28" s="208"/>
      <c r="Q28" s="2126">
        <v>1000</v>
      </c>
      <c r="R28" s="2127"/>
      <c r="S28" s="348"/>
      <c r="T28" s="348"/>
      <c r="U28" s="348"/>
    </row>
    <row r="29" spans="1:21" s="332" customFormat="1" ht="11.45" customHeight="1">
      <c r="A29" s="210"/>
      <c r="B29" s="210"/>
      <c r="C29" s="210"/>
      <c r="D29" s="210"/>
      <c r="E29" s="208"/>
      <c r="F29" s="213" t="s">
        <v>1271</v>
      </c>
      <c r="G29" s="210"/>
      <c r="H29" s="208"/>
      <c r="I29" s="208"/>
      <c r="J29" s="210" t="s">
        <v>1270</v>
      </c>
      <c r="K29" s="210"/>
      <c r="L29" s="210"/>
      <c r="M29" s="210"/>
      <c r="N29" s="210"/>
      <c r="O29" s="210"/>
      <c r="P29" s="208"/>
      <c r="Q29" s="2126">
        <v>500</v>
      </c>
      <c r="R29" s="2127"/>
      <c r="S29" s="348"/>
      <c r="T29" s="348"/>
      <c r="U29" s="348"/>
    </row>
    <row r="30" spans="1:21" s="332" customFormat="1" ht="11.45" customHeight="1">
      <c r="A30" s="210"/>
      <c r="B30" s="210"/>
      <c r="C30" s="210"/>
      <c r="D30" s="210"/>
      <c r="E30" s="208"/>
      <c r="F30" s="213" t="s">
        <v>804</v>
      </c>
      <c r="G30" s="210"/>
      <c r="H30" s="208"/>
      <c r="I30" s="208"/>
      <c r="J30" s="210" t="s">
        <v>1269</v>
      </c>
      <c r="K30" s="210"/>
      <c r="L30" s="210"/>
      <c r="M30" s="210"/>
      <c r="N30" s="210"/>
      <c r="O30" s="210"/>
      <c r="P30" s="208"/>
      <c r="Q30" s="2126">
        <v>7000</v>
      </c>
      <c r="R30" s="2127"/>
      <c r="S30" s="348"/>
      <c r="T30" s="348"/>
      <c r="U30" s="348"/>
    </row>
    <row r="31" spans="1:21" s="332" customFormat="1" ht="11.45" customHeight="1">
      <c r="A31" s="210"/>
      <c r="B31" s="210"/>
      <c r="C31" s="210"/>
      <c r="D31" s="210"/>
      <c r="E31" s="208"/>
      <c r="F31" s="213" t="s">
        <v>804</v>
      </c>
      <c r="G31" s="210"/>
      <c r="H31" s="208"/>
      <c r="I31" s="208"/>
      <c r="J31" s="210" t="s">
        <v>1270</v>
      </c>
      <c r="K31" s="210"/>
      <c r="L31" s="210"/>
      <c r="M31" s="210"/>
      <c r="N31" s="210"/>
      <c r="O31" s="210"/>
      <c r="P31" s="208"/>
      <c r="Q31" s="2126">
        <v>6000</v>
      </c>
      <c r="R31" s="2127"/>
      <c r="S31" s="348"/>
      <c r="T31" s="348"/>
      <c r="U31" s="348"/>
    </row>
    <row r="32" spans="1:21" s="332" customFormat="1" ht="11.45" customHeight="1">
      <c r="A32" s="210"/>
      <c r="B32" s="210" t="s">
        <v>805</v>
      </c>
      <c r="C32" s="210"/>
      <c r="D32" s="208"/>
      <c r="E32" s="208"/>
      <c r="F32" s="210" t="s">
        <v>291</v>
      </c>
      <c r="G32" s="210"/>
      <c r="H32" s="208"/>
      <c r="I32" s="208"/>
      <c r="J32" s="210" t="s">
        <v>2935</v>
      </c>
      <c r="K32" s="210"/>
      <c r="L32" s="210"/>
      <c r="M32" s="210"/>
      <c r="N32" s="210"/>
      <c r="O32" s="210"/>
      <c r="P32" s="208"/>
      <c r="Q32" s="338">
        <v>25000</v>
      </c>
      <c r="R32" s="347" t="s">
        <v>534</v>
      </c>
      <c r="S32" s="348"/>
      <c r="T32" s="348"/>
      <c r="U32" s="348"/>
    </row>
    <row r="33" spans="1:21" s="332" customFormat="1" ht="11.45" customHeight="1">
      <c r="A33" s="210"/>
      <c r="B33" s="210" t="s">
        <v>2088</v>
      </c>
      <c r="C33" s="210"/>
      <c r="D33" s="208"/>
      <c r="E33" s="208"/>
      <c r="F33" s="210" t="s">
        <v>1264</v>
      </c>
      <c r="G33" s="210"/>
      <c r="H33" s="208"/>
      <c r="I33" s="208"/>
      <c r="J33" s="210" t="s">
        <v>1022</v>
      </c>
      <c r="K33" s="210"/>
      <c r="L33" s="210"/>
      <c r="M33" s="210"/>
      <c r="N33" s="210"/>
      <c r="O33" s="210"/>
      <c r="P33" s="208"/>
      <c r="Q33" s="350" t="s">
        <v>1023</v>
      </c>
      <c r="R33" s="350">
        <v>0.05</v>
      </c>
      <c r="S33" s="348"/>
      <c r="T33" s="348"/>
      <c r="U33" s="348"/>
    </row>
    <row r="34" spans="1:21" s="332" customFormat="1" ht="11.45" customHeight="1">
      <c r="A34" s="210"/>
      <c r="B34" s="210"/>
      <c r="C34" s="210"/>
      <c r="D34" s="208"/>
      <c r="E34" s="208"/>
      <c r="F34" s="210"/>
      <c r="G34" s="210"/>
      <c r="H34" s="208"/>
      <c r="I34" s="208"/>
      <c r="J34" s="210" t="s">
        <v>2160</v>
      </c>
      <c r="K34" s="210"/>
      <c r="L34" s="210"/>
      <c r="M34" s="210"/>
      <c r="N34" s="210"/>
      <c r="O34" s="210"/>
      <c r="P34" s="208"/>
      <c r="Q34" s="350" t="s">
        <v>1023</v>
      </c>
      <c r="R34" s="338">
        <v>500000</v>
      </c>
      <c r="S34" s="348"/>
      <c r="T34" s="348"/>
      <c r="U34" s="348"/>
    </row>
    <row r="35" spans="1:21" s="332" customFormat="1" ht="11.45" customHeight="1">
      <c r="A35" s="210"/>
      <c r="B35" s="210"/>
      <c r="C35" s="210"/>
      <c r="D35" s="208"/>
      <c r="E35" s="208"/>
      <c r="F35" s="210" t="s">
        <v>291</v>
      </c>
      <c r="G35" s="210"/>
      <c r="H35" s="208"/>
      <c r="I35" s="208"/>
      <c r="J35" s="210" t="s">
        <v>1022</v>
      </c>
      <c r="K35" s="210"/>
      <c r="L35" s="210"/>
      <c r="M35" s="210"/>
      <c r="N35" s="210"/>
      <c r="O35" s="210"/>
      <c r="P35" s="208"/>
      <c r="Q35" s="350" t="s">
        <v>1023</v>
      </c>
      <c r="R35" s="350">
        <v>7.0000000000000007E-2</v>
      </c>
      <c r="S35" s="348"/>
      <c r="T35" s="348"/>
      <c r="U35" s="348"/>
    </row>
    <row r="36" spans="1:21" s="332" customFormat="1" ht="11.45" customHeight="1">
      <c r="A36" s="210"/>
      <c r="B36" s="210"/>
      <c r="C36" s="210"/>
      <c r="D36" s="208"/>
      <c r="E36" s="208"/>
      <c r="F36" s="210"/>
      <c r="G36" s="210"/>
      <c r="H36" s="208"/>
      <c r="I36" s="208"/>
      <c r="J36" s="210" t="s">
        <v>2160</v>
      </c>
      <c r="K36" s="210"/>
      <c r="L36" s="210"/>
      <c r="M36" s="210"/>
      <c r="N36" s="210"/>
      <c r="O36" s="210"/>
      <c r="P36" s="208"/>
      <c r="Q36" s="350" t="s">
        <v>1023</v>
      </c>
      <c r="R36" s="338">
        <v>500000</v>
      </c>
      <c r="S36" s="348"/>
      <c r="T36" s="348"/>
      <c r="U36" s="348"/>
    </row>
    <row r="37" spans="1:21" s="332" customFormat="1" ht="11.45" customHeight="1">
      <c r="A37" s="210"/>
      <c r="B37" s="210" t="s">
        <v>2167</v>
      </c>
      <c r="C37" s="210"/>
      <c r="D37" s="208"/>
      <c r="E37" s="208"/>
      <c r="F37" s="210" t="s">
        <v>1846</v>
      </c>
      <c r="G37" s="210"/>
      <c r="H37" s="208"/>
      <c r="I37" s="208"/>
      <c r="J37" s="210" t="s">
        <v>376</v>
      </c>
      <c r="K37" s="210"/>
      <c r="L37" s="210"/>
      <c r="M37" s="210"/>
      <c r="N37" s="210"/>
      <c r="O37" s="210"/>
      <c r="P37" s="208"/>
      <c r="Q37" s="347" t="s">
        <v>1846</v>
      </c>
      <c r="R37" s="350">
        <v>0.06</v>
      </c>
      <c r="S37" s="348"/>
      <c r="T37" s="348"/>
      <c r="U37" s="348"/>
    </row>
    <row r="38" spans="1:21" s="332" customFormat="1" ht="11.45" customHeight="1">
      <c r="A38" s="210"/>
      <c r="B38" s="210" t="s">
        <v>2168</v>
      </c>
      <c r="C38" s="210"/>
      <c r="D38" s="208"/>
      <c r="E38" s="208"/>
      <c r="F38" s="210" t="s">
        <v>1846</v>
      </c>
      <c r="G38" s="210"/>
      <c r="H38" s="208"/>
      <c r="I38" s="208"/>
      <c r="J38" s="210" t="s">
        <v>376</v>
      </c>
      <c r="K38" s="210"/>
      <c r="L38" s="210"/>
      <c r="M38" s="210"/>
      <c r="N38" s="210"/>
      <c r="O38" s="210"/>
      <c r="P38" s="208"/>
      <c r="Q38" s="347" t="s">
        <v>1846</v>
      </c>
      <c r="R38" s="350">
        <v>0.02</v>
      </c>
      <c r="S38" s="348"/>
      <c r="T38" s="348"/>
      <c r="U38" s="348"/>
    </row>
    <row r="39" spans="1:21" s="332" customFormat="1" ht="11.45" customHeight="1">
      <c r="A39" s="210"/>
      <c r="B39" s="210" t="s">
        <v>3115</v>
      </c>
      <c r="C39" s="210"/>
      <c r="D39" s="208"/>
      <c r="E39" s="208"/>
      <c r="F39" s="210" t="s">
        <v>1846</v>
      </c>
      <c r="G39" s="210"/>
      <c r="H39" s="208"/>
      <c r="I39" s="208"/>
      <c r="J39" s="210" t="s">
        <v>376</v>
      </c>
      <c r="K39" s="210"/>
      <c r="L39" s="210"/>
      <c r="M39" s="210"/>
      <c r="N39" s="210"/>
      <c r="O39" s="210"/>
      <c r="P39" s="208"/>
      <c r="Q39" s="347" t="s">
        <v>1846</v>
      </c>
      <c r="R39" s="350">
        <v>0.06</v>
      </c>
      <c r="S39" s="348"/>
      <c r="T39" s="348"/>
      <c r="U39" s="348"/>
    </row>
    <row r="40" spans="1:21" s="332" customFormat="1" ht="11.45" customHeight="1">
      <c r="A40" s="210"/>
      <c r="B40" s="213" t="s">
        <v>998</v>
      </c>
      <c r="C40" s="210"/>
      <c r="D40" s="208"/>
      <c r="E40" s="208"/>
      <c r="F40" s="210" t="s">
        <v>999</v>
      </c>
      <c r="G40" s="210"/>
      <c r="H40" s="208"/>
      <c r="I40" s="208"/>
      <c r="J40" s="210" t="s">
        <v>1000</v>
      </c>
      <c r="K40" s="210"/>
      <c r="L40" s="210"/>
      <c r="M40" s="210"/>
      <c r="N40" s="210"/>
      <c r="O40" s="210"/>
      <c r="P40" s="208"/>
      <c r="Q40" s="2122">
        <v>0.08</v>
      </c>
      <c r="R40" s="2122"/>
      <c r="S40" s="348"/>
      <c r="T40" s="348"/>
      <c r="U40" s="348"/>
    </row>
    <row r="41" spans="1:21" s="332" customFormat="1" ht="11.45" customHeight="1">
      <c r="A41" s="210"/>
      <c r="B41" s="213" t="s">
        <v>1001</v>
      </c>
      <c r="C41" s="210"/>
      <c r="D41" s="208"/>
      <c r="E41" s="208"/>
      <c r="F41" s="210" t="s">
        <v>999</v>
      </c>
      <c r="G41" s="210"/>
      <c r="H41" s="208"/>
      <c r="I41" s="208"/>
      <c r="J41" s="210" t="s">
        <v>1000</v>
      </c>
      <c r="K41" s="210"/>
      <c r="L41" s="210"/>
      <c r="M41" s="210"/>
      <c r="N41" s="210"/>
      <c r="O41" s="210"/>
      <c r="P41" s="208"/>
      <c r="Q41" s="2122">
        <v>0.08</v>
      </c>
      <c r="R41" s="2122"/>
      <c r="S41" s="348"/>
      <c r="T41" s="348"/>
      <c r="U41" s="348"/>
    </row>
    <row r="42" spans="1:21" s="332" customFormat="1" ht="11.45" customHeight="1">
      <c r="A42" s="210"/>
      <c r="B42" s="213" t="s">
        <v>492</v>
      </c>
      <c r="C42" s="210"/>
      <c r="D42" s="208"/>
      <c r="E42" s="208"/>
      <c r="F42" s="210"/>
      <c r="G42" s="210"/>
      <c r="H42" s="208"/>
      <c r="I42" s="208"/>
      <c r="J42" s="210"/>
      <c r="K42" s="210"/>
      <c r="L42" s="210"/>
      <c r="M42" s="210"/>
      <c r="N42" s="210"/>
      <c r="O42" s="210"/>
      <c r="P42" s="208"/>
      <c r="Q42" s="2126">
        <v>2700</v>
      </c>
      <c r="R42" s="2127"/>
      <c r="S42" s="348"/>
      <c r="T42" s="348"/>
      <c r="U42" s="348"/>
    </row>
    <row r="43" spans="1:21" s="332" customFormat="1" ht="11.45" customHeight="1">
      <c r="A43" s="210"/>
      <c r="B43" s="213" t="s">
        <v>2931</v>
      </c>
      <c r="C43" s="210"/>
      <c r="D43" s="208"/>
      <c r="E43" s="208"/>
      <c r="F43" s="210"/>
      <c r="G43" s="210"/>
      <c r="H43" s="208"/>
      <c r="I43" s="208"/>
      <c r="J43" s="210"/>
      <c r="K43" s="210"/>
      <c r="L43" s="210"/>
      <c r="M43" s="210"/>
      <c r="N43" s="210"/>
      <c r="O43" s="210"/>
      <c r="P43" s="208"/>
      <c r="Q43" s="2126">
        <v>1500</v>
      </c>
      <c r="R43" s="2127"/>
      <c r="S43" s="348"/>
      <c r="T43" s="348"/>
      <c r="U43" s="348"/>
    </row>
    <row r="44" spans="1:21" s="332" customFormat="1" ht="11.45" customHeight="1">
      <c r="A44" s="210"/>
      <c r="B44" s="210" t="s">
        <v>1002</v>
      </c>
      <c r="C44" s="210"/>
      <c r="D44" s="208"/>
      <c r="E44" s="208"/>
      <c r="F44" s="210" t="s">
        <v>1711</v>
      </c>
      <c r="G44" s="210"/>
      <c r="H44" s="208"/>
      <c r="I44" s="208"/>
      <c r="J44" s="210" t="s">
        <v>1628</v>
      </c>
      <c r="K44" s="210"/>
      <c r="L44" s="210"/>
      <c r="M44" s="210"/>
      <c r="N44" s="210"/>
      <c r="O44" s="210"/>
      <c r="P44" s="208"/>
      <c r="Q44" s="347">
        <v>800</v>
      </c>
      <c r="R44" s="347" t="s">
        <v>1846</v>
      </c>
      <c r="S44" s="348"/>
      <c r="T44" s="348"/>
      <c r="U44" s="348"/>
    </row>
    <row r="45" spans="1:21" s="332" customFormat="1" ht="11.45" customHeight="1">
      <c r="A45" s="210"/>
      <c r="B45" s="210"/>
      <c r="C45" s="210"/>
      <c r="D45" s="208"/>
      <c r="E45" s="208"/>
      <c r="F45" s="210" t="s">
        <v>2878</v>
      </c>
      <c r="G45" s="210"/>
      <c r="H45" s="208"/>
      <c r="I45" s="208"/>
      <c r="J45" s="210" t="s">
        <v>1628</v>
      </c>
      <c r="K45" s="210"/>
      <c r="L45" s="210"/>
      <c r="M45" s="210"/>
      <c r="N45" s="210"/>
      <c r="O45" s="210"/>
      <c r="P45" s="208"/>
      <c r="Q45" s="347">
        <v>400</v>
      </c>
      <c r="R45" s="347" t="s">
        <v>1846</v>
      </c>
      <c r="S45" s="348"/>
      <c r="T45" s="348"/>
      <c r="U45" s="348"/>
    </row>
    <row r="46" spans="1:21" s="332" customFormat="1" ht="11.45" customHeight="1">
      <c r="A46" s="210"/>
      <c r="B46" s="210"/>
      <c r="C46" s="210"/>
      <c r="D46" s="208"/>
      <c r="E46" s="208"/>
      <c r="F46" s="210" t="s">
        <v>3121</v>
      </c>
      <c r="G46" s="210"/>
      <c r="H46" s="208"/>
      <c r="I46" s="208"/>
      <c r="J46" s="210" t="s">
        <v>2876</v>
      </c>
      <c r="K46" s="210"/>
      <c r="L46" s="210"/>
      <c r="M46" s="210"/>
      <c r="N46" s="210"/>
      <c r="O46" s="210"/>
      <c r="P46" s="208"/>
      <c r="Q46" s="347">
        <v>1500</v>
      </c>
      <c r="R46" s="347" t="s">
        <v>1846</v>
      </c>
      <c r="S46" s="348"/>
      <c r="T46" s="348"/>
      <c r="U46" s="348"/>
    </row>
    <row r="47" spans="1:21" s="332" customFormat="1" ht="11.45" customHeight="1">
      <c r="A47" s="210"/>
      <c r="B47" s="213"/>
      <c r="C47" s="210"/>
      <c r="D47" s="208"/>
      <c r="E47" s="208"/>
      <c r="F47" s="210" t="s">
        <v>3119</v>
      </c>
      <c r="G47" s="210"/>
      <c r="H47" s="208"/>
      <c r="I47" s="208"/>
      <c r="J47" s="210" t="s">
        <v>1628</v>
      </c>
      <c r="K47" s="210"/>
      <c r="L47" s="210" t="s">
        <v>3120</v>
      </c>
      <c r="M47" s="210"/>
      <c r="N47" s="210"/>
      <c r="O47" s="210"/>
      <c r="P47" s="208"/>
      <c r="Q47" s="2126">
        <v>55</v>
      </c>
      <c r="R47" s="2127"/>
      <c r="S47" s="348"/>
      <c r="T47" s="348"/>
      <c r="U47" s="348"/>
    </row>
    <row r="48" spans="1:21" s="332" customFormat="1" ht="11.45" customHeight="1">
      <c r="A48" s="210"/>
      <c r="B48" s="210" t="s">
        <v>1983</v>
      </c>
      <c r="C48" s="210"/>
      <c r="D48" s="208"/>
      <c r="E48" s="208"/>
      <c r="F48" s="210"/>
      <c r="G48" s="210"/>
      <c r="H48" s="210"/>
      <c r="I48" s="208"/>
      <c r="J48" s="210" t="s">
        <v>1843</v>
      </c>
      <c r="K48" s="210"/>
      <c r="L48" s="210"/>
      <c r="M48" s="210"/>
      <c r="N48" s="210"/>
      <c r="O48" s="210"/>
      <c r="P48" s="208"/>
      <c r="Q48" s="2126">
        <v>1800000</v>
      </c>
      <c r="R48" s="2127"/>
      <c r="S48" s="348"/>
      <c r="T48" s="348"/>
      <c r="U48" s="348"/>
    </row>
    <row r="49" spans="1:21" s="332" customFormat="1" ht="11.45" customHeight="1">
      <c r="A49" s="210"/>
      <c r="B49" s="210"/>
      <c r="C49" s="210"/>
      <c r="D49" s="208"/>
      <c r="E49" s="208"/>
      <c r="F49" s="210" t="s">
        <v>1825</v>
      </c>
      <c r="G49" s="210"/>
      <c r="H49" s="210" t="s">
        <v>2436</v>
      </c>
      <c r="I49" s="208"/>
      <c r="J49" s="210" t="s">
        <v>1029</v>
      </c>
      <c r="K49" s="210"/>
      <c r="L49" s="210"/>
      <c r="M49" s="210"/>
      <c r="N49" s="210"/>
      <c r="O49" s="210"/>
      <c r="P49" s="208"/>
      <c r="Q49" s="2122">
        <v>0.15</v>
      </c>
      <c r="R49" s="2122"/>
      <c r="S49" s="348"/>
      <c r="T49" s="348"/>
      <c r="U49" s="348"/>
    </row>
    <row r="50" spans="1:21" s="332" customFormat="1" ht="11.45" customHeight="1">
      <c r="A50" s="210"/>
      <c r="B50" s="466"/>
      <c r="C50" s="210"/>
      <c r="D50" s="208"/>
      <c r="E50" s="208"/>
      <c r="F50" s="210"/>
      <c r="G50" s="210"/>
      <c r="H50" s="210" t="s">
        <v>1025</v>
      </c>
      <c r="I50" s="210" t="s">
        <v>1026</v>
      </c>
      <c r="J50" s="210" t="s">
        <v>1028</v>
      </c>
      <c r="K50" s="210"/>
      <c r="L50" s="210"/>
      <c r="M50" s="210"/>
      <c r="N50" s="210"/>
      <c r="O50" s="210"/>
      <c r="P50" s="208"/>
      <c r="Q50" s="2122">
        <v>0.15</v>
      </c>
      <c r="R50" s="2122"/>
      <c r="S50" s="348"/>
      <c r="T50" s="348"/>
      <c r="U50" s="348"/>
    </row>
    <row r="51" spans="1:21" s="332" customFormat="1" ht="11.45" customHeight="1">
      <c r="A51" s="210"/>
      <c r="B51" s="466"/>
      <c r="C51" s="210"/>
      <c r="D51" s="208"/>
      <c r="E51" s="208"/>
      <c r="F51" s="210"/>
      <c r="G51" s="210"/>
      <c r="H51" s="210"/>
      <c r="I51" s="210" t="s">
        <v>1027</v>
      </c>
      <c r="J51" s="210" t="s">
        <v>1030</v>
      </c>
      <c r="K51" s="210"/>
      <c r="L51" s="210"/>
      <c r="M51" s="210"/>
      <c r="N51" s="210"/>
      <c r="O51" s="210"/>
      <c r="P51" s="208"/>
      <c r="Q51" s="2122">
        <v>0.15</v>
      </c>
      <c r="R51" s="2122"/>
      <c r="S51" s="348"/>
      <c r="T51" s="348"/>
      <c r="U51" s="348"/>
    </row>
    <row r="52" spans="1:21" s="332" customFormat="1" ht="11.45" customHeight="1">
      <c r="A52" s="210"/>
      <c r="B52" s="466"/>
      <c r="C52" s="210"/>
      <c r="D52" s="208"/>
      <c r="E52" s="208"/>
      <c r="F52" s="210"/>
      <c r="G52" s="210"/>
      <c r="H52" s="210" t="s">
        <v>1024</v>
      </c>
      <c r="I52" s="208"/>
      <c r="J52" s="210" t="s">
        <v>1030</v>
      </c>
      <c r="K52" s="210"/>
      <c r="L52" s="210"/>
      <c r="M52" s="210"/>
      <c r="N52" s="210"/>
      <c r="O52" s="210"/>
      <c r="P52" s="208"/>
      <c r="Q52" s="2122">
        <v>0.15</v>
      </c>
      <c r="R52" s="2122"/>
      <c r="S52" s="348"/>
      <c r="T52" s="348"/>
      <c r="U52" s="348"/>
    </row>
    <row r="53" spans="1:21" s="332" customFormat="1" ht="11.45" customHeight="1">
      <c r="A53" s="210"/>
      <c r="B53" s="466"/>
      <c r="C53" s="210"/>
      <c r="D53" s="208"/>
      <c r="E53" s="208"/>
      <c r="F53" s="210"/>
      <c r="G53" s="210"/>
      <c r="H53" s="210"/>
      <c r="I53" s="210" t="s">
        <v>1031</v>
      </c>
      <c r="J53" s="210" t="s">
        <v>1032</v>
      </c>
      <c r="K53" s="210"/>
      <c r="L53" s="210"/>
      <c r="M53" s="210"/>
      <c r="N53" s="210"/>
      <c r="O53" s="210"/>
      <c r="P53" s="208"/>
      <c r="Q53" s="2122">
        <v>0.15</v>
      </c>
      <c r="R53" s="2122"/>
      <c r="S53" s="348"/>
      <c r="T53" s="348"/>
      <c r="U53" s="348"/>
    </row>
    <row r="54" spans="1:21" s="332" customFormat="1" ht="11.45" customHeight="1">
      <c r="A54" s="210"/>
      <c r="B54" s="466"/>
      <c r="C54" s="210"/>
      <c r="D54" s="208"/>
      <c r="E54" s="208"/>
      <c r="F54" s="210" t="s">
        <v>1873</v>
      </c>
      <c r="G54" s="210"/>
      <c r="H54" s="210"/>
      <c r="I54" s="208"/>
      <c r="J54" s="210" t="s">
        <v>2519</v>
      </c>
      <c r="K54" s="210"/>
      <c r="L54" s="210"/>
      <c r="M54" s="210"/>
      <c r="N54" s="210"/>
      <c r="O54" s="210"/>
      <c r="P54" s="208"/>
      <c r="Q54" s="2122">
        <v>0.15</v>
      </c>
      <c r="R54" s="2122"/>
      <c r="S54" s="348"/>
      <c r="T54" s="348"/>
      <c r="U54" s="348"/>
    </row>
    <row r="55" spans="1:21" s="332" customFormat="1" ht="11.45" customHeight="1">
      <c r="A55" s="210"/>
      <c r="B55" s="466"/>
      <c r="C55" s="210"/>
      <c r="D55" s="208"/>
      <c r="E55" s="208"/>
      <c r="G55" s="210"/>
      <c r="H55" s="210"/>
      <c r="I55" s="208"/>
      <c r="J55" s="210" t="s">
        <v>2520</v>
      </c>
      <c r="K55" s="210"/>
      <c r="L55" s="210"/>
      <c r="M55" s="210"/>
      <c r="N55" s="210"/>
      <c r="O55" s="210"/>
      <c r="P55" s="208"/>
      <c r="Q55" s="2122" t="s">
        <v>2521</v>
      </c>
      <c r="R55" s="2122"/>
      <c r="S55" s="348"/>
      <c r="T55" s="348"/>
      <c r="U55" s="348"/>
    </row>
    <row r="56" spans="1:21" s="332" customFormat="1" ht="11.45" customHeight="1">
      <c r="A56" s="210"/>
      <c r="B56" s="466"/>
      <c r="C56" s="210"/>
      <c r="D56" s="208"/>
      <c r="E56" s="208"/>
      <c r="F56" s="210" t="s">
        <v>2162</v>
      </c>
      <c r="G56" s="210"/>
      <c r="H56" s="210"/>
      <c r="I56" s="208"/>
      <c r="J56" s="210"/>
      <c r="K56" s="210"/>
      <c r="L56" s="210"/>
      <c r="M56" s="210"/>
      <c r="N56" s="210"/>
      <c r="O56" s="210"/>
      <c r="P56" s="208"/>
      <c r="Q56" s="468">
        <v>0</v>
      </c>
      <c r="R56" s="468">
        <v>15</v>
      </c>
      <c r="S56" s="348"/>
      <c r="T56" s="348"/>
      <c r="U56" s="348"/>
    </row>
    <row r="57" spans="1:21" s="332" customFormat="1" ht="11.45" customHeight="1">
      <c r="A57" s="210"/>
      <c r="B57" s="466"/>
      <c r="C57" s="210"/>
      <c r="D57" s="208"/>
      <c r="E57" s="208"/>
      <c r="F57" s="210" t="s">
        <v>2161</v>
      </c>
      <c r="G57" s="210"/>
      <c r="I57" s="208"/>
      <c r="J57" s="210"/>
      <c r="K57" s="210"/>
      <c r="L57" s="210"/>
      <c r="M57" s="210"/>
      <c r="N57" s="210"/>
      <c r="O57" s="210"/>
      <c r="P57" s="208"/>
      <c r="Q57" s="350">
        <v>0</v>
      </c>
      <c r="R57" s="350">
        <v>0.5</v>
      </c>
      <c r="S57" s="348"/>
      <c r="T57" s="348"/>
      <c r="U57" s="348"/>
    </row>
    <row r="58" spans="1:21" s="332" customFormat="1" ht="11.45" customHeight="1">
      <c r="A58" s="210"/>
      <c r="B58" s="210" t="s">
        <v>1874</v>
      </c>
      <c r="C58" s="210"/>
      <c r="D58" s="210"/>
      <c r="E58" s="210"/>
      <c r="F58" s="210"/>
      <c r="G58" s="210"/>
      <c r="H58" s="208"/>
      <c r="I58" s="208"/>
      <c r="J58" s="210" t="s">
        <v>1875</v>
      </c>
      <c r="K58" s="210"/>
      <c r="L58" s="210"/>
      <c r="M58" s="210"/>
      <c r="N58" s="210"/>
      <c r="O58" s="210"/>
      <c r="P58" s="208"/>
      <c r="Q58" s="351">
        <v>6</v>
      </c>
      <c r="R58" s="347" t="s">
        <v>1846</v>
      </c>
      <c r="S58" s="348"/>
      <c r="T58" s="348"/>
      <c r="U58" s="348"/>
    </row>
    <row r="59" spans="1:21" s="332" customFormat="1" ht="11.45" customHeight="1">
      <c r="A59" s="210"/>
      <c r="B59" s="210"/>
      <c r="C59" s="210"/>
      <c r="D59" s="210"/>
      <c r="E59" s="210"/>
      <c r="F59" s="210"/>
      <c r="G59" s="210"/>
      <c r="H59" s="208"/>
      <c r="I59" s="208"/>
      <c r="J59" s="210" t="s">
        <v>1876</v>
      </c>
      <c r="K59" s="210"/>
      <c r="L59" s="210"/>
      <c r="M59" s="210"/>
      <c r="N59" s="210"/>
      <c r="O59" s="210"/>
      <c r="P59" s="208"/>
      <c r="Q59" s="351">
        <v>6</v>
      </c>
      <c r="R59" s="347" t="s">
        <v>1846</v>
      </c>
      <c r="S59" s="348"/>
      <c r="T59" s="348"/>
      <c r="U59" s="348"/>
    </row>
    <row r="60" spans="1:21" s="332" customFormat="1" ht="11.45" customHeight="1">
      <c r="A60" s="210"/>
      <c r="B60" s="469" t="s">
        <v>2163</v>
      </c>
      <c r="C60" s="210"/>
      <c r="D60" s="208"/>
      <c r="E60" s="208"/>
      <c r="F60" s="210"/>
      <c r="G60" s="210"/>
      <c r="I60" s="208"/>
      <c r="J60" s="210" t="s">
        <v>2164</v>
      </c>
      <c r="K60" s="210"/>
      <c r="L60" s="210"/>
      <c r="M60" s="210"/>
      <c r="N60" s="210"/>
      <c r="O60" s="210"/>
      <c r="P60" s="208"/>
      <c r="Q60" s="351">
        <v>3</v>
      </c>
      <c r="R60" s="347" t="s">
        <v>1846</v>
      </c>
      <c r="S60" s="348"/>
      <c r="T60" s="348"/>
      <c r="U60" s="348"/>
    </row>
    <row r="61" spans="1:21" s="332" customFormat="1" ht="11.45" customHeight="1">
      <c r="A61" s="210"/>
      <c r="B61" s="213" t="s">
        <v>1877</v>
      </c>
      <c r="C61" s="210"/>
      <c r="D61" s="208"/>
      <c r="E61" s="210"/>
      <c r="F61" s="210"/>
      <c r="G61" s="210"/>
      <c r="H61" s="208"/>
      <c r="I61" s="208"/>
      <c r="J61" s="210" t="s">
        <v>1878</v>
      </c>
      <c r="K61" s="210"/>
      <c r="L61" s="210"/>
      <c r="M61" s="210"/>
      <c r="N61" s="210"/>
      <c r="O61" s="210"/>
      <c r="P61" s="208"/>
      <c r="Q61" s="2126">
        <v>3000</v>
      </c>
      <c r="R61" s="2127"/>
      <c r="S61" s="348"/>
      <c r="T61" s="348"/>
      <c r="U61" s="348"/>
    </row>
    <row r="62" spans="1:21" s="332" customFormat="1" ht="3" customHeight="1">
      <c r="A62" s="208"/>
      <c r="B62" s="210"/>
      <c r="C62" s="210"/>
      <c r="D62" s="210"/>
      <c r="E62" s="210"/>
      <c r="F62" s="210"/>
      <c r="G62" s="210"/>
      <c r="H62" s="210"/>
      <c r="I62" s="208"/>
      <c r="J62" s="210"/>
      <c r="K62" s="210"/>
      <c r="L62" s="210"/>
      <c r="M62" s="210"/>
      <c r="N62" s="210"/>
      <c r="O62" s="210"/>
      <c r="P62" s="208"/>
      <c r="Q62" s="210"/>
      <c r="R62" s="210"/>
      <c r="S62" s="348"/>
      <c r="T62" s="348"/>
      <c r="U62" s="348"/>
    </row>
    <row r="63" spans="1:21" s="332" customFormat="1" ht="12" customHeight="1">
      <c r="A63" s="337" t="s">
        <v>1879</v>
      </c>
      <c r="B63" s="210"/>
      <c r="C63" s="210"/>
      <c r="D63" s="210"/>
      <c r="E63" s="210"/>
      <c r="F63" s="210"/>
      <c r="G63" s="210"/>
      <c r="H63" s="210"/>
      <c r="I63" s="208"/>
      <c r="J63" s="210"/>
      <c r="K63" s="210"/>
      <c r="L63" s="210"/>
      <c r="M63" s="210"/>
      <c r="N63" s="210"/>
      <c r="O63" s="210"/>
      <c r="P63" s="208"/>
      <c r="Q63" s="210"/>
      <c r="R63" s="210"/>
      <c r="S63" s="348"/>
      <c r="T63" s="348"/>
      <c r="U63" s="348"/>
    </row>
    <row r="64" spans="1:21" ht="11.45" customHeight="1">
      <c r="B64" s="352" t="s">
        <v>2566</v>
      </c>
      <c r="C64" s="178"/>
      <c r="D64" s="178"/>
      <c r="E64" s="178"/>
      <c r="F64" s="178"/>
      <c r="G64" s="178"/>
      <c r="J64" s="353">
        <v>1</v>
      </c>
      <c r="K64" s="353">
        <v>2</v>
      </c>
      <c r="L64" s="353">
        <v>3</v>
      </c>
      <c r="M64" s="353">
        <v>4</v>
      </c>
      <c r="N64" s="353">
        <v>5</v>
      </c>
      <c r="O64" s="353">
        <v>6</v>
      </c>
      <c r="P64" s="353">
        <v>7</v>
      </c>
      <c r="Q64" s="353">
        <v>8</v>
      </c>
    </row>
    <row r="65" spans="1:26" ht="10.9" customHeight="1">
      <c r="B65" s="178"/>
      <c r="C65" s="178"/>
      <c r="D65" s="178"/>
      <c r="E65" s="178"/>
      <c r="F65" s="178"/>
      <c r="G65" s="178"/>
      <c r="J65" s="354">
        <v>0.7</v>
      </c>
      <c r="K65" s="354">
        <v>0.8</v>
      </c>
      <c r="L65" s="354">
        <v>0.9</v>
      </c>
      <c r="M65" s="353" t="s">
        <v>140</v>
      </c>
      <c r="N65" s="354">
        <v>1.08</v>
      </c>
      <c r="O65" s="354">
        <v>1.1599999999999999</v>
      </c>
      <c r="P65" s="354">
        <v>1.24</v>
      </c>
      <c r="Q65" s="354">
        <v>1.32</v>
      </c>
    </row>
    <row r="66" spans="1:26" s="348" customFormat="1" ht="11.45" customHeight="1">
      <c r="A66" s="210"/>
      <c r="B66" s="210" t="s">
        <v>1880</v>
      </c>
      <c r="C66" s="210"/>
      <c r="D66" s="210"/>
      <c r="E66" s="210"/>
      <c r="F66" s="210"/>
      <c r="G66" s="210"/>
      <c r="H66" s="210"/>
      <c r="J66" s="210" t="s">
        <v>1881</v>
      </c>
      <c r="K66" s="210"/>
      <c r="L66" s="210"/>
      <c r="M66" s="210"/>
      <c r="N66" s="210"/>
      <c r="O66" s="210"/>
      <c r="Q66" s="2122">
        <v>0.02</v>
      </c>
      <c r="R66" s="2122"/>
    </row>
    <row r="67" spans="1:26" s="348" customFormat="1" ht="11.45" customHeight="1">
      <c r="A67" s="210"/>
      <c r="B67" s="210" t="s">
        <v>1882</v>
      </c>
      <c r="C67" s="210"/>
      <c r="D67" s="210"/>
      <c r="E67" s="210"/>
      <c r="F67" s="210"/>
      <c r="G67" s="210"/>
      <c r="H67" s="210"/>
      <c r="J67" s="210" t="s">
        <v>1881</v>
      </c>
      <c r="K67" s="210"/>
      <c r="L67" s="210"/>
      <c r="M67" s="210"/>
      <c r="N67" s="210"/>
      <c r="O67" s="210"/>
      <c r="Q67" s="2122">
        <v>7.0000000000000007E-2</v>
      </c>
      <c r="R67" s="2122"/>
    </row>
    <row r="68" spans="1:26" s="348" customFormat="1" ht="11.45" customHeight="1">
      <c r="A68" s="210"/>
      <c r="B68" s="210" t="s">
        <v>1883</v>
      </c>
      <c r="C68" s="210"/>
      <c r="D68" s="210"/>
      <c r="E68" s="210"/>
      <c r="F68" s="210"/>
      <c r="G68" s="210"/>
      <c r="H68" s="210"/>
      <c r="J68" s="210" t="s">
        <v>1881</v>
      </c>
      <c r="K68" s="210"/>
      <c r="L68" s="210"/>
      <c r="M68" s="210"/>
      <c r="N68" s="210"/>
      <c r="O68" s="210"/>
      <c r="Q68" s="2122">
        <v>7.0000000000000007E-2</v>
      </c>
      <c r="R68" s="2122"/>
    </row>
    <row r="69" spans="1:26" s="332" customFormat="1" ht="11.45" customHeight="1">
      <c r="A69" s="210"/>
      <c r="B69" s="210" t="s">
        <v>137</v>
      </c>
      <c r="C69" s="210"/>
      <c r="D69" s="208"/>
      <c r="E69" s="208"/>
      <c r="F69" s="208"/>
      <c r="G69" s="210"/>
      <c r="H69" s="208"/>
      <c r="I69" s="208"/>
      <c r="J69" s="210" t="s">
        <v>1881</v>
      </c>
      <c r="K69" s="210"/>
      <c r="L69" s="210"/>
      <c r="M69" s="210"/>
      <c r="N69" s="210"/>
      <c r="O69" s="210"/>
      <c r="P69" s="208"/>
      <c r="Q69" s="2122">
        <v>0.03</v>
      </c>
      <c r="R69" s="2122"/>
      <c r="S69" s="348"/>
      <c r="T69" s="348"/>
      <c r="U69" s="348"/>
    </row>
    <row r="70" spans="1:26" s="332" customFormat="1" ht="11.45" customHeight="1">
      <c r="A70" s="210"/>
      <c r="B70" s="210" t="s">
        <v>138</v>
      </c>
      <c r="C70" s="210"/>
      <c r="D70" s="208"/>
      <c r="E70" s="208"/>
      <c r="F70" s="208"/>
      <c r="G70" s="210"/>
      <c r="H70" s="208"/>
      <c r="I70" s="208"/>
      <c r="J70" s="210" t="s">
        <v>1881</v>
      </c>
      <c r="K70" s="210"/>
      <c r="L70" s="210"/>
      <c r="M70" s="210"/>
      <c r="N70" s="210"/>
      <c r="O70" s="210"/>
      <c r="P70" s="208"/>
      <c r="Q70" s="2122">
        <v>0.03</v>
      </c>
      <c r="R70" s="2122"/>
      <c r="S70" s="348"/>
      <c r="T70" s="348"/>
      <c r="U70" s="348"/>
    </row>
    <row r="71" spans="1:26" s="332" customFormat="1" ht="11.45" customHeight="1">
      <c r="A71" s="210"/>
      <c r="B71" s="210" t="s">
        <v>139</v>
      </c>
      <c r="C71" s="210"/>
      <c r="D71" s="208"/>
      <c r="E71" s="208"/>
      <c r="F71" s="208"/>
      <c r="G71" s="210"/>
      <c r="H71" s="208"/>
      <c r="I71" s="208"/>
      <c r="J71" s="210" t="s">
        <v>1881</v>
      </c>
      <c r="K71" s="210"/>
      <c r="L71" s="210"/>
      <c r="M71" s="210"/>
      <c r="N71" s="210"/>
      <c r="O71" s="210"/>
      <c r="P71" s="208"/>
      <c r="Q71" s="2122">
        <v>0</v>
      </c>
      <c r="R71" s="2122"/>
      <c r="S71" s="348"/>
      <c r="T71" s="348"/>
      <c r="U71" s="348"/>
    </row>
    <row r="72" spans="1:26" s="332" customFormat="1" ht="4.1500000000000004" customHeight="1">
      <c r="A72" s="333"/>
      <c r="B72" s="333"/>
      <c r="C72" s="333"/>
      <c r="D72" s="333"/>
      <c r="E72" s="208"/>
      <c r="F72" s="333"/>
      <c r="G72" s="333"/>
      <c r="H72" s="208"/>
      <c r="I72" s="208"/>
      <c r="J72" s="333"/>
      <c r="K72" s="333"/>
      <c r="L72" s="333"/>
      <c r="M72" s="333"/>
      <c r="N72" s="333"/>
      <c r="O72" s="333"/>
      <c r="P72" s="208"/>
      <c r="Q72" s="334"/>
      <c r="R72" s="335"/>
      <c r="S72" s="208"/>
      <c r="T72" s="208"/>
      <c r="U72" s="208"/>
      <c r="W72" s="336"/>
      <c r="X72" s="336"/>
      <c r="Y72" s="336"/>
      <c r="Z72" s="336"/>
    </row>
    <row r="73" spans="1:26" s="332" customFormat="1" ht="11.45" customHeight="1">
      <c r="A73" s="337" t="s">
        <v>2871</v>
      </c>
      <c r="B73" s="210"/>
      <c r="C73" s="210"/>
      <c r="D73" s="208"/>
      <c r="E73" s="208"/>
      <c r="F73" s="210" t="s">
        <v>2773</v>
      </c>
      <c r="G73" s="210"/>
      <c r="H73" s="208"/>
      <c r="I73" s="208"/>
      <c r="J73" s="210" t="s">
        <v>2873</v>
      </c>
      <c r="K73" s="210"/>
      <c r="L73" s="210"/>
      <c r="M73" s="210"/>
      <c r="N73" s="210"/>
      <c r="O73" s="210"/>
      <c r="P73" s="208"/>
      <c r="Q73" s="2122">
        <v>0.1</v>
      </c>
      <c r="R73" s="2122"/>
      <c r="S73" s="208"/>
      <c r="T73" s="208"/>
      <c r="U73" s="208"/>
      <c r="V73" s="339"/>
      <c r="W73" s="339"/>
      <c r="X73" s="211"/>
    </row>
    <row r="74" spans="1:26" s="332" customFormat="1" ht="11.45" customHeight="1">
      <c r="A74" s="210"/>
      <c r="B74" s="210"/>
      <c r="C74" s="210"/>
      <c r="D74" s="208"/>
      <c r="E74" s="208"/>
      <c r="F74" s="210" t="s">
        <v>2872</v>
      </c>
      <c r="G74" s="210"/>
      <c r="H74" s="208"/>
      <c r="I74" s="208"/>
      <c r="J74" s="210" t="s">
        <v>2874</v>
      </c>
      <c r="K74" s="210"/>
      <c r="L74" s="210"/>
      <c r="M74" s="210"/>
      <c r="N74" s="210"/>
      <c r="O74" s="210"/>
      <c r="P74" s="208"/>
      <c r="Q74" s="2122">
        <v>0.15</v>
      </c>
      <c r="R74" s="2122"/>
      <c r="S74" s="340"/>
      <c r="T74" s="340"/>
      <c r="U74" s="208"/>
      <c r="V74" s="341"/>
      <c r="W74" s="341"/>
      <c r="X74" s="341"/>
    </row>
    <row r="75" spans="1:26" ht="4.5" customHeight="1"/>
    <row r="76" spans="1:26">
      <c r="A76" s="337" t="s">
        <v>3116</v>
      </c>
      <c r="F76" s="210" t="s">
        <v>2772</v>
      </c>
      <c r="G76" s="210"/>
      <c r="H76" s="208"/>
      <c r="I76" s="208"/>
      <c r="J76" s="210" t="s">
        <v>2873</v>
      </c>
      <c r="K76" s="210"/>
      <c r="L76" s="210"/>
      <c r="M76" s="210"/>
      <c r="N76" s="210"/>
      <c r="O76" s="210"/>
      <c r="P76" s="208"/>
      <c r="Q76" s="2122">
        <v>0.35</v>
      </c>
      <c r="R76" s="2122"/>
    </row>
    <row r="77" spans="1:26" s="332" customFormat="1" ht="12.75" customHeight="1">
      <c r="A77" s="337"/>
      <c r="B77" s="210"/>
      <c r="C77" s="210"/>
      <c r="D77" s="208"/>
      <c r="E77" s="208"/>
      <c r="F77" s="210" t="s">
        <v>3117</v>
      </c>
      <c r="G77" s="210"/>
      <c r="H77" s="208"/>
      <c r="I77" s="208"/>
      <c r="J77" s="210" t="s">
        <v>2873</v>
      </c>
      <c r="K77" s="210"/>
      <c r="L77" s="210"/>
      <c r="M77" s="210"/>
      <c r="N77" s="210"/>
      <c r="O77" s="210"/>
      <c r="P77" s="208"/>
      <c r="Q77" s="2122" t="s">
        <v>3118</v>
      </c>
      <c r="R77" s="2122"/>
      <c r="S77" s="208"/>
      <c r="T77" s="208"/>
      <c r="U77" s="208"/>
      <c r="V77" s="339"/>
      <c r="W77" s="339"/>
      <c r="X77" s="211"/>
    </row>
    <row r="78" spans="1:26" ht="13.15" customHeight="1">
      <c r="C78" s="355"/>
      <c r="D78" s="355"/>
      <c r="E78" s="355"/>
      <c r="F78" s="355"/>
      <c r="G78" s="355"/>
      <c r="H78" s="355"/>
      <c r="I78" s="355"/>
    </row>
    <row r="80" spans="1:26" ht="13.5">
      <c r="D80" s="487">
        <v>2014</v>
      </c>
      <c r="J80" s="463" t="s">
        <v>852</v>
      </c>
      <c r="K80" s="463"/>
      <c r="L80" s="330"/>
    </row>
    <row r="81" spans="3:12" ht="13.5">
      <c r="C81" s="643" t="s">
        <v>1353</v>
      </c>
      <c r="D81" s="462" t="s">
        <v>1091</v>
      </c>
      <c r="J81" s="464" t="s">
        <v>855</v>
      </c>
      <c r="K81" s="464" t="s">
        <v>853</v>
      </c>
      <c r="L81" s="465" t="s">
        <v>854</v>
      </c>
    </row>
    <row r="82" spans="3:12" ht="10.5" customHeight="1">
      <c r="C82" s="460" t="s">
        <v>1897</v>
      </c>
      <c r="D82" s="560">
        <v>41500</v>
      </c>
      <c r="E82" s="348"/>
      <c r="F82" s="348"/>
      <c r="J82" s="488">
        <v>0</v>
      </c>
      <c r="K82" s="488">
        <v>0.7</v>
      </c>
      <c r="L82" s="488">
        <v>1</v>
      </c>
    </row>
    <row r="83" spans="3:12" ht="10.5" customHeight="1">
      <c r="C83" s="460" t="s">
        <v>1283</v>
      </c>
      <c r="D83" s="560">
        <v>43700</v>
      </c>
      <c r="E83" s="348"/>
      <c r="F83" s="348"/>
      <c r="J83" s="488">
        <v>1</v>
      </c>
      <c r="K83" s="488">
        <v>0.75</v>
      </c>
      <c r="L83" s="488">
        <v>1.5</v>
      </c>
    </row>
    <row r="84" spans="3:12" ht="10.5" customHeight="1">
      <c r="C84" s="460" t="s">
        <v>1092</v>
      </c>
      <c r="D84" s="560">
        <v>55500</v>
      </c>
      <c r="E84" s="348"/>
      <c r="F84" s="348"/>
      <c r="J84" s="488">
        <v>2</v>
      </c>
      <c r="K84" s="488">
        <v>0.9</v>
      </c>
      <c r="L84" s="488">
        <v>3</v>
      </c>
    </row>
    <row r="85" spans="3:12" ht="10.5" customHeight="1">
      <c r="C85" s="460" t="s">
        <v>1893</v>
      </c>
      <c r="D85" s="560">
        <v>36700</v>
      </c>
      <c r="E85" s="348"/>
      <c r="F85" s="348"/>
      <c r="J85" s="488">
        <v>3</v>
      </c>
      <c r="K85" s="488">
        <v>1.04</v>
      </c>
      <c r="L85" s="488">
        <v>4.5</v>
      </c>
    </row>
    <row r="86" spans="3:12" ht="10.5" customHeight="1">
      <c r="C86" s="460" t="s">
        <v>809</v>
      </c>
      <c r="D86" s="560">
        <v>64400</v>
      </c>
      <c r="E86" s="348"/>
      <c r="F86" s="348"/>
      <c r="J86" s="488">
        <v>4</v>
      </c>
      <c r="K86" s="488">
        <v>1.1599999999999999</v>
      </c>
      <c r="L86" s="488">
        <v>6</v>
      </c>
    </row>
    <row r="87" spans="3:12" ht="10.5" customHeight="1">
      <c r="C87" s="460" t="s">
        <v>810</v>
      </c>
      <c r="D87" s="560">
        <v>55900</v>
      </c>
      <c r="E87" s="348"/>
      <c r="F87" s="348"/>
      <c r="J87" s="488">
        <v>5</v>
      </c>
      <c r="K87" s="488">
        <v>1.28</v>
      </c>
      <c r="L87" s="488">
        <v>7.5</v>
      </c>
    </row>
    <row r="88" spans="3:12" ht="10.5" customHeight="1">
      <c r="C88" s="460" t="s">
        <v>1895</v>
      </c>
      <c r="D88" s="560">
        <v>44500</v>
      </c>
      <c r="E88" s="348"/>
      <c r="F88" s="348"/>
    </row>
    <row r="89" spans="3:12" ht="10.5" customHeight="1">
      <c r="C89" s="460" t="s">
        <v>163</v>
      </c>
      <c r="D89" s="560">
        <v>51300</v>
      </c>
      <c r="E89" s="348"/>
      <c r="F89" s="348"/>
    </row>
    <row r="90" spans="3:12" ht="10.5" customHeight="1">
      <c r="C90" s="460" t="s">
        <v>1392</v>
      </c>
      <c r="D90" s="560">
        <v>51300</v>
      </c>
      <c r="E90" s="348"/>
      <c r="F90" s="348"/>
    </row>
    <row r="91" spans="3:12" ht="10.5" customHeight="1">
      <c r="C91" s="461" t="s">
        <v>1095</v>
      </c>
      <c r="D91" s="560">
        <v>39800</v>
      </c>
      <c r="E91" s="348"/>
      <c r="F91" s="348"/>
    </row>
    <row r="92" spans="3:12" ht="10.5" customHeight="1">
      <c r="C92" s="461" t="s">
        <v>1398</v>
      </c>
      <c r="D92" s="560">
        <v>43200</v>
      </c>
      <c r="E92" s="348"/>
      <c r="F92" s="348"/>
    </row>
    <row r="93" spans="3:12" ht="10.5" customHeight="1">
      <c r="C93" s="461" t="s">
        <v>1402</v>
      </c>
      <c r="D93" s="560">
        <v>53700</v>
      </c>
      <c r="E93" s="348"/>
      <c r="F93" s="348"/>
    </row>
    <row r="94" spans="3:12" ht="10.5" customHeight="1">
      <c r="C94" s="460" t="s">
        <v>12</v>
      </c>
      <c r="D94" s="560">
        <v>54800</v>
      </c>
      <c r="E94" s="348"/>
      <c r="F94" s="348"/>
    </row>
    <row r="95" spans="3:12" ht="10.5" customHeight="1">
      <c r="C95" s="461" t="s">
        <v>1408</v>
      </c>
      <c r="D95" s="560">
        <v>52700</v>
      </c>
      <c r="E95" s="348"/>
      <c r="F95" s="348"/>
    </row>
    <row r="96" spans="3:12" ht="10.5" customHeight="1">
      <c r="C96" s="460" t="s">
        <v>1093</v>
      </c>
      <c r="D96" s="560">
        <v>63500</v>
      </c>
      <c r="E96" s="348"/>
      <c r="F96" s="348"/>
    </row>
    <row r="97" spans="3:6" ht="10.5" customHeight="1">
      <c r="C97" s="461" t="s">
        <v>1413</v>
      </c>
      <c r="D97" s="560">
        <v>47300</v>
      </c>
      <c r="E97" s="348"/>
      <c r="F97" s="348"/>
    </row>
    <row r="98" spans="3:6" ht="10.5" customHeight="1">
      <c r="C98" s="461" t="s">
        <v>774</v>
      </c>
      <c r="D98" s="560">
        <v>62400</v>
      </c>
      <c r="E98" s="348"/>
      <c r="F98" s="348"/>
    </row>
    <row r="99" spans="3:6" ht="10.5" customHeight="1">
      <c r="C99" s="461" t="s">
        <v>776</v>
      </c>
      <c r="D99" s="560">
        <v>43100</v>
      </c>
      <c r="E99" s="348"/>
      <c r="F99" s="348"/>
    </row>
    <row r="100" spans="3:6" ht="10.5" customHeight="1">
      <c r="C100" s="460" t="s">
        <v>165</v>
      </c>
      <c r="D100" s="560">
        <v>50700</v>
      </c>
      <c r="E100" s="348"/>
      <c r="F100" s="348"/>
    </row>
    <row r="101" spans="3:6" ht="10.5" customHeight="1">
      <c r="C101" s="460" t="s">
        <v>1619</v>
      </c>
      <c r="D101" s="560">
        <v>54200</v>
      </c>
      <c r="E101" s="348"/>
      <c r="F101" s="348"/>
    </row>
    <row r="102" spans="3:6" ht="10.5" customHeight="1">
      <c r="C102" s="460" t="s">
        <v>170</v>
      </c>
      <c r="D102" s="560">
        <v>40700</v>
      </c>
      <c r="E102" s="348"/>
      <c r="F102" s="348"/>
    </row>
    <row r="103" spans="3:6" ht="10.5" customHeight="1">
      <c r="C103" s="460" t="s">
        <v>2641</v>
      </c>
      <c r="D103" s="560">
        <v>32600</v>
      </c>
      <c r="E103" s="348"/>
      <c r="F103" s="348"/>
    </row>
    <row r="104" spans="3:6" ht="10.5" customHeight="1">
      <c r="C104" s="461" t="s">
        <v>2644</v>
      </c>
      <c r="D104" s="560">
        <v>45300</v>
      </c>
      <c r="E104" s="348"/>
      <c r="F104" s="348"/>
    </row>
    <row r="105" spans="3:6" ht="10.5" customHeight="1">
      <c r="C105" s="461" t="s">
        <v>2647</v>
      </c>
      <c r="D105" s="560">
        <v>40800</v>
      </c>
      <c r="E105" s="348"/>
      <c r="F105" s="348"/>
    </row>
    <row r="106" spans="3:6" ht="10.5" customHeight="1">
      <c r="C106" s="461" t="s">
        <v>2691</v>
      </c>
      <c r="D106" s="560">
        <v>42600</v>
      </c>
      <c r="E106" s="348"/>
      <c r="F106" s="348"/>
    </row>
    <row r="107" spans="3:6" ht="10.5" customHeight="1">
      <c r="C107" s="460" t="s">
        <v>168</v>
      </c>
      <c r="D107" s="560">
        <v>51000</v>
      </c>
      <c r="E107" s="348"/>
      <c r="F107" s="348"/>
    </row>
    <row r="108" spans="3:6" ht="10.5" customHeight="1">
      <c r="C108" s="461" t="s">
        <v>2694</v>
      </c>
      <c r="D108" s="560">
        <v>47400</v>
      </c>
      <c r="E108" s="348"/>
      <c r="F108" s="348"/>
    </row>
    <row r="109" spans="3:6" ht="10.5" customHeight="1">
      <c r="C109" s="461" t="s">
        <v>201</v>
      </c>
      <c r="D109" s="560">
        <v>43900</v>
      </c>
      <c r="E109" s="348"/>
      <c r="F109" s="348"/>
    </row>
    <row r="110" spans="3:6" ht="10.5" customHeight="1">
      <c r="C110" s="461" t="s">
        <v>353</v>
      </c>
      <c r="D110" s="560">
        <v>40600</v>
      </c>
      <c r="E110" s="348"/>
      <c r="F110" s="348"/>
    </row>
    <row r="111" spans="3:6" ht="10.5" customHeight="1">
      <c r="C111" s="460" t="s">
        <v>205</v>
      </c>
      <c r="D111" s="560">
        <v>43200</v>
      </c>
      <c r="E111" s="348"/>
      <c r="F111" s="348"/>
    </row>
    <row r="112" spans="3:6" ht="10.5" customHeight="1">
      <c r="C112" s="460" t="s">
        <v>1003</v>
      </c>
      <c r="D112" s="560">
        <v>46300</v>
      </c>
      <c r="E112" s="348"/>
      <c r="F112" s="348"/>
    </row>
    <row r="113" spans="3:6" ht="10.5" customHeight="1">
      <c r="C113" s="461" t="s">
        <v>1005</v>
      </c>
      <c r="D113" s="560">
        <v>44400</v>
      </c>
      <c r="E113" s="348"/>
      <c r="F113" s="348"/>
    </row>
    <row r="114" spans="3:6" ht="10.5" customHeight="1">
      <c r="C114" s="460" t="s">
        <v>924</v>
      </c>
      <c r="D114" s="560">
        <v>42600</v>
      </c>
      <c r="E114" s="348"/>
      <c r="F114" s="348"/>
    </row>
    <row r="115" spans="3:6" ht="10.5" customHeight="1">
      <c r="C115" s="461" t="s">
        <v>928</v>
      </c>
      <c r="D115" s="560">
        <v>38900</v>
      </c>
      <c r="E115" s="348"/>
      <c r="F115" s="348"/>
    </row>
    <row r="116" spans="3:6" ht="10.5" customHeight="1">
      <c r="C116" s="461" t="s">
        <v>2383</v>
      </c>
      <c r="D116" s="560">
        <v>38700</v>
      </c>
      <c r="E116" s="348"/>
      <c r="F116" s="348"/>
    </row>
    <row r="117" spans="3:6" ht="10.5" customHeight="1">
      <c r="C117" s="461" t="s">
        <v>694</v>
      </c>
      <c r="D117" s="560">
        <v>46700</v>
      </c>
      <c r="E117" s="348"/>
      <c r="F117" s="348"/>
    </row>
    <row r="118" spans="3:6" ht="10.5" customHeight="1">
      <c r="C118" s="461" t="s">
        <v>696</v>
      </c>
      <c r="D118" s="560">
        <v>43700</v>
      </c>
      <c r="E118" s="348"/>
      <c r="F118" s="348"/>
    </row>
    <row r="119" spans="3:6" ht="10.5" customHeight="1">
      <c r="C119" s="461" t="s">
        <v>701</v>
      </c>
      <c r="D119" s="560">
        <v>45600</v>
      </c>
      <c r="E119" s="348"/>
      <c r="F119" s="348"/>
    </row>
    <row r="120" spans="3:6" ht="10.5" customHeight="1">
      <c r="C120" s="461" t="s">
        <v>1292</v>
      </c>
      <c r="D120" s="560">
        <v>56100</v>
      </c>
      <c r="E120" s="348"/>
      <c r="F120" s="348"/>
    </row>
    <row r="121" spans="3:6" ht="10.5" customHeight="1">
      <c r="C121" s="461" t="s">
        <v>703</v>
      </c>
      <c r="D121" s="560">
        <v>46200</v>
      </c>
      <c r="E121" s="348"/>
      <c r="F121" s="348"/>
    </row>
    <row r="122" spans="3:6" ht="10.5" customHeight="1">
      <c r="C122" s="461" t="s">
        <v>705</v>
      </c>
      <c r="D122" s="560">
        <v>50100</v>
      </c>
      <c r="E122" s="348"/>
      <c r="F122" s="348"/>
    </row>
    <row r="123" spans="3:6" ht="10.5" customHeight="1">
      <c r="C123" s="461" t="s">
        <v>708</v>
      </c>
      <c r="D123" s="560">
        <v>52000</v>
      </c>
      <c r="E123" s="348"/>
      <c r="F123" s="348"/>
    </row>
    <row r="124" spans="3:6" ht="10.5" customHeight="1">
      <c r="C124" s="461" t="s">
        <v>710</v>
      </c>
      <c r="D124" s="560">
        <v>42900</v>
      </c>
      <c r="E124" s="348"/>
      <c r="F124" s="348"/>
    </row>
    <row r="125" spans="3:6" ht="10.5" customHeight="1">
      <c r="C125" s="461" t="s">
        <v>712</v>
      </c>
      <c r="D125" s="560">
        <v>47000</v>
      </c>
      <c r="E125" s="348"/>
      <c r="F125" s="348"/>
    </row>
    <row r="126" spans="3:6" ht="10.5" customHeight="1">
      <c r="C126" s="461" t="s">
        <v>126</v>
      </c>
      <c r="D126" s="560">
        <v>52100</v>
      </c>
      <c r="E126" s="348"/>
      <c r="F126" s="348"/>
    </row>
    <row r="127" spans="3:6" ht="10.5" customHeight="1">
      <c r="C127" s="461" t="s">
        <v>331</v>
      </c>
      <c r="D127" s="560">
        <v>32900</v>
      </c>
      <c r="E127" s="348"/>
      <c r="F127" s="348"/>
    </row>
    <row r="128" spans="3:6" ht="10.5" customHeight="1">
      <c r="C128" s="461" t="s">
        <v>811</v>
      </c>
      <c r="D128" s="560">
        <v>46300</v>
      </c>
      <c r="E128" s="348"/>
      <c r="F128" s="348"/>
    </row>
    <row r="129" spans="3:6" ht="10.5" customHeight="1">
      <c r="C129" s="461" t="s">
        <v>335</v>
      </c>
      <c r="D129" s="560">
        <v>48900</v>
      </c>
      <c r="E129" s="348"/>
      <c r="F129" s="348"/>
    </row>
    <row r="130" spans="3:6" ht="10.5" customHeight="1">
      <c r="C130" s="461" t="s">
        <v>1094</v>
      </c>
      <c r="D130" s="560">
        <v>50000</v>
      </c>
      <c r="E130" s="348"/>
      <c r="F130" s="348"/>
    </row>
    <row r="131" spans="3:6" ht="10.5" customHeight="1">
      <c r="C131" s="461" t="s">
        <v>340</v>
      </c>
      <c r="D131" s="560">
        <v>52200</v>
      </c>
      <c r="E131" s="348"/>
      <c r="F131" s="348"/>
    </row>
    <row r="132" spans="3:6" ht="10.5" customHeight="1">
      <c r="C132" s="460" t="s">
        <v>342</v>
      </c>
      <c r="D132" s="560">
        <v>61500</v>
      </c>
      <c r="E132" s="348"/>
      <c r="F132" s="348"/>
    </row>
    <row r="133" spans="3:6" ht="10.5" customHeight="1">
      <c r="C133" s="461" t="s">
        <v>345</v>
      </c>
      <c r="D133" s="560">
        <v>45500</v>
      </c>
      <c r="E133" s="348"/>
      <c r="F133" s="348"/>
    </row>
    <row r="134" spans="3:6" ht="10.5" customHeight="1">
      <c r="C134" s="460" t="s">
        <v>347</v>
      </c>
      <c r="D134" s="560">
        <v>38600</v>
      </c>
      <c r="E134" s="348"/>
      <c r="F134" s="348"/>
    </row>
    <row r="135" spans="3:6" ht="10.5" customHeight="1">
      <c r="C135" s="461" t="s">
        <v>349</v>
      </c>
      <c r="D135" s="560">
        <v>27900</v>
      </c>
      <c r="E135" s="348"/>
      <c r="F135" s="348"/>
    </row>
    <row r="136" spans="3:6" ht="10.5" customHeight="1">
      <c r="C136" s="461" t="s">
        <v>351</v>
      </c>
      <c r="D136" s="560">
        <v>38900</v>
      </c>
      <c r="E136" s="348"/>
      <c r="F136" s="348"/>
    </row>
    <row r="137" spans="3:6" ht="10.5" customHeight="1">
      <c r="C137" s="461" t="s">
        <v>812</v>
      </c>
      <c r="D137" s="560">
        <v>46600</v>
      </c>
      <c r="E137" s="348"/>
      <c r="F137" s="348"/>
    </row>
    <row r="138" spans="3:6" ht="10.5" customHeight="1">
      <c r="C138" s="461" t="s">
        <v>1543</v>
      </c>
      <c r="D138" s="560">
        <v>47400</v>
      </c>
      <c r="E138" s="348"/>
      <c r="F138" s="348"/>
    </row>
    <row r="139" spans="3:6" ht="10.5" customHeight="1">
      <c r="C139" s="461" t="s">
        <v>1547</v>
      </c>
      <c r="D139" s="560">
        <v>46500</v>
      </c>
      <c r="E139" s="348"/>
      <c r="F139" s="348"/>
    </row>
    <row r="140" spans="3:6" ht="10.5" customHeight="1">
      <c r="C140" s="461" t="s">
        <v>1549</v>
      </c>
      <c r="D140" s="560">
        <v>49700</v>
      </c>
      <c r="E140" s="348"/>
      <c r="F140" s="348"/>
    </row>
    <row r="141" spans="3:6" ht="10.5" customHeight="1">
      <c r="C141" s="461" t="s">
        <v>184</v>
      </c>
      <c r="D141" s="560">
        <v>55200</v>
      </c>
      <c r="E141" s="348"/>
      <c r="F141" s="348"/>
    </row>
    <row r="142" spans="3:6" ht="10.5" customHeight="1">
      <c r="C142" s="461" t="s">
        <v>1400</v>
      </c>
      <c r="D142" s="560">
        <v>49800</v>
      </c>
      <c r="E142" s="348"/>
      <c r="F142" s="348"/>
    </row>
    <row r="143" spans="3:6" ht="10.5" customHeight="1">
      <c r="C143" s="461" t="s">
        <v>185</v>
      </c>
      <c r="D143" s="560">
        <v>38100</v>
      </c>
      <c r="E143" s="348"/>
      <c r="F143" s="348"/>
    </row>
    <row r="144" spans="3:6" ht="10.5" customHeight="1">
      <c r="C144" s="461" t="s">
        <v>814</v>
      </c>
      <c r="D144" s="560">
        <v>47500</v>
      </c>
      <c r="E144" s="348"/>
      <c r="F144" s="348"/>
    </row>
    <row r="145" spans="3:6" ht="10.5" customHeight="1">
      <c r="C145" s="461" t="s">
        <v>1734</v>
      </c>
      <c r="D145" s="560">
        <v>42800</v>
      </c>
      <c r="E145" s="348"/>
      <c r="F145" s="348"/>
    </row>
    <row r="146" spans="3:6" ht="10.5" customHeight="1">
      <c r="C146" s="461" t="s">
        <v>1736</v>
      </c>
      <c r="D146" s="560">
        <v>47700</v>
      </c>
      <c r="E146" s="348"/>
      <c r="F146" s="348"/>
    </row>
    <row r="147" spans="3:6" ht="10.5" customHeight="1">
      <c r="C147" s="461" t="s">
        <v>2172</v>
      </c>
      <c r="D147" s="560">
        <v>63200</v>
      </c>
      <c r="E147" s="348"/>
      <c r="F147" s="348"/>
    </row>
    <row r="148" spans="3:6" ht="10.5" customHeight="1">
      <c r="C148" s="461" t="s">
        <v>192</v>
      </c>
      <c r="D148" s="560">
        <v>46200</v>
      </c>
      <c r="E148" s="348"/>
      <c r="F148" s="348"/>
    </row>
    <row r="149" spans="3:6" ht="10.5" customHeight="1">
      <c r="C149" s="460" t="s">
        <v>2758</v>
      </c>
      <c r="D149" s="560">
        <v>62400</v>
      </c>
      <c r="E149" s="348"/>
      <c r="F149" s="348"/>
    </row>
    <row r="150" spans="3:6" ht="10.5" customHeight="1">
      <c r="C150" s="461" t="s">
        <v>2760</v>
      </c>
      <c r="D150" s="560">
        <v>44200</v>
      </c>
      <c r="E150" s="348"/>
      <c r="F150" s="348"/>
    </row>
    <row r="151" spans="3:6" ht="10.5" customHeight="1">
      <c r="C151" s="461" t="s">
        <v>1151</v>
      </c>
      <c r="D151" s="560">
        <v>55600</v>
      </c>
      <c r="E151" s="348"/>
      <c r="F151" s="348"/>
    </row>
    <row r="152" spans="3:6" ht="10.5" customHeight="1">
      <c r="C152" s="461" t="s">
        <v>1154</v>
      </c>
      <c r="D152" s="560">
        <v>48700</v>
      </c>
      <c r="E152" s="348"/>
      <c r="F152" s="348"/>
    </row>
    <row r="153" spans="3:6" ht="10.5" customHeight="1">
      <c r="C153" s="461" t="s">
        <v>1157</v>
      </c>
      <c r="D153" s="560">
        <v>49100</v>
      </c>
      <c r="E153" s="348"/>
      <c r="F153" s="348"/>
    </row>
    <row r="154" spans="3:6" ht="10.5" customHeight="1">
      <c r="C154" s="460" t="s">
        <v>1159</v>
      </c>
      <c r="D154" s="560">
        <v>47500</v>
      </c>
      <c r="E154" s="348"/>
      <c r="F154" s="348"/>
    </row>
    <row r="155" spans="3:6" ht="10.5" customHeight="1">
      <c r="C155" s="461" t="s">
        <v>1161</v>
      </c>
      <c r="D155" s="560">
        <v>51100</v>
      </c>
      <c r="E155" s="348"/>
      <c r="F155" s="348"/>
    </row>
    <row r="156" spans="3:6" ht="10.5" customHeight="1">
      <c r="C156" s="461" t="s">
        <v>1163</v>
      </c>
      <c r="D156" s="560">
        <v>38300</v>
      </c>
      <c r="E156" s="348"/>
      <c r="F156" s="348"/>
    </row>
    <row r="157" spans="3:6" ht="10.5" customHeight="1">
      <c r="C157" s="461" t="s">
        <v>1165</v>
      </c>
      <c r="D157" s="560">
        <v>52300</v>
      </c>
      <c r="E157" s="348"/>
      <c r="F157" s="348"/>
    </row>
    <row r="158" spans="3:6" ht="10.5" customHeight="1">
      <c r="C158" s="460" t="s">
        <v>1167</v>
      </c>
      <c r="D158" s="560">
        <v>36600</v>
      </c>
      <c r="E158" s="348"/>
      <c r="F158" s="348"/>
    </row>
    <row r="159" spans="3:6" ht="10.5" customHeight="1">
      <c r="C159" s="460" t="s">
        <v>2408</v>
      </c>
      <c r="D159" s="560">
        <v>52300</v>
      </c>
      <c r="E159" s="348"/>
      <c r="F159" s="348"/>
    </row>
    <row r="160" spans="3:6" ht="10.5" customHeight="1">
      <c r="C160" s="461" t="s">
        <v>1406</v>
      </c>
      <c r="D160" s="560">
        <v>58500</v>
      </c>
      <c r="E160" s="348"/>
      <c r="F160" s="348"/>
    </row>
    <row r="161" spans="3:6" ht="10.5" customHeight="1">
      <c r="C161" s="461" t="s">
        <v>2300</v>
      </c>
      <c r="D161" s="560">
        <v>51500</v>
      </c>
      <c r="E161" s="348"/>
      <c r="F161" s="348"/>
    </row>
    <row r="162" spans="3:6" ht="10.5" customHeight="1">
      <c r="C162" s="461" t="s">
        <v>2302</v>
      </c>
      <c r="D162" s="560">
        <v>46700</v>
      </c>
      <c r="E162" s="348"/>
      <c r="F162" s="348"/>
    </row>
    <row r="163" spans="3:6" ht="10.5" customHeight="1">
      <c r="C163" s="461" t="s">
        <v>2304</v>
      </c>
      <c r="D163" s="560">
        <v>40400</v>
      </c>
      <c r="E163" s="348"/>
      <c r="F163" s="348"/>
    </row>
    <row r="164" spans="3:6" ht="10.5" customHeight="1">
      <c r="C164" s="461" t="s">
        <v>2307</v>
      </c>
      <c r="D164" s="560">
        <v>49300</v>
      </c>
      <c r="E164" s="348"/>
      <c r="F164" s="348"/>
    </row>
    <row r="165" spans="3:6" ht="10.5" customHeight="1">
      <c r="C165" s="460" t="s">
        <v>2309</v>
      </c>
      <c r="D165" s="560">
        <v>41100</v>
      </c>
      <c r="E165" s="348"/>
      <c r="F165" s="348"/>
    </row>
    <row r="166" spans="3:6" ht="10.5" customHeight="1">
      <c r="C166" s="460" t="s">
        <v>2311</v>
      </c>
      <c r="D166" s="560">
        <v>45200</v>
      </c>
      <c r="E166" s="348"/>
      <c r="F166" s="348"/>
    </row>
    <row r="167" spans="3:6" ht="10.5" customHeight="1">
      <c r="C167" s="461" t="s">
        <v>2313</v>
      </c>
      <c r="D167" s="560">
        <v>46100</v>
      </c>
      <c r="E167" s="348"/>
      <c r="F167" s="348"/>
    </row>
    <row r="168" spans="3:6" ht="10.5" customHeight="1">
      <c r="C168" s="461" t="s">
        <v>2315</v>
      </c>
      <c r="D168" s="560">
        <v>32300</v>
      </c>
      <c r="E168" s="348"/>
      <c r="F168" s="348"/>
    </row>
    <row r="169" spans="3:6" ht="10.5" customHeight="1">
      <c r="C169" s="461" t="s">
        <v>2317</v>
      </c>
      <c r="D169" s="560">
        <v>46900</v>
      </c>
      <c r="E169" s="348"/>
      <c r="F169" s="348"/>
    </row>
    <row r="170" spans="3:6" ht="10.5" customHeight="1">
      <c r="C170" s="461" t="s">
        <v>919</v>
      </c>
      <c r="D170" s="560">
        <v>40400</v>
      </c>
      <c r="E170" s="348"/>
      <c r="F170" s="348"/>
    </row>
    <row r="171" spans="3:6" ht="10.5" customHeight="1">
      <c r="C171" s="461" t="s">
        <v>921</v>
      </c>
      <c r="D171" s="560">
        <v>32900</v>
      </c>
      <c r="E171" s="348"/>
      <c r="F171" s="348"/>
    </row>
    <row r="172" spans="3:6" ht="10.5" customHeight="1">
      <c r="C172" s="461" t="s">
        <v>1771</v>
      </c>
      <c r="D172" s="560">
        <v>47100</v>
      </c>
      <c r="E172" s="348"/>
      <c r="F172" s="348"/>
    </row>
    <row r="173" spans="3:6" ht="10.5" customHeight="1">
      <c r="C173" s="461" t="s">
        <v>2034</v>
      </c>
      <c r="D173" s="560">
        <v>48800</v>
      </c>
      <c r="E173" s="348"/>
      <c r="F173" s="348"/>
    </row>
    <row r="174" spans="3:6" ht="10.5" customHeight="1">
      <c r="C174" s="460" t="s">
        <v>2036</v>
      </c>
      <c r="D174" s="560">
        <v>47500</v>
      </c>
      <c r="E174" s="348"/>
      <c r="F174" s="348"/>
    </row>
    <row r="175" spans="3:6" ht="10.5" customHeight="1">
      <c r="C175" s="460" t="s">
        <v>2038</v>
      </c>
      <c r="D175" s="560">
        <v>51400</v>
      </c>
      <c r="E175" s="348"/>
      <c r="F175" s="348"/>
    </row>
    <row r="176" spans="3:6" ht="10.5" customHeight="1">
      <c r="C176" s="460" t="s">
        <v>2040</v>
      </c>
      <c r="D176" s="560">
        <v>46100</v>
      </c>
      <c r="E176" s="348"/>
      <c r="F176" s="348"/>
    </row>
    <row r="177" spans="3:6" ht="10.5" customHeight="1">
      <c r="C177" s="460" t="s">
        <v>2042</v>
      </c>
      <c r="D177" s="560">
        <v>49000</v>
      </c>
      <c r="E177" s="348"/>
      <c r="F177" s="348"/>
    </row>
    <row r="178" spans="3:6" ht="10.5" customHeight="1">
      <c r="C178" s="460" t="s">
        <v>2044</v>
      </c>
      <c r="D178" s="560">
        <v>43600</v>
      </c>
      <c r="E178" s="348"/>
      <c r="F178" s="348"/>
    </row>
    <row r="179" spans="3:6" ht="10.5" customHeight="1">
      <c r="C179" s="461" t="s">
        <v>2047</v>
      </c>
      <c r="D179" s="560">
        <v>52800</v>
      </c>
      <c r="E179" s="348"/>
      <c r="F179" s="348"/>
    </row>
    <row r="180" spans="3:6" ht="10.5" customHeight="1">
      <c r="C180" s="460" t="s">
        <v>2134</v>
      </c>
      <c r="D180" s="560">
        <v>44600</v>
      </c>
      <c r="E180" s="348"/>
      <c r="F180" s="348"/>
    </row>
    <row r="181" spans="3:6" ht="10.5" customHeight="1">
      <c r="C181" s="460" t="s">
        <v>1806</v>
      </c>
      <c r="D181" s="560">
        <v>45200</v>
      </c>
      <c r="E181" s="348"/>
      <c r="F181" s="348"/>
    </row>
    <row r="182" spans="3:6" ht="10.5" customHeight="1">
      <c r="C182" s="461" t="s">
        <v>106</v>
      </c>
      <c r="D182" s="560">
        <v>48900</v>
      </c>
      <c r="E182" s="348"/>
      <c r="F182" s="348"/>
    </row>
    <row r="183" spans="3:6" ht="10.5" customHeight="1">
      <c r="C183" s="460" t="s">
        <v>1819</v>
      </c>
      <c r="D183" s="560">
        <v>64400</v>
      </c>
      <c r="E183" s="348"/>
      <c r="F183" s="348"/>
    </row>
    <row r="184" spans="3:6" ht="10.5" customHeight="1">
      <c r="C184" s="460" t="s">
        <v>108</v>
      </c>
      <c r="D184" s="560">
        <v>42000</v>
      </c>
      <c r="E184" s="348"/>
      <c r="F184" s="348"/>
    </row>
    <row r="185" spans="3:6" ht="10.5" customHeight="1">
      <c r="C185" s="460" t="s">
        <v>110</v>
      </c>
      <c r="D185" s="560">
        <v>46400</v>
      </c>
      <c r="E185" s="348"/>
      <c r="F185" s="348"/>
    </row>
    <row r="186" spans="3:6" ht="10.5" customHeight="1">
      <c r="C186" s="460" t="s">
        <v>112</v>
      </c>
      <c r="D186" s="560">
        <v>49900</v>
      </c>
      <c r="E186" s="348"/>
      <c r="F186" s="348"/>
    </row>
    <row r="187" spans="3:6" ht="10.5" customHeight="1">
      <c r="C187" s="460" t="s">
        <v>114</v>
      </c>
      <c r="D187" s="560">
        <v>47100</v>
      </c>
      <c r="E187" s="348"/>
      <c r="F187" s="348"/>
    </row>
    <row r="188" spans="3:6" ht="10.5" customHeight="1">
      <c r="C188" s="460" t="s">
        <v>116</v>
      </c>
      <c r="D188" s="560">
        <v>41500</v>
      </c>
      <c r="E188" s="348"/>
      <c r="F188" s="348"/>
    </row>
    <row r="189" spans="3:6" ht="10.5" customHeight="1">
      <c r="C189" s="460" t="s">
        <v>118</v>
      </c>
      <c r="D189" s="560">
        <v>53500</v>
      </c>
      <c r="E189" s="348"/>
      <c r="F189" s="348"/>
    </row>
    <row r="190" spans="3:6" ht="10.5" customHeight="1">
      <c r="C190" s="460" t="s">
        <v>2547</v>
      </c>
      <c r="D190" s="560">
        <v>40900</v>
      </c>
      <c r="E190" s="348"/>
      <c r="F190" s="348"/>
    </row>
    <row r="191" spans="3:6" ht="10.5" customHeight="1">
      <c r="C191" s="460" t="s">
        <v>2549</v>
      </c>
      <c r="D191" s="560">
        <v>38900</v>
      </c>
      <c r="E191" s="348"/>
      <c r="F191" s="348"/>
    </row>
    <row r="192" spans="3:6" ht="10.5" customHeight="1">
      <c r="C192" s="460" t="s">
        <v>2551</v>
      </c>
      <c r="D192" s="560">
        <v>46700</v>
      </c>
      <c r="E192" s="348"/>
      <c r="F192" s="348"/>
    </row>
  </sheetData>
  <sheetProtection password="ACD2" sheet="1" objects="1" scenarios="1"/>
  <mergeCells count="31">
    <mergeCell ref="Q77:R77"/>
    <mergeCell ref="Q47:R47"/>
    <mergeCell ref="Q74:R74"/>
    <mergeCell ref="Q73:R73"/>
    <mergeCell ref="Q76:R76"/>
    <mergeCell ref="Q54:R54"/>
    <mergeCell ref="Q61:R61"/>
    <mergeCell ref="Q50:R50"/>
    <mergeCell ref="Q52:R52"/>
    <mergeCell ref="Q55:R55"/>
    <mergeCell ref="Q51:R51"/>
    <mergeCell ref="Q53:R53"/>
    <mergeCell ref="Q49:R49"/>
    <mergeCell ref="Q70:R70"/>
    <mergeCell ref="Q71:R71"/>
    <mergeCell ref="Q66:R66"/>
    <mergeCell ref="Q67:R67"/>
    <mergeCell ref="Q68:R68"/>
    <mergeCell ref="Q69:R69"/>
    <mergeCell ref="A2:R2"/>
    <mergeCell ref="Q26:R26"/>
    <mergeCell ref="Q27:R27"/>
    <mergeCell ref="Q28:R28"/>
    <mergeCell ref="Q41:R41"/>
    <mergeCell ref="Q29:R29"/>
    <mergeCell ref="Q30:R30"/>
    <mergeCell ref="Q31:R31"/>
    <mergeCell ref="Q40:R40"/>
    <mergeCell ref="Q48:R48"/>
    <mergeCell ref="Q42:R42"/>
    <mergeCell ref="Q43:R43"/>
  </mergeCells>
  <phoneticPr fontId="6" type="noConversion"/>
  <printOptions horizontalCentered="1"/>
  <pageMargins left="0.25" right="0.25" top="0.25" bottom="0.25" header="0.25" footer="0.25"/>
  <pageSetup fitToHeight="0" orientation="landscape" horizontalDpi="300" verticalDpi="300" r:id="rId1"/>
  <headerFooter alignWithMargins="0"/>
</worksheet>
</file>

<file path=xl/worksheets/sheet16.xml><?xml version="1.0" encoding="utf-8"?>
<worksheet xmlns="http://schemas.openxmlformats.org/spreadsheetml/2006/main" xmlns:r="http://schemas.openxmlformats.org/officeDocument/2006/relationships">
  <sheetPr codeName="Sheet16"/>
  <dimension ref="A1:HN1701"/>
  <sheetViews>
    <sheetView showGridLines="0" workbookViewId="0">
      <selection sqref="A1:XFD1048576"/>
    </sheetView>
  </sheetViews>
  <sheetFormatPr defaultRowHeight="12.75"/>
  <cols>
    <col min="1" max="16384" width="9.140625" style="580"/>
  </cols>
  <sheetData>
    <row r="1" spans="1:1" ht="15.75">
      <c r="A1" s="1045" t="s">
        <v>1033</v>
      </c>
    </row>
    <row r="2" spans="1:1" ht="16.5">
      <c r="A2" s="1046" t="str">
        <f>'Part I-Project Information'!F23</f>
        <v>Highland Estates</v>
      </c>
    </row>
    <row r="3" spans="1:1" ht="16.5">
      <c r="A3" s="1046" t="str">
        <f>CONCATENATE('Part I-Project Information'!F27,", ", 'Part I-Project Information'!J28," County")</f>
        <v>Rome, Floyd County</v>
      </c>
    </row>
    <row r="5" spans="1:1">
      <c r="A5" s="2263" t="str">
        <f>'Project Narrative'!A5</f>
        <v xml:space="preserve">Highland Estates is a proposed 84 unit development consisting of 23 one-bedroom units and 56 two-bedroom low-income units, as well as five market-rate units, on 10 acres located on the cul-de-sac of Woodrow Wilson Way in Rome, Floyd County, Georgia. The development is intended as an age 55+ Housing for Older Persons (HFOP) community restricted to a resident base for households making at or below 50% and 60% of the AMI. The community will include a three-story building with interior corridors, as well as single-story buildings, all new construction, and have many design features, services, and amenities for HFOP households.
The development amenities will include an Energy Star appliance package in each unit, community rooms and gathering areas for socializing, an equipped computer center, an equipped fitness room, and an equipped on-site laundry facility. The proposed site is located within walking distance of the Harbin Medical Campus, and within two miles of several parks, shops, churches, and grocery stores. A Rome Transit Department bus stop is located less than 100 feet from the main entrance of the community.
The HFOP community will team with a local behavioral health agency, Highland Rivers Health, to provide supportive housing and daily living services to individuals in their program. Highland Estates will qualify for previous project points as there are no LIHTC developments awarded in the last five funding cycles within a two-mile radius. The local government and community support the need for affordable housing, and market conditions in the area indicate that the development is in a great area for new Senior affordable housing development.
</v>
      </c>
    </row>
    <row r="6" spans="1:1">
      <c r="A6" s="2263"/>
    </row>
    <row r="7" spans="1:1">
      <c r="A7" s="2263"/>
    </row>
    <row r="8" spans="1:1">
      <c r="A8" s="2263"/>
    </row>
    <row r="9" spans="1:1">
      <c r="A9" s="2263"/>
    </row>
    <row r="10" spans="1:1">
      <c r="A10" s="2263"/>
    </row>
    <row r="11" spans="1:1">
      <c r="A11" s="2263"/>
    </row>
    <row r="12" spans="1:1">
      <c r="A12" s="2263"/>
    </row>
    <row r="13" spans="1:1">
      <c r="A13" s="2263"/>
    </row>
    <row r="14" spans="1:1">
      <c r="A14" s="2263"/>
    </row>
    <row r="15" spans="1:1">
      <c r="A15" s="2263"/>
    </row>
    <row r="16" spans="1:1">
      <c r="A16" s="2263"/>
    </row>
    <row r="17" spans="1:16">
      <c r="A17" s="2263"/>
    </row>
    <row r="18" spans="1:16">
      <c r="A18" s="2263"/>
    </row>
    <row r="19" spans="1:16">
      <c r="A19" s="2263"/>
    </row>
    <row r="20" spans="1:16">
      <c r="A20" s="2263"/>
    </row>
    <row r="21" spans="1:16">
      <c r="A21" s="2263"/>
    </row>
    <row r="22" spans="1:16">
      <c r="A22" s="2263"/>
    </row>
    <row r="23" spans="1:16">
      <c r="A23" s="2263"/>
    </row>
    <row r="25" spans="1:16">
      <c r="A25" s="2211" t="str">
        <f>CONCATENATE("PART ONE - PROJECT INFORMATION"," - ",$O$4," ",$F$23,", ",'Part I-Project Information'!F51,", ",'Part I-Project Information'!J52," County")</f>
        <v>PART ONE - PROJECT INFORMATION -  , ,  County</v>
      </c>
      <c r="B25" s="2211"/>
      <c r="C25" s="2211"/>
      <c r="D25" s="2211"/>
      <c r="E25" s="2211"/>
      <c r="F25" s="2211"/>
      <c r="G25" s="2211"/>
      <c r="H25" s="2211"/>
      <c r="I25" s="2211"/>
      <c r="J25" s="2211"/>
      <c r="K25" s="2211"/>
      <c r="L25" s="2211"/>
      <c r="M25" s="2211"/>
      <c r="N25" s="2211"/>
      <c r="O25" s="2211"/>
      <c r="P25" s="2211"/>
    </row>
    <row r="26" spans="1:16">
      <c r="A26" s="789"/>
      <c r="B26" s="789"/>
      <c r="C26" s="789"/>
      <c r="D26" s="789"/>
      <c r="E26" s="789"/>
      <c r="F26" s="789"/>
      <c r="G26" s="789"/>
      <c r="H26" s="789"/>
      <c r="I26" s="789"/>
      <c r="J26" s="789"/>
      <c r="K26" s="789"/>
      <c r="L26" s="789"/>
      <c r="M26" s="789"/>
      <c r="N26" s="789"/>
      <c r="O26" s="789"/>
      <c r="P26" s="789"/>
    </row>
    <row r="27" spans="1:16" ht="13.5">
      <c r="A27" s="790"/>
      <c r="B27" s="789"/>
      <c r="C27" s="791" t="s">
        <v>2510</v>
      </c>
      <c r="D27" s="790"/>
      <c r="E27" s="790"/>
      <c r="F27" s="789"/>
      <c r="G27" s="792" t="s">
        <v>3362</v>
      </c>
      <c r="H27" s="790"/>
      <c r="I27" s="790"/>
      <c r="J27" s="790"/>
      <c r="K27" s="790"/>
      <c r="L27" s="789"/>
      <c r="M27" s="790"/>
      <c r="N27" s="790"/>
      <c r="O27" s="2211" t="s">
        <v>2883</v>
      </c>
      <c r="P27" s="2211"/>
    </row>
    <row r="28" spans="1:16" ht="13.5">
      <c r="A28" s="789"/>
      <c r="B28" s="793"/>
      <c r="C28" s="793"/>
      <c r="D28" s="790"/>
      <c r="E28" s="790"/>
      <c r="F28" s="789"/>
      <c r="G28" s="792" t="s">
        <v>3363</v>
      </c>
      <c r="H28" s="794"/>
      <c r="I28" s="794"/>
      <c r="J28" s="794"/>
      <c r="K28" s="790"/>
      <c r="L28" s="790"/>
      <c r="M28" s="790"/>
      <c r="N28" s="790"/>
      <c r="O28" s="2211" t="str">
        <f>'Part I-Project Information'!O4</f>
        <v>2014-028</v>
      </c>
      <c r="P28" s="2211"/>
    </row>
    <row r="29" spans="1:16">
      <c r="A29" s="789"/>
      <c r="B29" s="793"/>
      <c r="C29" s="793"/>
      <c r="D29" s="793"/>
      <c r="E29" s="794"/>
      <c r="F29" s="790"/>
      <c r="G29" s="790"/>
      <c r="H29" s="794"/>
      <c r="I29" s="794"/>
      <c r="J29" s="794"/>
      <c r="K29" s="791"/>
      <c r="L29" s="790"/>
      <c r="M29" s="794"/>
      <c r="N29" s="790"/>
      <c r="O29" s="790"/>
      <c r="P29" s="790"/>
    </row>
    <row r="30" spans="1:16">
      <c r="A30" s="793" t="s">
        <v>652</v>
      </c>
      <c r="B30" s="793" t="s">
        <v>2523</v>
      </c>
      <c r="C30" s="790"/>
      <c r="D30" s="795"/>
      <c r="E30" s="796"/>
      <c r="F30" s="797" t="s">
        <v>1827</v>
      </c>
      <c r="G30" s="790"/>
      <c r="H30" s="790"/>
      <c r="I30" s="790"/>
      <c r="J30" s="2264">
        <f>'Part IV-Uses of Funds'!J197</f>
        <v>0</v>
      </c>
      <c r="K30" s="2264"/>
      <c r="L30" s="790"/>
      <c r="M30" s="794"/>
      <c r="N30" s="790"/>
      <c r="O30" s="790"/>
      <c r="P30" s="790"/>
    </row>
    <row r="31" spans="1:16">
      <c r="A31" s="586"/>
      <c r="B31" s="586"/>
      <c r="C31" s="583"/>
      <c r="E31" s="798"/>
      <c r="F31" s="790" t="s">
        <v>1363</v>
      </c>
      <c r="G31" s="583"/>
      <c r="H31" s="583"/>
      <c r="I31" s="583"/>
      <c r="J31" s="2265">
        <f>'Part III-Sources of Funds'!P28</f>
        <v>0</v>
      </c>
      <c r="K31" s="2265"/>
      <c r="L31" s="790"/>
      <c r="M31" s="794"/>
      <c r="N31" s="790"/>
      <c r="O31" s="790"/>
      <c r="P31" s="790"/>
    </row>
    <row r="32" spans="1:16">
      <c r="A32" s="793"/>
      <c r="B32" s="793"/>
      <c r="C32" s="790"/>
      <c r="D32" s="795"/>
      <c r="E32" s="796"/>
      <c r="F32" s="796"/>
      <c r="G32" s="790"/>
      <c r="H32" s="790"/>
      <c r="I32" s="791"/>
      <c r="J32" s="790"/>
      <c r="K32" s="790"/>
      <c r="L32" s="790"/>
      <c r="M32" s="790"/>
      <c r="N32" s="799"/>
      <c r="O32" s="790"/>
      <c r="P32" s="790"/>
    </row>
    <row r="33" spans="1:16" ht="13.5">
      <c r="A33" s="791" t="s">
        <v>784</v>
      </c>
      <c r="B33" s="793" t="s">
        <v>2170</v>
      </c>
      <c r="C33" s="790"/>
      <c r="D33" s="790"/>
      <c r="E33" s="790"/>
      <c r="F33" s="2255" t="str">
        <f>'Part I-Project Information'!F9</f>
        <v>Competitive Round</v>
      </c>
      <c r="G33" s="2255"/>
      <c r="H33" s="2255"/>
      <c r="I33" s="802"/>
      <c r="J33" s="793" t="s">
        <v>3364</v>
      </c>
      <c r="K33" s="793"/>
      <c r="L33" s="794"/>
      <c r="M33" s="790"/>
      <c r="N33" s="790"/>
      <c r="O33" s="2193" t="str">
        <f>'Part I-Project Information'!O9</f>
        <v>2014PA-07</v>
      </c>
      <c r="P33" s="2193"/>
    </row>
    <row r="34" spans="1:16">
      <c r="A34" s="789"/>
      <c r="B34" s="790"/>
      <c r="C34" s="790"/>
      <c r="D34" s="790"/>
      <c r="E34" s="790"/>
      <c r="F34" s="790"/>
      <c r="G34" s="790"/>
      <c r="H34" s="794"/>
      <c r="I34" s="790"/>
      <c r="J34" s="797" t="s">
        <v>2981</v>
      </c>
      <c r="K34" s="791"/>
      <c r="L34" s="790"/>
      <c r="M34" s="794"/>
      <c r="N34" s="790"/>
      <c r="O34" s="2193" t="str">
        <f>'Part I-Project Information'!O10</f>
        <v>No</v>
      </c>
      <c r="P34" s="2193"/>
    </row>
    <row r="35" spans="1:16">
      <c r="A35" s="790"/>
      <c r="B35" s="790"/>
      <c r="C35" s="790"/>
      <c r="D35" s="790"/>
      <c r="E35" s="790"/>
      <c r="F35" s="790"/>
      <c r="G35" s="790"/>
      <c r="H35" s="790"/>
      <c r="I35" s="795"/>
      <c r="J35" s="795"/>
      <c r="K35" s="795"/>
      <c r="L35" s="795"/>
      <c r="M35" s="795"/>
      <c r="N35" s="795"/>
      <c r="O35" s="795"/>
      <c r="P35" s="795"/>
    </row>
    <row r="36" spans="1:16">
      <c r="A36" s="791" t="s">
        <v>786</v>
      </c>
      <c r="B36" s="793" t="s">
        <v>1563</v>
      </c>
      <c r="C36" s="790"/>
      <c r="D36" s="797"/>
      <c r="E36" s="796"/>
      <c r="F36" s="790"/>
      <c r="G36" s="796"/>
      <c r="H36" s="796"/>
      <c r="I36" s="796"/>
      <c r="J36" s="790"/>
      <c r="K36" s="799"/>
      <c r="L36" s="799"/>
      <c r="M36" s="790"/>
      <c r="N36" s="790"/>
      <c r="O36" s="790"/>
      <c r="P36" s="790"/>
    </row>
    <row r="37" spans="1:16">
      <c r="A37" s="791"/>
      <c r="B37" s="796"/>
      <c r="C37" s="793"/>
      <c r="D37" s="797"/>
      <c r="E37" s="796"/>
      <c r="F37" s="790"/>
      <c r="G37" s="796"/>
      <c r="H37" s="796"/>
      <c r="I37" s="796"/>
      <c r="J37" s="790"/>
      <c r="K37" s="799"/>
      <c r="L37" s="799"/>
      <c r="M37" s="790"/>
      <c r="N37" s="790"/>
      <c r="O37" s="789"/>
      <c r="P37" s="790"/>
    </row>
    <row r="38" spans="1:16">
      <c r="A38" s="790"/>
      <c r="B38" s="790" t="s">
        <v>2442</v>
      </c>
      <c r="C38" s="790"/>
      <c r="D38" s="790"/>
      <c r="E38" s="790"/>
      <c r="F38" s="2204" t="str">
        <f>'Part I-Project Information'!F14</f>
        <v>Allan Rappuhn</v>
      </c>
      <c r="G38" s="2204"/>
      <c r="H38" s="2204"/>
      <c r="I38" s="2204"/>
      <c r="J38" s="2204"/>
      <c r="K38" s="2204"/>
      <c r="L38" s="2204"/>
      <c r="M38" s="797" t="s">
        <v>2107</v>
      </c>
      <c r="N38" s="2204" t="str">
        <f>'Part I-Project Information'!N14</f>
        <v>Chairman</v>
      </c>
      <c r="O38" s="2204"/>
      <c r="P38" s="2204"/>
    </row>
    <row r="39" spans="1:16">
      <c r="A39" s="790"/>
      <c r="B39" s="797" t="s">
        <v>2108</v>
      </c>
      <c r="C39" s="790"/>
      <c r="D39" s="790"/>
      <c r="E39" s="790"/>
      <c r="F39" s="2204" t="str">
        <f>'Part I-Project Information'!F15</f>
        <v>920 Florence Blvd</v>
      </c>
      <c r="G39" s="2204"/>
      <c r="H39" s="2204"/>
      <c r="I39" s="2204"/>
      <c r="J39" s="2204"/>
      <c r="K39" s="2204"/>
      <c r="L39" s="2204"/>
      <c r="M39" s="797" t="s">
        <v>1833</v>
      </c>
      <c r="N39" s="790"/>
      <c r="O39" s="2238">
        <f>'Part I-Project Information'!O15</f>
        <v>2567609657</v>
      </c>
      <c r="P39" s="2238"/>
    </row>
    <row r="40" spans="1:16">
      <c r="A40" s="790"/>
      <c r="B40" s="797" t="s">
        <v>654</v>
      </c>
      <c r="C40" s="790"/>
      <c r="D40" s="790"/>
      <c r="E40" s="790"/>
      <c r="F40" s="2204" t="str">
        <f>'Part I-Project Information'!F16</f>
        <v>Florence</v>
      </c>
      <c r="G40" s="2204"/>
      <c r="H40" s="2204"/>
      <c r="I40" s="790"/>
      <c r="J40" s="790"/>
      <c r="K40" s="790"/>
      <c r="L40" s="790"/>
      <c r="M40" s="797" t="s">
        <v>1917</v>
      </c>
      <c r="N40" s="790"/>
      <c r="O40" s="2238">
        <f>'Part I-Project Information'!O16</f>
        <v>2567675804</v>
      </c>
      <c r="P40" s="2238"/>
    </row>
    <row r="41" spans="1:16">
      <c r="A41" s="790"/>
      <c r="B41" s="797" t="s">
        <v>1914</v>
      </c>
      <c r="C41" s="790"/>
      <c r="D41" s="790"/>
      <c r="E41" s="790"/>
      <c r="F41" s="817" t="str">
        <f>'Part I-Project Information'!F17</f>
        <v>AL</v>
      </c>
      <c r="G41" s="790"/>
      <c r="H41" s="790"/>
      <c r="I41" s="794" t="s">
        <v>2367</v>
      </c>
      <c r="J41" s="2248">
        <f>'Part I-Project Information'!J17</f>
        <v>356303731</v>
      </c>
      <c r="K41" s="2248"/>
      <c r="L41" s="790"/>
      <c r="M41" s="797" t="s">
        <v>2106</v>
      </c>
      <c r="N41" s="790"/>
      <c r="O41" s="2238">
        <f>'Part I-Project Information'!O17</f>
        <v>0</v>
      </c>
      <c r="P41" s="2238"/>
    </row>
    <row r="42" spans="1:16">
      <c r="A42" s="790"/>
      <c r="B42" s="797" t="s">
        <v>1832</v>
      </c>
      <c r="C42" s="790"/>
      <c r="D42" s="790"/>
      <c r="E42" s="790"/>
      <c r="F42" s="2238">
        <f>'Part I-Project Information'!F18</f>
        <v>2567609657</v>
      </c>
      <c r="G42" s="2238"/>
      <c r="H42" s="2238"/>
      <c r="I42" s="794" t="s">
        <v>1831</v>
      </c>
      <c r="J42" s="794">
        <f>'Part I-Project Information'!J18</f>
        <v>0</v>
      </c>
      <c r="K42" s="794" t="s">
        <v>2111</v>
      </c>
      <c r="L42" s="2204" t="str">
        <f>'Part I-Project Information'!L18</f>
        <v>arappuhn@gatewaymgt.com</v>
      </c>
      <c r="M42" s="2204"/>
      <c r="N42" s="2204"/>
      <c r="O42" s="2204"/>
      <c r="P42" s="2204"/>
    </row>
    <row r="43" spans="1:16" ht="13.5">
      <c r="A43" s="793"/>
      <c r="B43" s="792" t="s">
        <v>693</v>
      </c>
      <c r="C43" s="790"/>
      <c r="D43" s="796"/>
      <c r="E43" s="790"/>
      <c r="F43" s="790"/>
      <c r="G43" s="796"/>
      <c r="H43" s="796"/>
      <c r="I43" s="796"/>
      <c r="J43" s="790"/>
      <c r="K43" s="790"/>
      <c r="L43" s="790"/>
      <c r="M43" s="790"/>
      <c r="N43" s="790"/>
      <c r="O43" s="790"/>
      <c r="P43" s="790"/>
    </row>
    <row r="44" spans="1:16">
      <c r="A44" s="789"/>
      <c r="B44" s="789"/>
      <c r="C44" s="795"/>
      <c r="D44" s="790"/>
      <c r="E44" s="790"/>
      <c r="F44" s="790"/>
      <c r="G44" s="790"/>
      <c r="H44" s="794"/>
      <c r="I44" s="790"/>
      <c r="J44" s="795"/>
      <c r="K44" s="790"/>
      <c r="L44" s="790"/>
      <c r="M44" s="790"/>
      <c r="N44" s="790"/>
      <c r="O44" s="790"/>
      <c r="P44" s="800"/>
    </row>
    <row r="45" spans="1:16">
      <c r="A45" s="791" t="s">
        <v>1907</v>
      </c>
      <c r="B45" s="793" t="s">
        <v>1564</v>
      </c>
      <c r="C45" s="790"/>
      <c r="D45" s="795"/>
      <c r="E45" s="796"/>
      <c r="F45" s="796"/>
      <c r="G45" s="797"/>
      <c r="H45" s="796"/>
      <c r="I45" s="796"/>
      <c r="J45" s="796"/>
      <c r="K45" s="790"/>
      <c r="L45" s="799"/>
      <c r="M45" s="799"/>
      <c r="N45" s="790"/>
      <c r="O45" s="790"/>
      <c r="P45" s="790"/>
    </row>
    <row r="46" spans="1:16">
      <c r="A46" s="791"/>
      <c r="B46" s="793"/>
      <c r="C46" s="790"/>
      <c r="D46" s="795"/>
      <c r="E46" s="796"/>
      <c r="F46" s="796"/>
      <c r="G46" s="797"/>
      <c r="H46" s="796"/>
      <c r="I46" s="796"/>
      <c r="J46" s="796"/>
      <c r="K46" s="790"/>
      <c r="L46" s="799"/>
      <c r="M46" s="790"/>
      <c r="N46" s="790"/>
      <c r="O46" s="790"/>
      <c r="P46" s="790"/>
    </row>
    <row r="47" spans="1:16">
      <c r="A47" s="793"/>
      <c r="B47" s="790" t="s">
        <v>653</v>
      </c>
      <c r="C47" s="790"/>
      <c r="D47" s="793"/>
      <c r="E47" s="790"/>
      <c r="F47" s="2204" t="str">
        <f>'Part I-Project Information'!F23</f>
        <v>Highland Estates</v>
      </c>
      <c r="G47" s="2204"/>
      <c r="H47" s="2204"/>
      <c r="I47" s="2204"/>
      <c r="J47" s="2204"/>
      <c r="K47" s="2204"/>
      <c r="L47" s="2204"/>
      <c r="M47" s="797" t="s">
        <v>2325</v>
      </c>
      <c r="N47" s="790"/>
      <c r="O47" s="2204" t="str">
        <f>'Part I-Project Information'!O23</f>
        <v>No</v>
      </c>
      <c r="P47" s="2204"/>
    </row>
    <row r="48" spans="1:16">
      <c r="A48" s="801"/>
      <c r="B48" s="790" t="s">
        <v>2920</v>
      </c>
      <c r="C48" s="790"/>
      <c r="D48" s="799"/>
      <c r="E48" s="790"/>
      <c r="F48" s="2204" t="str">
        <f>'Part I-Project Information'!F24</f>
        <v>Woodrow Wilson Way NW</v>
      </c>
      <c r="G48" s="2204"/>
      <c r="H48" s="2204"/>
      <c r="I48" s="2204"/>
      <c r="J48" s="2204"/>
      <c r="K48" s="2204"/>
      <c r="L48" s="2204"/>
      <c r="M48" s="797" t="s">
        <v>2180</v>
      </c>
      <c r="N48" s="790"/>
      <c r="O48" s="2204" t="str">
        <f>'Part I-Project Information'!O24</f>
        <v>No</v>
      </c>
      <c r="P48" s="2204"/>
    </row>
    <row r="49" spans="1:16">
      <c r="A49" s="801"/>
      <c r="B49" s="790" t="s">
        <v>3365</v>
      </c>
      <c r="C49" s="790"/>
      <c r="D49" s="799"/>
      <c r="E49" s="790"/>
      <c r="F49" s="2204" t="str">
        <f>'Part I-Project Information'!F25</f>
        <v>180 Woodrow Wilson Way NW</v>
      </c>
      <c r="G49" s="2204"/>
      <c r="H49" s="2204"/>
      <c r="I49" s="2204"/>
      <c r="J49" s="2204"/>
      <c r="K49" s="2204"/>
      <c r="L49" s="2204"/>
      <c r="M49" s="797" t="s">
        <v>2987</v>
      </c>
      <c r="N49" s="790"/>
      <c r="O49" s="2266">
        <f>'Part I-Project Information'!O25</f>
        <v>0</v>
      </c>
      <c r="P49" s="2266"/>
    </row>
    <row r="50" spans="1:16">
      <c r="A50" s="801"/>
      <c r="B50" s="790" t="s">
        <v>3057</v>
      </c>
      <c r="C50" s="790"/>
      <c r="D50" s="799"/>
      <c r="E50" s="790"/>
      <c r="F50" s="2204" t="str">
        <f>'Part I-Project Information'!F26</f>
        <v>34°17'3.68"N, 85°12'0.79"W</v>
      </c>
      <c r="G50" s="2204"/>
      <c r="H50" s="2204"/>
      <c r="I50" s="2204"/>
      <c r="J50" s="2204"/>
      <c r="K50" s="2204"/>
      <c r="L50" s="2204"/>
      <c r="M50" s="797" t="s">
        <v>2423</v>
      </c>
      <c r="N50" s="790"/>
      <c r="O50" s="2262">
        <f>'Part I-Project Information'!O26</f>
        <v>10</v>
      </c>
      <c r="P50" s="2262"/>
    </row>
    <row r="51" spans="1:16" ht="16.5">
      <c r="A51" s="789"/>
      <c r="B51" s="790" t="s">
        <v>654</v>
      </c>
      <c r="C51" s="790"/>
      <c r="D51" s="790"/>
      <c r="E51" s="790"/>
      <c r="F51" s="2204" t="str">
        <f>'Part I-Project Information'!F27</f>
        <v>Rome</v>
      </c>
      <c r="G51" s="2204"/>
      <c r="H51" s="2204"/>
      <c r="I51" s="802" t="s">
        <v>3366</v>
      </c>
      <c r="J51" s="2248">
        <f>'Part I-Project Information'!J27</f>
        <v>301651498</v>
      </c>
      <c r="K51" s="2248"/>
      <c r="L51" s="793" t="str">
        <f>IF(AND(NOT(F47=""),NOT(F51="Select from list"),J51=""),"Enter Zip!","")</f>
        <v/>
      </c>
      <c r="M51" s="803" t="s">
        <v>2435</v>
      </c>
      <c r="N51" s="790"/>
      <c r="O51" s="2204" t="str">
        <f>'Part I-Project Information'!O27</f>
        <v>0003.00</v>
      </c>
      <c r="P51" s="2204"/>
    </row>
    <row r="52" spans="1:16">
      <c r="A52" s="789"/>
      <c r="B52" s="790" t="s">
        <v>3036</v>
      </c>
      <c r="C52" s="790"/>
      <c r="D52" s="790"/>
      <c r="E52" s="790"/>
      <c r="F52" s="2204" t="str">
        <f>'Part I-Project Information'!F28</f>
        <v>Within City Limits</v>
      </c>
      <c r="G52" s="2204"/>
      <c r="H52" s="2204"/>
      <c r="I52" s="804" t="s">
        <v>655</v>
      </c>
      <c r="J52" s="2240" t="str">
        <f>'Part I-Project Information'!J28</f>
        <v>Floyd</v>
      </c>
      <c r="K52" s="2240"/>
      <c r="L52" s="790"/>
      <c r="M52" s="797" t="s">
        <v>473</v>
      </c>
      <c r="N52" s="851" t="str">
        <f>'Part I-Project Information'!N28</f>
        <v>No</v>
      </c>
      <c r="O52" s="799" t="s">
        <v>474</v>
      </c>
      <c r="P52" s="851" t="str">
        <f>'Part I-Project Information'!P28</f>
        <v>No</v>
      </c>
    </row>
    <row r="53" spans="1:16">
      <c r="A53" s="789"/>
      <c r="B53" s="793"/>
      <c r="C53" s="790" t="s">
        <v>1657</v>
      </c>
      <c r="D53" s="790"/>
      <c r="E53" s="790"/>
      <c r="F53" s="797" t="str">
        <f>'Part I-Project Information'!F29</f>
        <v>No</v>
      </c>
      <c r="G53" s="2193" t="s">
        <v>3058</v>
      </c>
      <c r="H53" s="2193"/>
      <c r="I53" s="794">
        <f>'Part I-Project Information'!I2</f>
        <v>0</v>
      </c>
      <c r="J53" s="794" t="s">
        <v>3082</v>
      </c>
      <c r="K53" s="794" t="str">
        <f>IF(OR(F53="Yes",I53="Yes"),"Rural","Urban")</f>
        <v>Urban</v>
      </c>
      <c r="L53" s="790"/>
      <c r="M53" s="797" t="s">
        <v>2785</v>
      </c>
      <c r="N53" s="789" t="str">
        <f>'Part I-Project Information'!N29</f>
        <v>MSA</v>
      </c>
      <c r="O53" s="2204" t="str">
        <f>'Part I-Project Information'!O29</f>
        <v>Rome</v>
      </c>
      <c r="P53" s="2204"/>
    </row>
    <row r="54" spans="1:16">
      <c r="A54" s="789"/>
      <c r="B54" s="793"/>
      <c r="C54" s="793"/>
      <c r="D54" s="790"/>
      <c r="E54" s="790"/>
      <c r="F54" s="790"/>
      <c r="G54" s="790"/>
      <c r="H54" s="790"/>
      <c r="I54" s="797"/>
      <c r="J54" s="790"/>
      <c r="K54" s="790"/>
      <c r="L54" s="805"/>
      <c r="M54" s="805"/>
      <c r="N54" s="805"/>
      <c r="O54" s="805"/>
      <c r="P54" s="805"/>
    </row>
    <row r="55" spans="1:16" ht="13.5">
      <c r="A55" s="789"/>
      <c r="B55" s="790"/>
      <c r="C55" s="790" t="s">
        <v>3367</v>
      </c>
      <c r="D55" s="790"/>
      <c r="E55" s="790"/>
      <c r="F55" s="2249" t="s">
        <v>3028</v>
      </c>
      <c r="G55" s="2249"/>
      <c r="H55" s="2193" t="s">
        <v>780</v>
      </c>
      <c r="I55" s="2193"/>
      <c r="J55" s="2193" t="s">
        <v>781</v>
      </c>
      <c r="K55" s="2193"/>
      <c r="L55" s="806" t="s">
        <v>3354</v>
      </c>
      <c r="M55" s="790"/>
      <c r="N55" s="790"/>
      <c r="O55" s="790"/>
      <c r="P55" s="790"/>
    </row>
    <row r="56" spans="1:16">
      <c r="A56" s="789"/>
      <c r="B56" s="790" t="s">
        <v>3368</v>
      </c>
      <c r="C56" s="790"/>
      <c r="D56" s="793"/>
      <c r="E56" s="790"/>
      <c r="F56" s="2259">
        <f>'Part I-Project Information'!F32</f>
        <v>14</v>
      </c>
      <c r="G56" s="2259"/>
      <c r="H56" s="2259">
        <f>'Part I-Project Information'!H32</f>
        <v>52</v>
      </c>
      <c r="I56" s="2259"/>
      <c r="J56" s="2259">
        <f>'Part I-Project Information'!J32</f>
        <v>13</v>
      </c>
      <c r="K56" s="2259"/>
      <c r="L56" s="807" t="s">
        <v>1358</v>
      </c>
      <c r="M56" s="790"/>
      <c r="N56" s="2261" t="s">
        <v>1359</v>
      </c>
      <c r="O56" s="2261"/>
      <c r="P56" s="2261"/>
    </row>
    <row r="57" spans="1:16">
      <c r="A57" s="789"/>
      <c r="B57" s="797" t="s">
        <v>782</v>
      </c>
      <c r="C57" s="790"/>
      <c r="D57" s="790"/>
      <c r="E57" s="790"/>
      <c r="F57" s="2259">
        <f>'Part I-Project Information'!F33</f>
        <v>0</v>
      </c>
      <c r="G57" s="2259"/>
      <c r="H57" s="2259">
        <f>'Part I-Project Information'!H33</f>
        <v>0</v>
      </c>
      <c r="I57" s="2259"/>
      <c r="J57" s="2259">
        <f>'Part I-Project Information'!J33</f>
        <v>0</v>
      </c>
      <c r="K57" s="2259"/>
      <c r="L57" s="807" t="s">
        <v>3026</v>
      </c>
      <c r="M57" s="790"/>
      <c r="N57" s="2260" t="s">
        <v>3025</v>
      </c>
      <c r="O57" s="2260"/>
      <c r="P57" s="790"/>
    </row>
    <row r="58" spans="1:16">
      <c r="A58" s="789"/>
      <c r="B58" s="790"/>
      <c r="C58" s="790"/>
      <c r="D58" s="790"/>
      <c r="E58" s="790"/>
      <c r="F58" s="790"/>
      <c r="G58" s="790"/>
      <c r="H58" s="790"/>
      <c r="I58" s="805"/>
      <c r="J58" s="805"/>
      <c r="K58" s="805"/>
      <c r="L58" s="790"/>
      <c r="M58" s="790"/>
      <c r="N58" s="790"/>
      <c r="O58" s="790"/>
      <c r="P58" s="790"/>
    </row>
    <row r="59" spans="1:16">
      <c r="A59" s="789"/>
      <c r="B59" s="793" t="s">
        <v>673</v>
      </c>
      <c r="C59" s="790"/>
      <c r="D59" s="790"/>
      <c r="E59" s="790"/>
      <c r="F59" s="2258" t="str">
        <f>'Part I-Project Information'!F35</f>
        <v>City of Rome</v>
      </c>
      <c r="G59" s="2258"/>
      <c r="H59" s="2258"/>
      <c r="I59" s="2258"/>
      <c r="J59" s="2258"/>
      <c r="K59" s="2258"/>
      <c r="L59" s="790"/>
      <c r="M59" s="808" t="s">
        <v>2926</v>
      </c>
      <c r="N59" s="2204" t="str">
        <f>'Part I-Project Information'!N35</f>
        <v>www.romefloyd.com</v>
      </c>
      <c r="O59" s="2204"/>
      <c r="P59" s="2204"/>
    </row>
    <row r="60" spans="1:16">
      <c r="A60" s="789"/>
      <c r="B60" s="790" t="s">
        <v>674</v>
      </c>
      <c r="C60" s="790"/>
      <c r="D60" s="790"/>
      <c r="E60" s="790"/>
      <c r="F60" s="2204" t="str">
        <f>'Part I-Project Information'!F36</f>
        <v>Jamie Doss</v>
      </c>
      <c r="G60" s="2204"/>
      <c r="H60" s="2204"/>
      <c r="I60" s="794" t="s">
        <v>2107</v>
      </c>
      <c r="J60" s="2204" t="str">
        <f>'Part I-Project Information'!J36</f>
        <v>Mayor</v>
      </c>
      <c r="K60" s="2204"/>
      <c r="L60" s="2204"/>
      <c r="M60" s="797" t="s">
        <v>1915</v>
      </c>
      <c r="N60" s="2204" t="str">
        <f>'Part I-Project Information'!N36</f>
        <v>jdoss@romega.us</v>
      </c>
      <c r="O60" s="2204"/>
      <c r="P60" s="2204"/>
    </row>
    <row r="61" spans="1:16">
      <c r="A61" s="789"/>
      <c r="B61" s="790" t="s">
        <v>2108</v>
      </c>
      <c r="C61" s="790"/>
      <c r="D61" s="790"/>
      <c r="E61" s="790"/>
      <c r="F61" s="2258" t="str">
        <f>'Part I-Project Information'!F37</f>
        <v>1 South Broad Street</v>
      </c>
      <c r="G61" s="2258"/>
      <c r="H61" s="2258"/>
      <c r="I61" s="2258"/>
      <c r="J61" s="2258"/>
      <c r="K61" s="2258"/>
      <c r="L61" s="790"/>
      <c r="M61" s="797" t="s">
        <v>654</v>
      </c>
      <c r="N61" s="2204" t="str">
        <f>'Part I-Project Information'!N37</f>
        <v>Rome</v>
      </c>
      <c r="O61" s="2204"/>
      <c r="P61" s="2204"/>
    </row>
    <row r="62" spans="1:16">
      <c r="A62" s="789"/>
      <c r="B62" s="797" t="s">
        <v>2367</v>
      </c>
      <c r="C62" s="790"/>
      <c r="D62" s="790"/>
      <c r="E62" s="790"/>
      <c r="F62" s="2248">
        <f>'Part I-Project Information'!F38</f>
        <v>301610000</v>
      </c>
      <c r="G62" s="2248"/>
      <c r="H62" s="794" t="s">
        <v>2109</v>
      </c>
      <c r="I62" s="2239">
        <f>'Part I-Project Information'!I38</f>
        <v>7052954008</v>
      </c>
      <c r="J62" s="2239"/>
      <c r="K62" s="2239"/>
      <c r="L62" s="790"/>
      <c r="M62" s="797" t="s">
        <v>1917</v>
      </c>
      <c r="N62" s="2238">
        <f>'Part I-Project Information'!N38</f>
        <v>0</v>
      </c>
      <c r="O62" s="2238"/>
      <c r="P62" s="790"/>
    </row>
    <row r="63" spans="1:16">
      <c r="A63" s="789"/>
      <c r="B63" s="789"/>
      <c r="C63" s="809"/>
      <c r="D63" s="802"/>
      <c r="E63" s="802"/>
      <c r="F63" s="794"/>
      <c r="G63" s="794"/>
      <c r="H63" s="794"/>
      <c r="I63" s="794"/>
      <c r="J63" s="802"/>
      <c r="K63" s="794"/>
      <c r="L63" s="794"/>
      <c r="M63" s="790"/>
      <c r="N63" s="790"/>
      <c r="O63" s="790"/>
      <c r="P63" s="800"/>
    </row>
    <row r="64" spans="1:16">
      <c r="A64" s="791" t="s">
        <v>1909</v>
      </c>
      <c r="B64" s="793" t="s">
        <v>1565</v>
      </c>
      <c r="C64" s="790"/>
      <c r="D64" s="790"/>
      <c r="E64" s="790"/>
      <c r="F64" s="810"/>
      <c r="G64" s="790"/>
      <c r="H64" s="790"/>
      <c r="I64" s="797"/>
      <c r="J64" s="790"/>
      <c r="K64" s="790"/>
      <c r="L64" s="790"/>
      <c r="M64" s="790"/>
      <c r="N64" s="790"/>
      <c r="O64" s="790"/>
      <c r="P64" s="790"/>
    </row>
    <row r="65" spans="1:16">
      <c r="A65" s="789"/>
      <c r="B65" s="793"/>
      <c r="C65" s="793"/>
      <c r="D65" s="790"/>
      <c r="E65" s="790"/>
      <c r="F65" s="790"/>
      <c r="G65" s="790"/>
      <c r="H65" s="790"/>
      <c r="I65" s="797"/>
      <c r="J65" s="790"/>
      <c r="K65" s="790"/>
      <c r="L65" s="790"/>
      <c r="M65" s="790"/>
      <c r="N65" s="790"/>
      <c r="O65" s="790"/>
      <c r="P65" s="790"/>
    </row>
    <row r="66" spans="1:16">
      <c r="A66" s="789"/>
      <c r="B66" s="789" t="s">
        <v>2110</v>
      </c>
      <c r="C66" s="793" t="s">
        <v>3369</v>
      </c>
      <c r="D66" s="790"/>
      <c r="E66" s="790"/>
      <c r="F66" s="790"/>
      <c r="G66" s="790"/>
      <c r="H66" s="790"/>
      <c r="I66" s="790"/>
      <c r="J66" s="790"/>
      <c r="K66" s="807"/>
      <c r="L66" s="790"/>
      <c r="M66" s="811"/>
      <c r="N66" s="811"/>
      <c r="O66" s="811"/>
      <c r="P66" s="811"/>
    </row>
    <row r="67" spans="1:16">
      <c r="A67" s="795"/>
      <c r="B67" s="789"/>
      <c r="C67" s="790" t="s">
        <v>2436</v>
      </c>
      <c r="D67" s="790"/>
      <c r="E67" s="790"/>
      <c r="F67" s="818">
        <f>'Part I-Project Information'!F43</f>
        <v>84</v>
      </c>
      <c r="G67" s="795"/>
      <c r="H67" s="797" t="s">
        <v>384</v>
      </c>
      <c r="I67" s="795"/>
      <c r="J67" s="790"/>
      <c r="K67" s="795"/>
      <c r="L67" s="795"/>
      <c r="M67" s="812">
        <f>'Part VI-Revenues &amp; Expenses'!$M$81</f>
        <v>0</v>
      </c>
      <c r="N67" s="795"/>
      <c r="O67" s="795"/>
      <c r="P67" s="795"/>
    </row>
    <row r="68" spans="1:16">
      <c r="A68" s="789"/>
      <c r="B68" s="789"/>
      <c r="C68" s="813" t="s">
        <v>365</v>
      </c>
      <c r="D68" s="790"/>
      <c r="E68" s="790"/>
      <c r="F68" s="812">
        <f>'Part VI-Revenues &amp; Expenses'!$M$80</f>
        <v>0</v>
      </c>
      <c r="G68" s="790"/>
      <c r="H68" s="813" t="s">
        <v>385</v>
      </c>
      <c r="I68" s="790"/>
      <c r="J68" s="790"/>
      <c r="K68" s="790"/>
      <c r="L68" s="790"/>
      <c r="M68" s="812">
        <f>'Part VI-Revenues &amp; Expenses'!$M$82</f>
        <v>0</v>
      </c>
      <c r="N68" s="790"/>
      <c r="O68" s="790"/>
      <c r="P68" s="790"/>
    </row>
    <row r="69" spans="1:16">
      <c r="A69" s="790"/>
      <c r="B69" s="789"/>
      <c r="C69" s="797" t="s">
        <v>364</v>
      </c>
      <c r="D69" s="790"/>
      <c r="E69" s="790"/>
      <c r="F69" s="812">
        <f>'Part VI-Revenues &amp; Expenses'!$M$77</f>
        <v>0</v>
      </c>
      <c r="G69" s="814" t="s">
        <v>2983</v>
      </c>
      <c r="H69" s="790" t="s">
        <v>366</v>
      </c>
      <c r="I69" s="790"/>
      <c r="J69" s="790"/>
      <c r="K69" s="790"/>
      <c r="L69" s="790"/>
      <c r="M69" s="1047">
        <f>'Part I-Project Information'!M45</f>
        <v>0</v>
      </c>
      <c r="N69" s="790"/>
      <c r="O69" s="790"/>
      <c r="P69" s="790"/>
    </row>
    <row r="70" spans="1:16">
      <c r="A70" s="789"/>
      <c r="B70" s="790"/>
      <c r="C70" s="790"/>
      <c r="D70" s="790"/>
      <c r="E70" s="790"/>
      <c r="F70" s="790"/>
      <c r="G70" s="790"/>
      <c r="H70" s="790"/>
      <c r="I70" s="790"/>
      <c r="J70" s="790"/>
      <c r="K70" s="790"/>
      <c r="L70" s="790"/>
      <c r="M70" s="790"/>
      <c r="N70" s="790"/>
      <c r="O70" s="790"/>
      <c r="P70" s="790"/>
    </row>
    <row r="71" spans="1:16">
      <c r="A71" s="789"/>
      <c r="B71" s="789" t="s">
        <v>2113</v>
      </c>
      <c r="C71" s="793" t="s">
        <v>2437</v>
      </c>
      <c r="D71" s="790"/>
      <c r="E71" s="790"/>
      <c r="F71" s="794" t="str">
        <f>'Part I-Project Information'!F47</f>
        <v>No</v>
      </c>
      <c r="G71" s="790"/>
      <c r="H71" s="790"/>
      <c r="I71" s="790"/>
      <c r="J71" s="790"/>
      <c r="K71" s="790"/>
      <c r="L71" s="790"/>
      <c r="M71" s="811"/>
      <c r="N71" s="811"/>
      <c r="O71" s="811"/>
      <c r="P71" s="807"/>
    </row>
    <row r="72" spans="1:16">
      <c r="A72" s="789"/>
      <c r="B72" s="790"/>
      <c r="C72" s="790"/>
      <c r="D72" s="790"/>
      <c r="E72" s="790"/>
      <c r="F72" s="790"/>
      <c r="G72" s="790"/>
      <c r="H72" s="790"/>
      <c r="I72" s="790"/>
      <c r="J72" s="807"/>
      <c r="K72" s="815"/>
      <c r="L72" s="807"/>
      <c r="M72" s="815"/>
      <c r="N72" s="815"/>
      <c r="O72" s="815"/>
      <c r="P72" s="815"/>
    </row>
    <row r="73" spans="1:16">
      <c r="A73" s="789"/>
      <c r="B73" s="801" t="s">
        <v>793</v>
      </c>
      <c r="C73" s="793" t="s">
        <v>2416</v>
      </c>
      <c r="D73" s="790"/>
      <c r="E73" s="790"/>
      <c r="F73" s="790"/>
      <c r="G73" s="790"/>
      <c r="H73" s="790"/>
      <c r="I73" s="2229" t="s">
        <v>1505</v>
      </c>
      <c r="J73" s="801" t="s">
        <v>2245</v>
      </c>
      <c r="K73" s="816" t="s">
        <v>2443</v>
      </c>
      <c r="L73" s="790"/>
      <c r="M73" s="790"/>
      <c r="N73" s="790"/>
      <c r="O73" s="790"/>
      <c r="P73" s="794"/>
    </row>
    <row r="74" spans="1:16">
      <c r="A74" s="789"/>
      <c r="B74" s="817"/>
      <c r="C74" s="795" t="s">
        <v>2417</v>
      </c>
      <c r="D74" s="790"/>
      <c r="E74" s="790"/>
      <c r="F74" s="790"/>
      <c r="G74" s="790"/>
      <c r="H74" s="818">
        <f>SUM(H75:H76)</f>
        <v>79</v>
      </c>
      <c r="I74" s="2257"/>
      <c r="J74" s="789"/>
      <c r="K74" s="795" t="s">
        <v>3047</v>
      </c>
      <c r="L74" s="790"/>
      <c r="M74" s="790"/>
      <c r="N74" s="790"/>
      <c r="O74" s="790"/>
      <c r="P74" s="818">
        <f>'Part VI-Revenues &amp; Expenses'!$M$96</f>
        <v>65350</v>
      </c>
    </row>
    <row r="75" spans="1:16">
      <c r="A75" s="789"/>
      <c r="B75" s="795"/>
      <c r="C75" s="790"/>
      <c r="D75" s="819" t="s">
        <v>404</v>
      </c>
      <c r="E75" s="790"/>
      <c r="F75" s="790"/>
      <c r="G75" s="790"/>
      <c r="H75" s="818">
        <f>'Part VI-Revenues &amp; Expenses'!$M$57</f>
        <v>22</v>
      </c>
      <c r="I75" s="818">
        <f>'Part VI-Revenues &amp; Expenses'!$M$65</f>
        <v>0</v>
      </c>
      <c r="J75" s="790"/>
      <c r="K75" s="795" t="s">
        <v>3048</v>
      </c>
      <c r="L75" s="790"/>
      <c r="M75" s="790"/>
      <c r="N75" s="790"/>
      <c r="O75" s="790"/>
      <c r="P75" s="818">
        <f>'Part VI-Revenues &amp; Expenses'!$M$97</f>
        <v>4250</v>
      </c>
    </row>
    <row r="76" spans="1:16">
      <c r="A76" s="789"/>
      <c r="B76" s="790"/>
      <c r="C76" s="790"/>
      <c r="D76" s="819" t="s">
        <v>1940</v>
      </c>
      <c r="E76" s="819"/>
      <c r="F76" s="790"/>
      <c r="G76" s="790"/>
      <c r="H76" s="818">
        <f>'Part VI-Revenues &amp; Expenses'!$M$56</f>
        <v>57</v>
      </c>
      <c r="I76" s="818">
        <f>'Part VI-Revenues &amp; Expenses'!$M$64</f>
        <v>0</v>
      </c>
      <c r="J76" s="790"/>
      <c r="K76" s="795" t="s">
        <v>3049</v>
      </c>
      <c r="L76" s="790"/>
      <c r="M76" s="790"/>
      <c r="N76" s="790"/>
      <c r="O76" s="790"/>
      <c r="P76" s="818">
        <f>+P74+P75</f>
        <v>69600</v>
      </c>
    </row>
    <row r="77" spans="1:16">
      <c r="A77" s="789"/>
      <c r="B77" s="790"/>
      <c r="C77" s="795" t="s">
        <v>266</v>
      </c>
      <c r="D77" s="790"/>
      <c r="E77" s="790"/>
      <c r="F77" s="790"/>
      <c r="G77" s="790"/>
      <c r="H77" s="818">
        <f>'Part VI-Revenues &amp; Expenses'!$M$59</f>
        <v>5</v>
      </c>
      <c r="I77" s="790"/>
      <c r="J77" s="789"/>
      <c r="K77" s="795" t="s">
        <v>3050</v>
      </c>
      <c r="L77" s="790"/>
      <c r="M77" s="790"/>
      <c r="N77" s="790"/>
      <c r="O77" s="790"/>
      <c r="P77" s="818">
        <f>'Part VI-Revenues &amp; Expenses'!$M$99</f>
        <v>0</v>
      </c>
    </row>
    <row r="78" spans="1:16">
      <c r="A78" s="789"/>
      <c r="B78" s="790"/>
      <c r="C78" s="795" t="s">
        <v>2562</v>
      </c>
      <c r="D78" s="790"/>
      <c r="E78" s="790"/>
      <c r="F78" s="790"/>
      <c r="G78" s="790"/>
      <c r="H78" s="818">
        <f>+H74+H77</f>
        <v>84</v>
      </c>
      <c r="I78" s="790"/>
      <c r="J78" s="789"/>
      <c r="K78" s="795" t="s">
        <v>1507</v>
      </c>
      <c r="L78" s="790"/>
      <c r="M78" s="790"/>
      <c r="N78" s="790"/>
      <c r="O78" s="790"/>
      <c r="P78" s="818">
        <f>+P76+P77</f>
        <v>69600</v>
      </c>
    </row>
    <row r="79" spans="1:16">
      <c r="A79" s="789"/>
      <c r="B79" s="790"/>
      <c r="C79" s="795" t="s">
        <v>2563</v>
      </c>
      <c r="D79" s="790"/>
      <c r="E79" s="790"/>
      <c r="F79" s="790"/>
      <c r="G79" s="790"/>
      <c r="H79" s="818">
        <f>'Part VI-Revenues &amp; Expenses'!$M$61</f>
        <v>0</v>
      </c>
      <c r="I79" s="790"/>
      <c r="J79" s="789"/>
      <c r="K79" s="790"/>
      <c r="L79" s="790"/>
      <c r="M79" s="790"/>
      <c r="N79" s="790"/>
      <c r="O79" s="790"/>
      <c r="P79" s="790"/>
    </row>
    <row r="80" spans="1:16">
      <c r="A80" s="789"/>
      <c r="B80" s="790"/>
      <c r="C80" s="795" t="s">
        <v>1908</v>
      </c>
      <c r="D80" s="790"/>
      <c r="E80" s="790"/>
      <c r="F80" s="790"/>
      <c r="G80" s="790"/>
      <c r="H80" s="818">
        <f>+H78+H79</f>
        <v>84</v>
      </c>
      <c r="I80" s="790"/>
      <c r="J80" s="790"/>
      <c r="K80" s="790"/>
      <c r="L80" s="790"/>
      <c r="M80" s="790"/>
      <c r="N80" s="790"/>
      <c r="O80" s="790"/>
      <c r="P80" s="790"/>
    </row>
    <row r="81" spans="1:16">
      <c r="A81" s="789"/>
      <c r="B81" s="790"/>
      <c r="C81" s="790"/>
      <c r="D81" s="790"/>
      <c r="E81" s="790"/>
      <c r="F81" s="790"/>
      <c r="G81" s="790"/>
      <c r="H81" s="790"/>
      <c r="I81" s="794"/>
      <c r="J81" s="790"/>
      <c r="K81" s="790"/>
      <c r="L81" s="794"/>
      <c r="M81" s="794"/>
      <c r="N81" s="790"/>
      <c r="O81" s="790"/>
      <c r="P81" s="800"/>
    </row>
    <row r="82" spans="1:16">
      <c r="A82" s="789"/>
      <c r="B82" s="789" t="s">
        <v>1848</v>
      </c>
      <c r="C82" s="793" t="s">
        <v>2438</v>
      </c>
      <c r="D82" s="819" t="s">
        <v>2124</v>
      </c>
      <c r="E82" s="790"/>
      <c r="F82" s="790"/>
      <c r="G82" s="790"/>
      <c r="H82" s="818">
        <f>'Part I-Project Information'!H58</f>
        <v>6</v>
      </c>
      <c r="I82" s="790"/>
      <c r="J82" s="790"/>
      <c r="K82" s="795" t="s">
        <v>1186</v>
      </c>
      <c r="L82" s="790"/>
      <c r="M82" s="790"/>
      <c r="N82" s="790"/>
      <c r="O82" s="790"/>
      <c r="P82" s="818">
        <f>'Part I-Project Information'!P58</f>
        <v>18000</v>
      </c>
    </row>
    <row r="83" spans="1:16">
      <c r="A83" s="789"/>
      <c r="B83" s="789"/>
      <c r="C83" s="790"/>
      <c r="D83" s="817" t="s">
        <v>2125</v>
      </c>
      <c r="E83" s="790"/>
      <c r="F83" s="790"/>
      <c r="G83" s="790"/>
      <c r="H83" s="818">
        <f>'Part I-Project Information'!H59</f>
        <v>0</v>
      </c>
      <c r="I83" s="790"/>
      <c r="J83" s="790"/>
      <c r="K83" s="795" t="s">
        <v>265</v>
      </c>
      <c r="L83" s="790"/>
      <c r="M83" s="790"/>
      <c r="N83" s="790"/>
      <c r="O83" s="790"/>
      <c r="P83" s="818">
        <f>+P78+P82</f>
        <v>87600</v>
      </c>
    </row>
    <row r="84" spans="1:16">
      <c r="A84" s="789"/>
      <c r="B84" s="789"/>
      <c r="C84" s="790"/>
      <c r="D84" s="817" t="s">
        <v>2126</v>
      </c>
      <c r="E84" s="790"/>
      <c r="F84" s="790"/>
      <c r="G84" s="790"/>
      <c r="H84" s="818">
        <f>+H82+H83</f>
        <v>6</v>
      </c>
      <c r="I84" s="790"/>
      <c r="J84" s="790"/>
      <c r="K84" s="790"/>
      <c r="L84" s="790"/>
      <c r="M84" s="790"/>
      <c r="N84" s="790"/>
      <c r="O84" s="790"/>
      <c r="P84" s="790"/>
    </row>
    <row r="85" spans="1:16">
      <c r="A85" s="789"/>
      <c r="B85" s="789"/>
      <c r="C85" s="790"/>
      <c r="D85" s="790"/>
      <c r="E85" s="790"/>
      <c r="F85" s="790"/>
      <c r="G85" s="794"/>
      <c r="H85" s="790"/>
      <c r="I85" s="795"/>
      <c r="J85" s="790"/>
      <c r="K85" s="790"/>
      <c r="L85" s="790"/>
      <c r="M85" s="790"/>
      <c r="N85" s="790"/>
      <c r="O85" s="790"/>
      <c r="P85" s="800"/>
    </row>
    <row r="86" spans="1:16">
      <c r="A86" s="789"/>
      <c r="B86" s="789" t="s">
        <v>1849</v>
      </c>
      <c r="C86" s="793" t="s">
        <v>3216</v>
      </c>
      <c r="D86" s="790"/>
      <c r="E86" s="790"/>
      <c r="F86" s="790"/>
      <c r="G86" s="790"/>
      <c r="H86" s="818">
        <f>'Part I-Project Information'!H62</f>
        <v>168</v>
      </c>
      <c r="I86" s="790"/>
      <c r="J86" s="790"/>
      <c r="K86" s="790" t="s">
        <v>3223</v>
      </c>
      <c r="L86" s="790"/>
      <c r="M86" s="790"/>
      <c r="N86" s="790"/>
      <c r="O86" s="790"/>
      <c r="P86" s="790"/>
    </row>
    <row r="87" spans="1:16">
      <c r="A87" s="789"/>
      <c r="B87" s="789"/>
      <c r="C87" s="795"/>
      <c r="D87" s="790"/>
      <c r="E87" s="790"/>
      <c r="F87" s="790"/>
      <c r="G87" s="794"/>
      <c r="H87" s="790"/>
      <c r="I87" s="795"/>
      <c r="J87" s="795"/>
      <c r="K87" s="790"/>
      <c r="L87" s="790"/>
      <c r="M87" s="790"/>
      <c r="N87" s="790"/>
      <c r="O87" s="790"/>
      <c r="P87" s="800"/>
    </row>
    <row r="88" spans="1:16">
      <c r="A88" s="789" t="s">
        <v>558</v>
      </c>
      <c r="B88" s="820" t="s">
        <v>1256</v>
      </c>
      <c r="C88" s="790"/>
      <c r="D88" s="820"/>
      <c r="E88" s="820"/>
      <c r="F88" s="790"/>
      <c r="G88" s="794"/>
      <c r="H88" s="790"/>
      <c r="I88" s="790"/>
      <c r="J88" s="790"/>
      <c r="K88" s="790"/>
      <c r="L88" s="790"/>
      <c r="M88" s="790"/>
      <c r="N88" s="790"/>
      <c r="O88" s="790"/>
      <c r="P88" s="800"/>
    </row>
    <row r="89" spans="1:16">
      <c r="A89" s="789"/>
      <c r="B89" s="790"/>
      <c r="C89" s="821"/>
      <c r="D89" s="821"/>
      <c r="E89" s="821"/>
      <c r="F89" s="790"/>
      <c r="G89" s="794"/>
      <c r="H89" s="790"/>
      <c r="I89" s="790"/>
      <c r="J89" s="790"/>
      <c r="K89" s="790"/>
      <c r="L89" s="790"/>
      <c r="M89" s="790"/>
      <c r="N89" s="790"/>
      <c r="O89" s="790"/>
      <c r="P89" s="800"/>
    </row>
    <row r="90" spans="1:16">
      <c r="A90" s="789"/>
      <c r="B90" s="789" t="s">
        <v>2110</v>
      </c>
      <c r="C90" s="791" t="s">
        <v>3370</v>
      </c>
      <c r="D90" s="821"/>
      <c r="E90" s="821"/>
      <c r="F90" s="790"/>
      <c r="G90" s="794"/>
      <c r="H90" s="2254" t="str">
        <f>'Part I-Project Information'!H66</f>
        <v>HFOP</v>
      </c>
      <c r="I90" s="2254"/>
      <c r="J90" s="790"/>
      <c r="K90" s="2204" t="s">
        <v>1887</v>
      </c>
      <c r="L90" s="2204"/>
      <c r="M90" s="790"/>
      <c r="N90" s="2204">
        <f>'Part I-Project Information'!N66</f>
        <v>0</v>
      </c>
      <c r="O90" s="2204"/>
      <c r="P90" s="2204"/>
    </row>
    <row r="91" spans="1:16">
      <c r="A91" s="789"/>
      <c r="B91" s="789"/>
      <c r="C91" s="790"/>
      <c r="D91" s="817"/>
      <c r="E91" s="817"/>
      <c r="F91" s="817"/>
      <c r="G91" s="817"/>
      <c r="H91" s="790"/>
      <c r="I91" s="794"/>
      <c r="J91" s="790"/>
      <c r="K91" s="797"/>
      <c r="L91" s="797"/>
      <c r="M91" s="794"/>
      <c r="N91" s="790"/>
      <c r="O91" s="790"/>
      <c r="P91" s="800"/>
    </row>
    <row r="92" spans="1:16">
      <c r="A92" s="789"/>
      <c r="B92" s="789" t="s">
        <v>2113</v>
      </c>
      <c r="C92" s="793" t="s">
        <v>1497</v>
      </c>
      <c r="D92" s="790"/>
      <c r="E92" s="819"/>
      <c r="F92" s="817" t="s">
        <v>844</v>
      </c>
      <c r="G92" s="790"/>
      <c r="H92" s="818">
        <f>'Part I-Project Information'!H68</f>
        <v>5</v>
      </c>
      <c r="I92" s="790"/>
      <c r="J92" s="790"/>
      <c r="K92" s="2204" t="s">
        <v>548</v>
      </c>
      <c r="L92" s="2204"/>
      <c r="M92" s="790"/>
      <c r="N92" s="790"/>
      <c r="O92" s="790"/>
      <c r="P92" s="822">
        <f>IF('Part VI-Revenues &amp; Expenses'!$M$62=0,0,H92/'Part VI-Revenues &amp; Expenses'!$M$62)</f>
        <v>5.9523809523809521E-2</v>
      </c>
    </row>
    <row r="93" spans="1:16">
      <c r="A93" s="789"/>
      <c r="B93" s="789"/>
      <c r="C93" s="790"/>
      <c r="D93" s="817" t="s">
        <v>3214</v>
      </c>
      <c r="E93" s="817"/>
      <c r="F93" s="817" t="s">
        <v>844</v>
      </c>
      <c r="G93" s="790"/>
      <c r="H93" s="818">
        <f>'Part I-Project Information'!H69</f>
        <v>2</v>
      </c>
      <c r="I93" s="790"/>
      <c r="J93" s="790"/>
      <c r="K93" s="790" t="s">
        <v>3215</v>
      </c>
      <c r="L93" s="790"/>
      <c r="M93" s="790"/>
      <c r="N93" s="790"/>
      <c r="O93" s="790"/>
      <c r="P93" s="822">
        <f>IF(H92=0,0,H93/H92)</f>
        <v>0.4</v>
      </c>
    </row>
    <row r="94" spans="1:16">
      <c r="A94" s="789"/>
      <c r="B94" s="789"/>
      <c r="C94" s="790"/>
      <c r="D94" s="817"/>
      <c r="E94" s="817"/>
      <c r="F94" s="817"/>
      <c r="G94" s="790"/>
      <c r="H94" s="790"/>
      <c r="I94" s="794"/>
      <c r="J94" s="790"/>
      <c r="K94" s="797"/>
      <c r="L94" s="797"/>
      <c r="M94" s="794"/>
      <c r="N94" s="790"/>
      <c r="O94" s="790"/>
      <c r="P94" s="794"/>
    </row>
    <row r="95" spans="1:16">
      <c r="A95" s="789"/>
      <c r="B95" s="789" t="s">
        <v>793</v>
      </c>
      <c r="C95" s="793" t="s">
        <v>1964</v>
      </c>
      <c r="D95" s="819"/>
      <c r="E95" s="819"/>
      <c r="F95" s="817" t="s">
        <v>844</v>
      </c>
      <c r="G95" s="790"/>
      <c r="H95" s="818">
        <f>'Part I-Project Information'!H71</f>
        <v>2</v>
      </c>
      <c r="I95" s="790"/>
      <c r="J95" s="790"/>
      <c r="K95" s="2204" t="s">
        <v>548</v>
      </c>
      <c r="L95" s="2204"/>
      <c r="M95" s="790"/>
      <c r="N95" s="790"/>
      <c r="O95" s="790"/>
      <c r="P95" s="822">
        <f>IF('Part VI-Revenues &amp; Expenses'!$M$62=0,0,H95/'Part VI-Revenues &amp; Expenses'!$M$62)</f>
        <v>2.3809523809523808E-2</v>
      </c>
    </row>
    <row r="96" spans="1:16">
      <c r="A96" s="789"/>
      <c r="B96" s="789"/>
      <c r="C96" s="790"/>
      <c r="D96" s="817"/>
      <c r="E96" s="817"/>
      <c r="F96" s="817"/>
      <c r="G96" s="817"/>
      <c r="H96" s="790"/>
      <c r="I96" s="794"/>
      <c r="J96" s="794"/>
      <c r="K96" s="794"/>
      <c r="L96" s="794"/>
      <c r="M96" s="794"/>
      <c r="N96" s="790"/>
      <c r="O96" s="790"/>
      <c r="P96" s="800"/>
    </row>
    <row r="97" spans="1:16">
      <c r="A97" s="816" t="s">
        <v>817</v>
      </c>
      <c r="B97" s="821" t="s">
        <v>2525</v>
      </c>
      <c r="C97" s="790"/>
      <c r="D97" s="817"/>
      <c r="E97" s="817"/>
      <c r="F97" s="817"/>
      <c r="G97" s="817"/>
      <c r="H97" s="817"/>
      <c r="I97" s="794"/>
      <c r="J97" s="790"/>
      <c r="K97" s="790"/>
      <c r="L97" s="790"/>
      <c r="M97" s="794"/>
      <c r="N97" s="790"/>
      <c r="O97" s="790"/>
      <c r="P97" s="800"/>
    </row>
    <row r="98" spans="1:16">
      <c r="A98" s="789"/>
      <c r="B98" s="789"/>
      <c r="C98" s="821"/>
      <c r="D98" s="817"/>
      <c r="E98" s="817"/>
      <c r="F98" s="817"/>
      <c r="G98" s="790"/>
      <c r="H98" s="790"/>
      <c r="I98" s="790"/>
      <c r="J98" s="790"/>
      <c r="K98" s="790"/>
      <c r="L98" s="794"/>
      <c r="M98" s="794"/>
      <c r="N98" s="790"/>
      <c r="O98" s="790"/>
      <c r="P98" s="800"/>
    </row>
    <row r="99" spans="1:16">
      <c r="A99" s="789"/>
      <c r="B99" s="789" t="s">
        <v>2110</v>
      </c>
      <c r="C99" s="791" t="s">
        <v>2524</v>
      </c>
      <c r="D99" s="817"/>
      <c r="E99" s="817"/>
      <c r="F99" s="817"/>
      <c r="G99" s="790"/>
      <c r="H99" s="2254" t="s">
        <v>918</v>
      </c>
      <c r="I99" s="2254"/>
      <c r="J99" s="2254"/>
      <c r="K99" s="790"/>
      <c r="L99" s="790"/>
      <c r="M99" s="794"/>
      <c r="N99" s="790"/>
      <c r="O99" s="790"/>
      <c r="P99" s="800"/>
    </row>
    <row r="100" spans="1:16">
      <c r="A100" s="789"/>
      <c r="B100" s="789"/>
      <c r="C100" s="790"/>
      <c r="D100" s="817"/>
      <c r="E100" s="817"/>
      <c r="F100" s="817"/>
      <c r="G100" s="817"/>
      <c r="H100" s="790"/>
      <c r="I100" s="794"/>
      <c r="J100" s="794"/>
      <c r="K100" s="794"/>
      <c r="L100" s="794"/>
      <c r="M100" s="794"/>
      <c r="N100" s="790"/>
      <c r="O100" s="790"/>
      <c r="P100" s="800"/>
    </row>
    <row r="101" spans="1:16">
      <c r="A101" s="790"/>
      <c r="B101" s="789" t="s">
        <v>2113</v>
      </c>
      <c r="C101" s="793" t="s">
        <v>1632</v>
      </c>
      <c r="D101" s="790"/>
      <c r="E101" s="790"/>
      <c r="F101" s="790"/>
      <c r="G101" s="790"/>
      <c r="H101" s="790"/>
      <c r="I101" s="790"/>
      <c r="J101" s="790"/>
      <c r="K101" s="797" t="s">
        <v>917</v>
      </c>
      <c r="L101" s="790"/>
      <c r="M101" s="790"/>
      <c r="N101" s="823"/>
      <c r="O101" s="790"/>
      <c r="P101" s="794">
        <f>'Part I-Project Information'!P77</f>
        <v>0</v>
      </c>
    </row>
    <row r="102" spans="1:16">
      <c r="A102" s="789"/>
      <c r="B102" s="789"/>
      <c r="C102" s="793"/>
      <c r="D102" s="817"/>
      <c r="E102" s="817"/>
      <c r="F102" s="817"/>
      <c r="G102" s="817"/>
      <c r="H102" s="790"/>
      <c r="I102" s="794"/>
      <c r="J102" s="794"/>
      <c r="K102" s="794"/>
      <c r="L102" s="794"/>
      <c r="M102" s="794"/>
      <c r="N102" s="790"/>
      <c r="O102" s="790"/>
      <c r="P102" s="800"/>
    </row>
    <row r="103" spans="1:16">
      <c r="A103" s="816" t="s">
        <v>308</v>
      </c>
      <c r="B103" s="821" t="s">
        <v>2171</v>
      </c>
      <c r="C103" s="790"/>
      <c r="D103" s="817"/>
      <c r="E103" s="790"/>
      <c r="F103" s="790"/>
      <c r="G103" s="790"/>
      <c r="H103" s="790"/>
      <c r="I103" s="790"/>
      <c r="J103" s="790"/>
      <c r="K103" s="790"/>
      <c r="L103" s="790"/>
      <c r="M103" s="790"/>
      <c r="N103" s="790"/>
      <c r="O103" s="790"/>
      <c r="P103" s="790"/>
    </row>
    <row r="104" spans="1:16">
      <c r="A104" s="789"/>
      <c r="B104" s="789"/>
      <c r="C104" s="790"/>
      <c r="D104" s="817"/>
      <c r="E104" s="790"/>
      <c r="F104" s="790"/>
      <c r="G104" s="790"/>
      <c r="H104" s="790"/>
      <c r="I104" s="790"/>
      <c r="J104" s="790"/>
      <c r="K104" s="790"/>
      <c r="L104" s="790"/>
      <c r="M104" s="790"/>
      <c r="N104" s="790"/>
      <c r="O104" s="790"/>
      <c r="P104" s="800"/>
    </row>
    <row r="105" spans="1:16">
      <c r="A105" s="816"/>
      <c r="B105" s="789" t="s">
        <v>2110</v>
      </c>
      <c r="C105" s="793" t="s">
        <v>2932</v>
      </c>
      <c r="D105" s="790"/>
      <c r="E105" s="790"/>
      <c r="F105" s="819" t="s">
        <v>2773</v>
      </c>
      <c r="G105" s="790"/>
      <c r="H105" s="794">
        <f>'Part I-Project Information'!H81</f>
        <v>0</v>
      </c>
      <c r="I105" s="790"/>
      <c r="J105" s="790"/>
      <c r="K105" s="790"/>
      <c r="L105" s="790"/>
      <c r="M105" s="790"/>
      <c r="N105" s="790"/>
      <c r="O105" s="790"/>
      <c r="P105" s="790"/>
    </row>
    <row r="106" spans="1:16">
      <c r="A106" s="789"/>
      <c r="B106" s="789"/>
      <c r="C106" s="821"/>
      <c r="D106" s="790"/>
      <c r="E106" s="790"/>
      <c r="F106" s="817"/>
      <c r="G106" s="790"/>
      <c r="H106" s="817"/>
      <c r="I106" s="790"/>
      <c r="J106" s="794"/>
      <c r="K106" s="794"/>
      <c r="L106" s="794"/>
      <c r="M106" s="794"/>
      <c r="N106" s="794"/>
      <c r="O106" s="790"/>
      <c r="P106" s="800"/>
    </row>
    <row r="107" spans="1:16">
      <c r="A107" s="816"/>
      <c r="B107" s="789" t="s">
        <v>2113</v>
      </c>
      <c r="C107" s="793" t="s">
        <v>2933</v>
      </c>
      <c r="D107" s="790"/>
      <c r="E107" s="790"/>
      <c r="F107" s="797" t="s">
        <v>2872</v>
      </c>
      <c r="G107" s="790"/>
      <c r="H107" s="794">
        <f>'Part I-Project Information'!H83</f>
        <v>0</v>
      </c>
      <c r="I107" s="824" t="s">
        <v>2934</v>
      </c>
      <c r="J107" s="794"/>
      <c r="K107" s="794"/>
      <c r="L107" s="794"/>
      <c r="M107" s="794"/>
      <c r="N107" s="794"/>
      <c r="O107" s="794"/>
      <c r="P107" s="790"/>
    </row>
    <row r="108" spans="1:16">
      <c r="A108" s="789"/>
      <c r="B108" s="789"/>
      <c r="C108" s="793"/>
      <c r="D108" s="817"/>
      <c r="E108" s="817"/>
      <c r="F108" s="817"/>
      <c r="G108" s="817"/>
      <c r="H108" s="790"/>
      <c r="I108" s="794"/>
      <c r="J108" s="794"/>
      <c r="K108" s="794"/>
      <c r="L108" s="794"/>
      <c r="M108" s="794"/>
      <c r="N108" s="790"/>
      <c r="O108" s="790"/>
      <c r="P108" s="800"/>
    </row>
    <row r="109" spans="1:16">
      <c r="A109" s="816" t="s">
        <v>445</v>
      </c>
      <c r="B109" s="821" t="s">
        <v>3060</v>
      </c>
      <c r="C109" s="790"/>
      <c r="D109" s="817"/>
      <c r="E109" s="790"/>
      <c r="F109" s="790"/>
      <c r="G109" s="790"/>
      <c r="H109" s="2204" t="str">
        <f>'Part I-Project Information'!H85</f>
        <v>Flexible</v>
      </c>
      <c r="I109" s="2204"/>
      <c r="J109" s="794"/>
      <c r="K109" s="790"/>
      <c r="L109" s="790"/>
      <c r="M109" s="790"/>
      <c r="N109" s="790"/>
      <c r="O109" s="790"/>
      <c r="P109" s="790"/>
    </row>
    <row r="110" spans="1:16">
      <c r="A110" s="789"/>
      <c r="B110" s="790"/>
      <c r="C110" s="790"/>
      <c r="D110" s="802"/>
      <c r="E110" s="790"/>
      <c r="F110" s="790"/>
      <c r="G110" s="790"/>
      <c r="H110" s="790"/>
      <c r="I110" s="802"/>
      <c r="J110" s="795"/>
      <c r="K110" s="790"/>
      <c r="L110" s="790"/>
      <c r="M110" s="790"/>
      <c r="N110" s="790"/>
      <c r="O110" s="790"/>
      <c r="P110" s="800"/>
    </row>
    <row r="111" spans="1:16">
      <c r="A111" s="816" t="s">
        <v>381</v>
      </c>
      <c r="B111" s="816" t="s">
        <v>1254</v>
      </c>
      <c r="C111" s="790"/>
      <c r="D111" s="790"/>
      <c r="E111" s="790"/>
      <c r="F111" s="790"/>
      <c r="G111" s="790"/>
      <c r="H111" s="790"/>
      <c r="I111" s="802"/>
      <c r="J111" s="795"/>
      <c r="K111" s="790"/>
      <c r="L111" s="790"/>
      <c r="M111" s="790"/>
      <c r="N111" s="790"/>
      <c r="O111" s="790"/>
      <c r="P111" s="800"/>
    </row>
    <row r="112" spans="1:16">
      <c r="A112" s="816"/>
      <c r="B112" s="789"/>
      <c r="C112" s="816"/>
      <c r="D112" s="790"/>
      <c r="E112" s="790"/>
      <c r="F112" s="790"/>
      <c r="G112" s="790"/>
      <c r="H112" s="790"/>
      <c r="I112" s="802"/>
      <c r="J112" s="795"/>
      <c r="K112" s="790"/>
      <c r="L112" s="790"/>
      <c r="M112" s="790"/>
      <c r="N112" s="790"/>
      <c r="O112" s="790"/>
      <c r="P112" s="790"/>
    </row>
    <row r="113" spans="1:16">
      <c r="A113" s="789"/>
      <c r="B113" s="789"/>
      <c r="C113" s="795" t="s">
        <v>580</v>
      </c>
      <c r="D113" s="790"/>
      <c r="E113" s="2204">
        <f>'Part I-Project Information'!E89</f>
        <v>0</v>
      </c>
      <c r="F113" s="2204"/>
      <c r="G113" s="2204"/>
      <c r="H113" s="2204"/>
      <c r="I113" s="2204"/>
      <c r="J113" s="2204"/>
      <c r="K113" s="2204"/>
      <c r="L113" s="2204"/>
      <c r="M113" s="2254" t="s">
        <v>581</v>
      </c>
      <c r="N113" s="2254"/>
      <c r="O113" s="2250">
        <f>'Part I-Project Information'!O89</f>
        <v>0</v>
      </c>
      <c r="P113" s="2250"/>
    </row>
    <row r="114" spans="1:16">
      <c r="A114" s="790"/>
      <c r="B114" s="790"/>
      <c r="C114" s="797" t="s">
        <v>1077</v>
      </c>
      <c r="D114" s="799"/>
      <c r="E114" s="2204">
        <f>'Part I-Project Information'!E90</f>
        <v>0</v>
      </c>
      <c r="F114" s="2204"/>
      <c r="G114" s="2204"/>
      <c r="H114" s="2204"/>
      <c r="I114" s="2204"/>
      <c r="J114" s="2204"/>
      <c r="K114" s="2204"/>
      <c r="L114" s="2204"/>
      <c r="M114" s="2254" t="s">
        <v>856</v>
      </c>
      <c r="N114" s="2254"/>
      <c r="O114" s="2240">
        <f>'Part I-Project Information'!O90</f>
        <v>0</v>
      </c>
      <c r="P114" s="2240"/>
    </row>
    <row r="115" spans="1:16">
      <c r="A115" s="790"/>
      <c r="B115" s="790"/>
      <c r="C115" s="797" t="s">
        <v>654</v>
      </c>
      <c r="D115" s="790"/>
      <c r="E115" s="2204">
        <f>'Part I-Project Information'!E91</f>
        <v>0</v>
      </c>
      <c r="F115" s="2204"/>
      <c r="G115" s="2204"/>
      <c r="H115" s="794" t="s">
        <v>1914</v>
      </c>
      <c r="I115" s="794">
        <f>'Part I-Project Information'!I91</f>
        <v>0</v>
      </c>
      <c r="J115" s="794" t="s">
        <v>2367</v>
      </c>
      <c r="K115" s="2248">
        <f>'Part I-Project Information'!K91</f>
        <v>0</v>
      </c>
      <c r="L115" s="2248"/>
      <c r="M115" s="795"/>
      <c r="N115" s="795"/>
      <c r="O115" s="795"/>
      <c r="P115" s="795"/>
    </row>
    <row r="116" spans="1:16">
      <c r="A116" s="790"/>
      <c r="B116" s="790"/>
      <c r="C116" s="790" t="s">
        <v>2327</v>
      </c>
      <c r="D116" s="790"/>
      <c r="E116" s="2204">
        <f>'Part I-Project Information'!E92</f>
        <v>0</v>
      </c>
      <c r="F116" s="2204"/>
      <c r="G116" s="2204"/>
      <c r="H116" s="794" t="s">
        <v>2107</v>
      </c>
      <c r="I116" s="2204">
        <f>'Part I-Project Information'!I92</f>
        <v>0</v>
      </c>
      <c r="J116" s="2217"/>
      <c r="K116" s="2217"/>
      <c r="L116" s="794" t="s">
        <v>2111</v>
      </c>
      <c r="M116" s="2204">
        <f>'Part I-Project Information'!M92</f>
        <v>0</v>
      </c>
      <c r="N116" s="2217"/>
      <c r="O116" s="2217"/>
      <c r="P116" s="2217"/>
    </row>
    <row r="117" spans="1:16">
      <c r="A117" s="790"/>
      <c r="B117" s="790"/>
      <c r="C117" s="797" t="s">
        <v>2326</v>
      </c>
      <c r="D117" s="790"/>
      <c r="E117" s="2238">
        <f>'Part I-Project Information'!E93</f>
        <v>0</v>
      </c>
      <c r="F117" s="2238"/>
      <c r="G117" s="2238"/>
      <c r="H117" s="794" t="s">
        <v>1917</v>
      </c>
      <c r="I117" s="2238">
        <f>'Part I-Project Information'!I93</f>
        <v>0</v>
      </c>
      <c r="J117" s="2238"/>
      <c r="K117" s="794" t="s">
        <v>1918</v>
      </c>
      <c r="L117" s="2238">
        <f>'Part I-Project Information'!L93</f>
        <v>0</v>
      </c>
      <c r="M117" s="2238"/>
      <c r="N117" s="794" t="s">
        <v>2106</v>
      </c>
      <c r="O117" s="2238">
        <f>'Part I-Project Information'!O93</f>
        <v>0</v>
      </c>
      <c r="P117" s="2238"/>
    </row>
    <row r="118" spans="1:16">
      <c r="A118" s="789"/>
      <c r="B118" s="789"/>
      <c r="C118" s="790"/>
      <c r="D118" s="790"/>
      <c r="E118" s="790"/>
      <c r="F118" s="790"/>
      <c r="G118" s="802"/>
      <c r="H118" s="794"/>
      <c r="I118" s="794"/>
      <c r="J118" s="790"/>
      <c r="K118" s="790"/>
      <c r="L118" s="790"/>
      <c r="M118" s="800"/>
      <c r="N118" s="790"/>
      <c r="O118" s="790"/>
      <c r="P118" s="790"/>
    </row>
    <row r="119" spans="1:16">
      <c r="A119" s="816" t="s">
        <v>382</v>
      </c>
      <c r="B119" s="821" t="s">
        <v>1773</v>
      </c>
      <c r="C119" s="790"/>
      <c r="D119" s="802"/>
      <c r="E119" s="802"/>
      <c r="F119" s="794"/>
      <c r="G119" s="794"/>
      <c r="H119" s="794"/>
      <c r="I119" s="794"/>
      <c r="J119" s="802"/>
      <c r="K119" s="794"/>
      <c r="L119" s="794"/>
      <c r="M119" s="790"/>
      <c r="N119" s="790"/>
      <c r="O119" s="790"/>
      <c r="P119" s="800"/>
    </row>
    <row r="120" spans="1:16">
      <c r="A120" s="816"/>
      <c r="B120" s="821"/>
      <c r="C120" s="790"/>
      <c r="D120" s="802"/>
      <c r="E120" s="802"/>
      <c r="F120" s="794"/>
      <c r="G120" s="794"/>
      <c r="H120" s="794"/>
      <c r="I120" s="794"/>
      <c r="J120" s="802"/>
      <c r="K120" s="794"/>
      <c r="L120" s="794"/>
      <c r="M120" s="790"/>
      <c r="N120" s="790"/>
      <c r="O120" s="790"/>
      <c r="P120" s="800"/>
    </row>
    <row r="121" spans="1:16">
      <c r="A121" s="790"/>
      <c r="B121" s="819" t="s">
        <v>2284</v>
      </c>
      <c r="C121" s="790"/>
      <c r="D121" s="825"/>
      <c r="E121" s="825"/>
      <c r="F121" s="825"/>
      <c r="G121" s="825"/>
      <c r="H121" s="825"/>
      <c r="I121" s="825"/>
      <c r="J121" s="825"/>
      <c r="K121" s="825"/>
      <c r="L121" s="825"/>
      <c r="M121" s="825"/>
      <c r="N121" s="825"/>
      <c r="O121" s="825"/>
      <c r="P121" s="825"/>
    </row>
    <row r="122" spans="1:16">
      <c r="A122" s="789"/>
      <c r="B122" s="789"/>
      <c r="C122" s="826"/>
      <c r="D122" s="826"/>
      <c r="E122" s="826"/>
      <c r="F122" s="826"/>
      <c r="G122" s="826"/>
      <c r="H122" s="826"/>
      <c r="I122" s="826"/>
      <c r="J122" s="826"/>
      <c r="K122" s="826"/>
      <c r="L122" s="826"/>
      <c r="M122" s="826"/>
      <c r="N122" s="826"/>
      <c r="O122" s="826"/>
      <c r="P122" s="826"/>
    </row>
    <row r="123" spans="1:16">
      <c r="A123" s="789"/>
      <c r="B123" s="789" t="s">
        <v>2110</v>
      </c>
      <c r="C123" s="821" t="s">
        <v>1498</v>
      </c>
      <c r="D123" s="817"/>
      <c r="E123" s="817"/>
      <c r="F123" s="794"/>
      <c r="G123" s="794"/>
      <c r="H123" s="818">
        <f>'Part I-Project Information'!H99</f>
        <v>2</v>
      </c>
      <c r="I123" s="790"/>
      <c r="J123" s="790"/>
      <c r="K123" s="790"/>
      <c r="L123" s="790"/>
      <c r="M123" s="790"/>
      <c r="N123" s="790"/>
      <c r="O123" s="790"/>
      <c r="P123" s="790"/>
    </row>
    <row r="124" spans="1:16">
      <c r="A124" s="789"/>
      <c r="B124" s="789"/>
      <c r="C124" s="826"/>
      <c r="D124" s="826"/>
      <c r="E124" s="826"/>
      <c r="F124" s="826"/>
      <c r="G124" s="826"/>
      <c r="H124" s="826"/>
      <c r="I124" s="790"/>
      <c r="J124" s="826"/>
      <c r="K124" s="790"/>
      <c r="L124" s="790"/>
      <c r="M124" s="826"/>
      <c r="N124" s="826"/>
      <c r="O124" s="826"/>
      <c r="P124" s="790"/>
    </row>
    <row r="125" spans="1:16">
      <c r="A125" s="789"/>
      <c r="B125" s="789" t="s">
        <v>2113</v>
      </c>
      <c r="C125" s="821" t="s">
        <v>435</v>
      </c>
      <c r="D125" s="817"/>
      <c r="E125" s="817"/>
      <c r="F125" s="794"/>
      <c r="G125" s="794"/>
      <c r="H125" s="818">
        <f>'Part I-Project Information'!H101</f>
        <v>1401724</v>
      </c>
      <c r="I125" s="790"/>
      <c r="J125" s="802"/>
      <c r="K125" s="797"/>
      <c r="L125" s="790"/>
      <c r="M125" s="790"/>
      <c r="N125" s="790"/>
      <c r="O125" s="790"/>
      <c r="P125" s="790"/>
    </row>
    <row r="126" spans="1:16">
      <c r="A126" s="789"/>
      <c r="B126" s="789"/>
      <c r="C126" s="826"/>
      <c r="D126" s="826"/>
      <c r="E126" s="826"/>
      <c r="F126" s="826"/>
      <c r="G126" s="826"/>
      <c r="H126" s="826"/>
      <c r="I126" s="826"/>
      <c r="J126" s="826"/>
      <c r="K126" s="826"/>
      <c r="L126" s="790"/>
      <c r="M126" s="826"/>
      <c r="N126" s="826"/>
      <c r="O126" s="826"/>
      <c r="P126" s="826"/>
    </row>
    <row r="127" spans="1:16">
      <c r="A127" s="790"/>
      <c r="B127" s="789" t="s">
        <v>793</v>
      </c>
      <c r="C127" s="821" t="s">
        <v>318</v>
      </c>
      <c r="D127" s="817"/>
      <c r="E127" s="817"/>
      <c r="F127" s="794"/>
      <c r="G127" s="794"/>
      <c r="H127" s="794"/>
      <c r="I127" s="794"/>
      <c r="J127" s="802"/>
      <c r="K127" s="794"/>
      <c r="L127" s="794"/>
      <c r="M127" s="790"/>
      <c r="N127" s="790"/>
      <c r="O127" s="790"/>
      <c r="P127" s="790"/>
    </row>
    <row r="128" spans="1:16">
      <c r="A128" s="790"/>
      <c r="B128" s="789"/>
      <c r="C128" s="817" t="s">
        <v>2266</v>
      </c>
      <c r="D128" s="817"/>
      <c r="E128" s="790"/>
      <c r="F128" s="817" t="s">
        <v>1196</v>
      </c>
      <c r="G128" s="794"/>
      <c r="H128" s="794"/>
      <c r="I128" s="794"/>
      <c r="J128" s="817" t="s">
        <v>2266</v>
      </c>
      <c r="K128" s="817"/>
      <c r="L128" s="790"/>
      <c r="M128" s="817" t="s">
        <v>1196</v>
      </c>
      <c r="N128" s="794"/>
      <c r="O128" s="794"/>
      <c r="P128" s="794"/>
    </row>
    <row r="129" spans="1:16" ht="13.5">
      <c r="A129" s="789"/>
      <c r="B129" s="789"/>
      <c r="C129" s="2255" t="str">
        <f>'Part I-Project Information'!C105</f>
        <v>Allan Rappuhn</v>
      </c>
      <c r="D129" s="2255"/>
      <c r="E129" s="2255"/>
      <c r="F129" s="2255" t="str">
        <f>'Part I-Project Information'!F105</f>
        <v>Newport Trace Apartments</v>
      </c>
      <c r="G129" s="2255"/>
      <c r="H129" s="2255"/>
      <c r="I129" s="2255"/>
      <c r="J129" s="2255">
        <f>'Part I-Project Information'!J105</f>
        <v>6</v>
      </c>
      <c r="K129" s="2255"/>
      <c r="L129" s="2255"/>
      <c r="M129" s="2255">
        <f>'Part I-Project Information'!M105</f>
        <v>0</v>
      </c>
      <c r="N129" s="2255"/>
      <c r="O129" s="2255"/>
      <c r="P129" s="2255"/>
    </row>
    <row r="130" spans="1:16" ht="13.5">
      <c r="A130" s="789"/>
      <c r="B130" s="789"/>
      <c r="C130" s="2255" t="str">
        <f>'Part I-Project Information'!C106</f>
        <v>Allan Rappuhn</v>
      </c>
      <c r="D130" s="2255"/>
      <c r="E130" s="2255"/>
      <c r="F130" s="2255" t="str">
        <f>'Part I-Project Information'!F106</f>
        <v>Highland Estates</v>
      </c>
      <c r="G130" s="2255"/>
      <c r="H130" s="2255"/>
      <c r="I130" s="2255"/>
      <c r="J130" s="2255">
        <f>'Part I-Project Information'!J106</f>
        <v>7</v>
      </c>
      <c r="K130" s="2255"/>
      <c r="L130" s="2255"/>
      <c r="M130" s="2255">
        <f>'Part I-Project Information'!M106</f>
        <v>0</v>
      </c>
      <c r="N130" s="2255"/>
      <c r="O130" s="2255"/>
      <c r="P130" s="2255"/>
    </row>
    <row r="131" spans="1:16" ht="13.5">
      <c r="A131" s="789"/>
      <c r="B131" s="789"/>
      <c r="C131" s="2255">
        <f>'Part I-Project Information'!C107</f>
        <v>3</v>
      </c>
      <c r="D131" s="2255"/>
      <c r="E131" s="2255"/>
      <c r="F131" s="2255">
        <f>'Part I-Project Information'!F107</f>
        <v>0</v>
      </c>
      <c r="G131" s="2255"/>
      <c r="H131" s="2255"/>
      <c r="I131" s="2255"/>
      <c r="J131" s="2255">
        <f>'Part I-Project Information'!J107</f>
        <v>8</v>
      </c>
      <c r="K131" s="2255"/>
      <c r="L131" s="2255"/>
      <c r="M131" s="2255">
        <f>'Part I-Project Information'!M107</f>
        <v>0</v>
      </c>
      <c r="N131" s="2255"/>
      <c r="O131" s="2255"/>
      <c r="P131" s="2255"/>
    </row>
    <row r="132" spans="1:16" ht="13.5">
      <c r="A132" s="789"/>
      <c r="B132" s="789"/>
      <c r="C132" s="2255">
        <f>'Part I-Project Information'!C108</f>
        <v>4</v>
      </c>
      <c r="D132" s="2255"/>
      <c r="E132" s="2255"/>
      <c r="F132" s="2255">
        <f>'Part I-Project Information'!F108</f>
        <v>0</v>
      </c>
      <c r="G132" s="2255"/>
      <c r="H132" s="2255"/>
      <c r="I132" s="2255"/>
      <c r="J132" s="2255">
        <f>'Part I-Project Information'!J108</f>
        <v>9</v>
      </c>
      <c r="K132" s="2255"/>
      <c r="L132" s="2255"/>
      <c r="M132" s="2255">
        <f>'Part I-Project Information'!M108</f>
        <v>0</v>
      </c>
      <c r="N132" s="2255"/>
      <c r="O132" s="2255"/>
      <c r="P132" s="2255"/>
    </row>
    <row r="133" spans="1:16" ht="13.5">
      <c r="A133" s="789"/>
      <c r="B133" s="789"/>
      <c r="C133" s="2255">
        <f>'Part I-Project Information'!C109</f>
        <v>5</v>
      </c>
      <c r="D133" s="2255"/>
      <c r="E133" s="2255"/>
      <c r="F133" s="2255">
        <f>'Part I-Project Information'!F109</f>
        <v>0</v>
      </c>
      <c r="G133" s="2255"/>
      <c r="H133" s="2255"/>
      <c r="I133" s="2255"/>
      <c r="J133" s="2255">
        <f>'Part I-Project Information'!J109</f>
        <v>10</v>
      </c>
      <c r="K133" s="2255"/>
      <c r="L133" s="2255"/>
      <c r="M133" s="2255">
        <f>'Part I-Project Information'!M109</f>
        <v>0</v>
      </c>
      <c r="N133" s="2255"/>
      <c r="O133" s="2255"/>
      <c r="P133" s="2255"/>
    </row>
    <row r="134" spans="1:16">
      <c r="A134" s="789"/>
      <c r="B134" s="789"/>
      <c r="C134" s="826"/>
      <c r="D134" s="826"/>
      <c r="E134" s="826"/>
      <c r="F134" s="826"/>
      <c r="G134" s="826"/>
      <c r="H134" s="826"/>
      <c r="I134" s="826"/>
      <c r="J134" s="826"/>
      <c r="K134" s="826"/>
      <c r="L134" s="826"/>
      <c r="M134" s="826"/>
      <c r="N134" s="826"/>
      <c r="O134" s="826"/>
      <c r="P134" s="826"/>
    </row>
    <row r="135" spans="1:16">
      <c r="A135" s="789"/>
      <c r="B135" s="789" t="s">
        <v>2245</v>
      </c>
      <c r="C135" s="2256" t="s">
        <v>1968</v>
      </c>
      <c r="D135" s="2256"/>
      <c r="E135" s="2256"/>
      <c r="F135" s="2256"/>
      <c r="G135" s="2256"/>
      <c r="H135" s="2256"/>
      <c r="I135" s="2256"/>
      <c r="J135" s="2256"/>
      <c r="K135" s="2256"/>
      <c r="L135" s="2256"/>
      <c r="M135" s="2256"/>
      <c r="N135" s="2256"/>
      <c r="O135" s="2256"/>
      <c r="P135" s="2256"/>
    </row>
    <row r="136" spans="1:16">
      <c r="A136" s="789"/>
      <c r="B136" s="789"/>
      <c r="C136" s="2256"/>
      <c r="D136" s="2256"/>
      <c r="E136" s="2256"/>
      <c r="F136" s="2256"/>
      <c r="G136" s="2256"/>
      <c r="H136" s="2256"/>
      <c r="I136" s="2256"/>
      <c r="J136" s="2256"/>
      <c r="K136" s="2256"/>
      <c r="L136" s="2256"/>
      <c r="M136" s="2256"/>
      <c r="N136" s="2256"/>
      <c r="O136" s="2256"/>
      <c r="P136" s="2256"/>
    </row>
    <row r="137" spans="1:16">
      <c r="A137" s="790"/>
      <c r="B137" s="789"/>
      <c r="C137" s="817" t="s">
        <v>2266</v>
      </c>
      <c r="D137" s="817"/>
      <c r="E137" s="790"/>
      <c r="F137" s="817" t="s">
        <v>1196</v>
      </c>
      <c r="G137" s="794"/>
      <c r="H137" s="794"/>
      <c r="I137" s="794"/>
      <c r="J137" s="817" t="s">
        <v>2266</v>
      </c>
      <c r="K137" s="817"/>
      <c r="L137" s="790"/>
      <c r="M137" s="817" t="s">
        <v>1196</v>
      </c>
      <c r="N137" s="794"/>
      <c r="O137" s="794"/>
      <c r="P137" s="794"/>
    </row>
    <row r="138" spans="1:16" ht="13.5">
      <c r="A138" s="789"/>
      <c r="B138" s="789"/>
      <c r="C138" s="2255">
        <f>'Part I-Project Information'!C114</f>
        <v>1</v>
      </c>
      <c r="D138" s="2255"/>
      <c r="E138" s="2255"/>
      <c r="F138" s="2255">
        <f>'Part I-Project Information'!F114</f>
        <v>0</v>
      </c>
      <c r="G138" s="2255"/>
      <c r="H138" s="2255"/>
      <c r="I138" s="2255"/>
      <c r="J138" s="2255">
        <f>'Part I-Project Information'!J114</f>
        <v>6</v>
      </c>
      <c r="K138" s="2255"/>
      <c r="L138" s="2255"/>
      <c r="M138" s="2255">
        <f>'Part I-Project Information'!M114</f>
        <v>0</v>
      </c>
      <c r="N138" s="2255"/>
      <c r="O138" s="2255"/>
      <c r="P138" s="2255"/>
    </row>
    <row r="139" spans="1:16" ht="13.5">
      <c r="A139" s="789"/>
      <c r="B139" s="789"/>
      <c r="C139" s="2255">
        <f>'Part I-Project Information'!C115</f>
        <v>2</v>
      </c>
      <c r="D139" s="2255"/>
      <c r="E139" s="2255"/>
      <c r="F139" s="2255">
        <f>'Part I-Project Information'!F115</f>
        <v>0</v>
      </c>
      <c r="G139" s="2255"/>
      <c r="H139" s="2255"/>
      <c r="I139" s="2255"/>
      <c r="J139" s="2255">
        <f>'Part I-Project Information'!J115</f>
        <v>7</v>
      </c>
      <c r="K139" s="2255"/>
      <c r="L139" s="2255"/>
      <c r="M139" s="2255">
        <f>'Part I-Project Information'!M115</f>
        <v>0</v>
      </c>
      <c r="N139" s="2255"/>
      <c r="O139" s="2255"/>
      <c r="P139" s="2255"/>
    </row>
    <row r="140" spans="1:16" ht="13.5">
      <c r="A140" s="789"/>
      <c r="B140" s="789"/>
      <c r="C140" s="2255">
        <f>'Part I-Project Information'!C116</f>
        <v>3</v>
      </c>
      <c r="D140" s="2255"/>
      <c r="E140" s="2255"/>
      <c r="F140" s="2255">
        <f>'Part I-Project Information'!F116</f>
        <v>0</v>
      </c>
      <c r="G140" s="2255"/>
      <c r="H140" s="2255"/>
      <c r="I140" s="2255"/>
      <c r="J140" s="2255">
        <f>'Part I-Project Information'!J116</f>
        <v>8</v>
      </c>
      <c r="K140" s="2255"/>
      <c r="L140" s="2255"/>
      <c r="M140" s="2255">
        <f>'Part I-Project Information'!M116</f>
        <v>0</v>
      </c>
      <c r="N140" s="2255"/>
      <c r="O140" s="2255"/>
      <c r="P140" s="2255"/>
    </row>
    <row r="141" spans="1:16" ht="13.5">
      <c r="A141" s="789"/>
      <c r="B141" s="789"/>
      <c r="C141" s="2255">
        <f>'Part I-Project Information'!C117</f>
        <v>4</v>
      </c>
      <c r="D141" s="2255"/>
      <c r="E141" s="2255"/>
      <c r="F141" s="2255">
        <f>'Part I-Project Information'!F117</f>
        <v>0</v>
      </c>
      <c r="G141" s="2255"/>
      <c r="H141" s="2255"/>
      <c r="I141" s="2255"/>
      <c r="J141" s="2255">
        <f>'Part I-Project Information'!J117</f>
        <v>9</v>
      </c>
      <c r="K141" s="2255"/>
      <c r="L141" s="2255"/>
      <c r="M141" s="2255">
        <f>'Part I-Project Information'!M117</f>
        <v>0</v>
      </c>
      <c r="N141" s="2255"/>
      <c r="O141" s="2255"/>
      <c r="P141" s="2255"/>
    </row>
    <row r="142" spans="1:16" ht="13.5">
      <c r="A142" s="789"/>
      <c r="B142" s="789"/>
      <c r="C142" s="2255">
        <f>'Part I-Project Information'!C118</f>
        <v>5</v>
      </c>
      <c r="D142" s="2255"/>
      <c r="E142" s="2255"/>
      <c r="F142" s="2255">
        <f>'Part I-Project Information'!F118</f>
        <v>0</v>
      </c>
      <c r="G142" s="2255"/>
      <c r="H142" s="2255"/>
      <c r="I142" s="2255"/>
      <c r="J142" s="2255">
        <f>'Part I-Project Information'!J118</f>
        <v>10</v>
      </c>
      <c r="K142" s="2255"/>
      <c r="L142" s="2255"/>
      <c r="M142" s="2255">
        <f>'Part I-Project Information'!M118</f>
        <v>0</v>
      </c>
      <c r="N142" s="2255"/>
      <c r="O142" s="2255"/>
      <c r="P142" s="2255"/>
    </row>
    <row r="143" spans="1:16">
      <c r="A143" s="789"/>
      <c r="B143" s="789"/>
      <c r="C143" s="817"/>
      <c r="D143" s="817"/>
      <c r="E143" s="817"/>
      <c r="F143" s="794"/>
      <c r="G143" s="794"/>
      <c r="H143" s="794"/>
      <c r="I143" s="794"/>
      <c r="J143" s="802"/>
      <c r="K143" s="794"/>
      <c r="L143" s="794"/>
      <c r="M143" s="790"/>
      <c r="N143" s="790"/>
      <c r="O143" s="790"/>
      <c r="P143" s="800"/>
    </row>
    <row r="144" spans="1:16">
      <c r="A144" s="816" t="s">
        <v>383</v>
      </c>
      <c r="B144" s="820" t="s">
        <v>2573</v>
      </c>
      <c r="C144" s="790"/>
      <c r="D144" s="820"/>
      <c r="E144" s="820"/>
      <c r="F144" s="820"/>
      <c r="G144" s="790"/>
      <c r="H144" s="794" t="str">
        <f>'Part I-Project Information'!H120</f>
        <v>No</v>
      </c>
      <c r="I144" s="790"/>
      <c r="J144" s="790"/>
      <c r="K144" s="790"/>
      <c r="L144" s="790"/>
      <c r="M144" s="794"/>
      <c r="N144" s="790"/>
      <c r="O144" s="790"/>
      <c r="P144" s="800"/>
    </row>
    <row r="145" spans="1:16">
      <c r="A145" s="816"/>
      <c r="B145" s="789"/>
      <c r="C145" s="821"/>
      <c r="D145" s="821"/>
      <c r="E145" s="821"/>
      <c r="F145" s="821"/>
      <c r="G145" s="794"/>
      <c r="H145" s="790"/>
      <c r="I145" s="790"/>
      <c r="J145" s="790"/>
      <c r="K145" s="790"/>
      <c r="L145" s="790"/>
      <c r="M145" s="794"/>
      <c r="N145" s="790"/>
      <c r="O145" s="790"/>
      <c r="P145" s="790"/>
    </row>
    <row r="146" spans="1:16">
      <c r="A146" s="789"/>
      <c r="B146" s="789" t="s">
        <v>2110</v>
      </c>
      <c r="C146" s="791" t="s">
        <v>1823</v>
      </c>
      <c r="D146" s="790"/>
      <c r="E146" s="790"/>
      <c r="F146" s="790"/>
      <c r="G146" s="790"/>
      <c r="H146" s="794">
        <f>'Part I-Project Information'!H122</f>
        <v>0</v>
      </c>
      <c r="I146" s="790"/>
      <c r="J146" s="790"/>
      <c r="K146" s="790"/>
      <c r="L146" s="790"/>
      <c r="M146" s="794"/>
      <c r="N146" s="790"/>
      <c r="O146" s="790"/>
      <c r="P146" s="800"/>
    </row>
    <row r="147" spans="1:16">
      <c r="A147" s="789"/>
      <c r="B147" s="789"/>
      <c r="C147" s="817" t="s">
        <v>2575</v>
      </c>
      <c r="D147" s="817"/>
      <c r="E147" s="817"/>
      <c r="F147" s="794"/>
      <c r="G147" s="790"/>
      <c r="H147" s="1048">
        <f>'Part I-Project Information'!H123</f>
        <v>0</v>
      </c>
      <c r="I147" s="790"/>
      <c r="J147" s="790"/>
      <c r="K147" s="790"/>
      <c r="L147" s="790"/>
      <c r="M147" s="790"/>
      <c r="N147" s="790"/>
      <c r="O147" s="790"/>
      <c r="P147" s="800"/>
    </row>
    <row r="148" spans="1:16">
      <c r="A148" s="789"/>
      <c r="B148" s="789"/>
      <c r="C148" s="827" t="s">
        <v>1822</v>
      </c>
      <c r="D148" s="797"/>
      <c r="E148" s="790"/>
      <c r="F148" s="790"/>
      <c r="G148" s="790"/>
      <c r="H148" s="2204">
        <f>'Part I-Project Information'!H124</f>
        <v>0</v>
      </c>
      <c r="I148" s="2204"/>
      <c r="J148" s="790"/>
      <c r="K148" s="790"/>
      <c r="L148" s="790"/>
      <c r="M148" s="790"/>
      <c r="N148" s="790"/>
      <c r="O148" s="790"/>
      <c r="P148" s="800"/>
    </row>
    <row r="149" spans="1:16">
      <c r="A149" s="789"/>
      <c r="B149" s="789"/>
      <c r="C149" s="817" t="s">
        <v>2576</v>
      </c>
      <c r="D149" s="817"/>
      <c r="E149" s="817"/>
      <c r="F149" s="794"/>
      <c r="G149" s="790"/>
      <c r="H149" s="1048">
        <f>'Part I-Project Information'!H125</f>
        <v>0</v>
      </c>
      <c r="I149" s="790"/>
      <c r="J149" s="790"/>
      <c r="K149" s="795" t="s">
        <v>2385</v>
      </c>
      <c r="L149" s="790"/>
      <c r="M149" s="790"/>
      <c r="N149" s="790"/>
      <c r="O149" s="2204" t="str">
        <f>'Part I-Project Information'!O125</f>
        <v>GA-</v>
      </c>
      <c r="P149" s="2204"/>
    </row>
    <row r="150" spans="1:16">
      <c r="A150" s="789"/>
      <c r="B150" s="789"/>
      <c r="C150" s="817" t="s">
        <v>2574</v>
      </c>
      <c r="D150" s="790"/>
      <c r="E150" s="790"/>
      <c r="F150" s="794"/>
      <c r="G150" s="790"/>
      <c r="H150" s="802">
        <f>'Part I-Project Information'!H126</f>
        <v>0</v>
      </c>
      <c r="I150" s="790"/>
      <c r="J150" s="790"/>
      <c r="K150" s="795" t="s">
        <v>2386</v>
      </c>
      <c r="L150" s="790"/>
      <c r="M150" s="790"/>
      <c r="N150" s="790"/>
      <c r="O150" s="2204" t="str">
        <f>'Part I-Project Information'!O126</f>
        <v>GA-</v>
      </c>
      <c r="P150" s="2204"/>
    </row>
    <row r="151" spans="1:16">
      <c r="A151" s="789"/>
      <c r="B151" s="789"/>
      <c r="C151" s="817" t="s">
        <v>2298</v>
      </c>
      <c r="D151" s="817"/>
      <c r="E151" s="817"/>
      <c r="F151" s="794"/>
      <c r="G151" s="790"/>
      <c r="H151" s="2250">
        <f>'Part I-Project Information'!H127</f>
        <v>0</v>
      </c>
      <c r="I151" s="2250"/>
      <c r="J151" s="790"/>
      <c r="K151" s="790"/>
      <c r="L151" s="790"/>
      <c r="M151" s="790"/>
      <c r="N151" s="790"/>
      <c r="O151" s="790"/>
      <c r="P151" s="800"/>
    </row>
    <row r="152" spans="1:16">
      <c r="A152" s="789"/>
      <c r="B152" s="789"/>
      <c r="C152" s="817"/>
      <c r="D152" s="817"/>
      <c r="E152" s="817"/>
      <c r="F152" s="794"/>
      <c r="G152" s="790"/>
      <c r="H152" s="790"/>
      <c r="I152" s="790"/>
      <c r="J152" s="790"/>
      <c r="K152" s="790"/>
      <c r="L152" s="790"/>
      <c r="M152" s="790"/>
      <c r="N152" s="790"/>
      <c r="O152" s="790"/>
      <c r="P152" s="800"/>
    </row>
    <row r="153" spans="1:16">
      <c r="A153" s="789"/>
      <c r="B153" s="789" t="s">
        <v>2113</v>
      </c>
      <c r="C153" s="821" t="s">
        <v>2649</v>
      </c>
      <c r="D153" s="817"/>
      <c r="E153" s="817"/>
      <c r="F153" s="794"/>
      <c r="G153" s="790"/>
      <c r="H153" s="794">
        <f>'Part I-Project Information'!H129</f>
        <v>0</v>
      </c>
      <c r="I153" s="790"/>
      <c r="J153" s="790"/>
      <c r="K153" s="790"/>
      <c r="L153" s="790"/>
      <c r="M153" s="790"/>
      <c r="N153" s="790"/>
      <c r="O153" s="790"/>
      <c r="P153" s="800"/>
    </row>
    <row r="154" spans="1:16">
      <c r="A154" s="789"/>
      <c r="B154" s="789"/>
      <c r="C154" s="817"/>
      <c r="D154" s="817"/>
      <c r="E154" s="817"/>
      <c r="F154" s="794"/>
      <c r="G154" s="794"/>
      <c r="H154" s="790"/>
      <c r="I154" s="790"/>
      <c r="J154" s="790"/>
      <c r="K154" s="790"/>
      <c r="L154" s="790"/>
      <c r="M154" s="794"/>
      <c r="N154" s="790"/>
      <c r="O154" s="790"/>
      <c r="P154" s="800"/>
    </row>
    <row r="155" spans="1:16">
      <c r="A155" s="789"/>
      <c r="B155" s="789" t="s">
        <v>793</v>
      </c>
      <c r="C155" s="821" t="s">
        <v>2923</v>
      </c>
      <c r="D155" s="817"/>
      <c r="E155" s="817"/>
      <c r="F155" s="794"/>
      <c r="G155" s="794"/>
      <c r="H155" s="790"/>
      <c r="I155" s="790"/>
      <c r="J155" s="790"/>
      <c r="K155" s="790"/>
      <c r="L155" s="790"/>
      <c r="M155" s="790"/>
      <c r="N155" s="790"/>
      <c r="O155" s="790"/>
      <c r="P155" s="800"/>
    </row>
    <row r="156" spans="1:16">
      <c r="A156" s="789"/>
      <c r="B156" s="789"/>
      <c r="C156" s="817" t="s">
        <v>3371</v>
      </c>
      <c r="D156" s="817"/>
      <c r="E156" s="817"/>
      <c r="F156" s="794"/>
      <c r="G156" s="794"/>
      <c r="H156" s="794">
        <f>'Part I-Project Information'!H132</f>
        <v>0</v>
      </c>
      <c r="I156" s="790"/>
      <c r="J156" s="790"/>
      <c r="K156" s="817" t="s">
        <v>1633</v>
      </c>
      <c r="L156" s="817"/>
      <c r="M156" s="794"/>
      <c r="N156" s="794"/>
      <c r="O156" s="794">
        <f>'Part I-Project Information'!O132</f>
        <v>0</v>
      </c>
      <c r="P156" s="800"/>
    </row>
    <row r="157" spans="1:16">
      <c r="A157" s="789"/>
      <c r="B157" s="789"/>
      <c r="C157" s="817"/>
      <c r="D157" s="817"/>
      <c r="E157" s="817"/>
      <c r="F157" s="794"/>
      <c r="G157" s="794"/>
      <c r="H157" s="794"/>
      <c r="I157" s="794"/>
      <c r="J157" s="802"/>
      <c r="K157" s="794"/>
      <c r="L157" s="794"/>
      <c r="M157" s="790"/>
      <c r="N157" s="790"/>
      <c r="O157" s="790"/>
      <c r="P157" s="800"/>
    </row>
    <row r="158" spans="1:16">
      <c r="A158" s="816" t="s">
        <v>1838</v>
      </c>
      <c r="B158" s="820" t="s">
        <v>1255</v>
      </c>
      <c r="C158" s="790"/>
      <c r="D158" s="820"/>
      <c r="E158" s="820"/>
      <c r="F158" s="820"/>
      <c r="G158" s="794"/>
      <c r="H158" s="794"/>
      <c r="I158" s="794"/>
      <c r="J158" s="802"/>
      <c r="K158" s="794"/>
      <c r="L158" s="794"/>
      <c r="M158" s="790"/>
      <c r="N158" s="790"/>
      <c r="O158" s="790"/>
      <c r="P158" s="800"/>
    </row>
    <row r="159" spans="1:16">
      <c r="A159" s="816"/>
      <c r="B159" s="789"/>
      <c r="C159" s="821"/>
      <c r="D159" s="821"/>
      <c r="E159" s="821"/>
      <c r="F159" s="821"/>
      <c r="G159" s="794"/>
      <c r="H159" s="794"/>
      <c r="I159" s="794"/>
      <c r="J159" s="802"/>
      <c r="K159" s="794"/>
      <c r="L159" s="794"/>
      <c r="M159" s="790"/>
      <c r="N159" s="790"/>
      <c r="O159" s="790"/>
      <c r="P159" s="790"/>
    </row>
    <row r="160" spans="1:16">
      <c r="A160" s="789"/>
      <c r="B160" s="789" t="s">
        <v>2110</v>
      </c>
      <c r="C160" s="809" t="s">
        <v>1941</v>
      </c>
      <c r="D160" s="790"/>
      <c r="E160" s="790"/>
      <c r="F160" s="794"/>
      <c r="G160" s="794"/>
      <c r="H160" s="794"/>
      <c r="I160" s="794"/>
      <c r="J160" s="802"/>
      <c r="K160" s="794"/>
      <c r="L160" s="794"/>
      <c r="M160" s="790"/>
      <c r="N160" s="790"/>
      <c r="O160" s="790"/>
      <c r="P160" s="800"/>
    </row>
    <row r="161" spans="1:16">
      <c r="A161" s="789"/>
      <c r="B161" s="789"/>
      <c r="C161" s="819" t="s">
        <v>1625</v>
      </c>
      <c r="D161" s="802"/>
      <c r="E161" s="802"/>
      <c r="F161" s="794"/>
      <c r="G161" s="794"/>
      <c r="H161" s="794"/>
      <c r="I161" s="794"/>
      <c r="J161" s="790"/>
      <c r="K161" s="794" t="str">
        <f>'Part I-Project Information'!K137</f>
        <v>No</v>
      </c>
      <c r="L161" s="790"/>
      <c r="M161" s="790"/>
      <c r="N161" s="790"/>
      <c r="O161" s="790"/>
      <c r="P161" s="800"/>
    </row>
    <row r="162" spans="1:16">
      <c r="A162" s="789"/>
      <c r="B162" s="789"/>
      <c r="C162" s="790" t="s">
        <v>651</v>
      </c>
      <c r="D162" s="790"/>
      <c r="E162" s="790"/>
      <c r="F162" s="790"/>
      <c r="G162" s="790"/>
      <c r="H162" s="790"/>
      <c r="I162" s="790"/>
      <c r="J162" s="790"/>
      <c r="K162" s="818">
        <f>'Part I-Project Information'!K138</f>
        <v>0</v>
      </c>
      <c r="L162" s="797" t="s">
        <v>1910</v>
      </c>
      <c r="M162" s="790"/>
      <c r="N162" s="790"/>
      <c r="O162" s="790"/>
      <c r="P162" s="828">
        <f>IF('Part VI-Revenues &amp; Expenses'!$M$60=0,0,K162/'Part VI-Revenues &amp; Expenses'!$M$60)</f>
        <v>0</v>
      </c>
    </row>
    <row r="163" spans="1:16">
      <c r="A163" s="789"/>
      <c r="B163" s="789"/>
      <c r="C163" s="790" t="s">
        <v>2299</v>
      </c>
      <c r="D163" s="790"/>
      <c r="E163" s="790"/>
      <c r="F163" s="790"/>
      <c r="G163" s="790"/>
      <c r="H163" s="790"/>
      <c r="I163" s="790"/>
      <c r="J163" s="790"/>
      <c r="K163" s="818">
        <f>'Part I-Project Information'!K139</f>
        <v>0</v>
      </c>
      <c r="L163" s="797" t="s">
        <v>1910</v>
      </c>
      <c r="M163" s="790"/>
      <c r="N163" s="790"/>
      <c r="O163" s="790"/>
      <c r="P163" s="828">
        <f>IF('Part VI-Revenues &amp; Expenses'!$M$60=0,0,K163/'Part VI-Revenues &amp; Expenses'!$M$60)</f>
        <v>0</v>
      </c>
    </row>
    <row r="164" spans="1:16">
      <c r="A164" s="789"/>
      <c r="B164" s="789"/>
      <c r="C164" s="790" t="s">
        <v>1911</v>
      </c>
      <c r="D164" s="790"/>
      <c r="E164" s="2204">
        <f>'Part I-Project Information'!E140</f>
        <v>0</v>
      </c>
      <c r="F164" s="2204"/>
      <c r="G164" s="2204"/>
      <c r="H164" s="2204"/>
      <c r="I164" s="2204"/>
      <c r="J164" s="2204"/>
      <c r="K164" s="2204"/>
      <c r="L164" s="797" t="s">
        <v>1912</v>
      </c>
      <c r="M164" s="2204">
        <f>'Part I-Project Information'!M140</f>
        <v>0</v>
      </c>
      <c r="N164" s="2204"/>
      <c r="O164" s="2204"/>
      <c r="P164" s="2204"/>
    </row>
    <row r="165" spans="1:16">
      <c r="A165" s="789"/>
      <c r="B165" s="789"/>
      <c r="C165" s="797" t="s">
        <v>1913</v>
      </c>
      <c r="D165" s="799"/>
      <c r="E165" s="2204">
        <f>'Part I-Project Information'!E141</f>
        <v>0</v>
      </c>
      <c r="F165" s="2204"/>
      <c r="G165" s="2204"/>
      <c r="H165" s="2204"/>
      <c r="I165" s="2204"/>
      <c r="J165" s="2204"/>
      <c r="K165" s="2204"/>
      <c r="L165" s="797" t="s">
        <v>1915</v>
      </c>
      <c r="M165" s="2204">
        <f>'Part I-Project Information'!M141</f>
        <v>0</v>
      </c>
      <c r="N165" s="2204"/>
      <c r="O165" s="2204"/>
      <c r="P165" s="2204"/>
    </row>
    <row r="166" spans="1:16">
      <c r="A166" s="789"/>
      <c r="B166" s="789"/>
      <c r="C166" s="797" t="s">
        <v>654</v>
      </c>
      <c r="D166" s="790"/>
      <c r="E166" s="2204">
        <f>'Part I-Project Information'!E142</f>
        <v>0</v>
      </c>
      <c r="F166" s="2204"/>
      <c r="G166" s="2204"/>
      <c r="H166" s="2204"/>
      <c r="I166" s="794" t="s">
        <v>2367</v>
      </c>
      <c r="J166" s="2248">
        <f>'Part I-Project Information'!J142</f>
        <v>0</v>
      </c>
      <c r="K166" s="2248"/>
      <c r="L166" s="797" t="s">
        <v>1918</v>
      </c>
      <c r="M166" s="2238">
        <f>'Part I-Project Information'!M142</f>
        <v>0</v>
      </c>
      <c r="N166" s="2238"/>
      <c r="O166" s="2238"/>
      <c r="P166" s="790"/>
    </row>
    <row r="167" spans="1:16">
      <c r="A167" s="789"/>
      <c r="B167" s="789"/>
      <c r="C167" s="797" t="s">
        <v>1916</v>
      </c>
      <c r="D167" s="790"/>
      <c r="E167" s="2238">
        <f>'Part I-Project Information'!E143</f>
        <v>0</v>
      </c>
      <c r="F167" s="2238"/>
      <c r="G167" s="2238"/>
      <c r="H167" s="794" t="s">
        <v>1917</v>
      </c>
      <c r="I167" s="2238">
        <f>'Part I-Project Information'!I143</f>
        <v>0</v>
      </c>
      <c r="J167" s="2238"/>
      <c r="K167" s="2238"/>
      <c r="L167" s="797" t="s">
        <v>2106</v>
      </c>
      <c r="M167" s="2238">
        <f>'Part I-Project Information'!M143</f>
        <v>0</v>
      </c>
      <c r="N167" s="2238"/>
      <c r="O167" s="2238"/>
      <c r="P167" s="790"/>
    </row>
    <row r="168" spans="1:16">
      <c r="A168" s="789"/>
      <c r="B168" s="789"/>
      <c r="C168" s="797"/>
      <c r="D168" s="790"/>
      <c r="E168" s="829"/>
      <c r="F168" s="829"/>
      <c r="G168" s="829"/>
      <c r="H168" s="794"/>
      <c r="I168" s="829"/>
      <c r="J168" s="829"/>
      <c r="K168" s="794"/>
      <c r="L168" s="829"/>
      <c r="M168" s="829"/>
      <c r="N168" s="794"/>
      <c r="O168" s="829"/>
      <c r="P168" s="829"/>
    </row>
    <row r="169" spans="1:16">
      <c r="A169" s="789"/>
      <c r="B169" s="789" t="s">
        <v>2113</v>
      </c>
      <c r="C169" s="821" t="s">
        <v>2924</v>
      </c>
      <c r="D169" s="821"/>
      <c r="E169" s="821"/>
      <c r="F169" s="821"/>
      <c r="G169" s="821"/>
      <c r="H169" s="790"/>
      <c r="I169" s="794" t="str">
        <f>'Part I-Project Information'!I145</f>
        <v>No</v>
      </c>
      <c r="J169" s="2249" t="s">
        <v>806</v>
      </c>
      <c r="K169" s="2249"/>
      <c r="L169" s="1048">
        <f>'Part I-Project Information'!L145</f>
        <v>0</v>
      </c>
      <c r="M169" s="2193" t="s">
        <v>2467</v>
      </c>
      <c r="N169" s="2193"/>
      <c r="O169" s="2193"/>
      <c r="P169" s="818">
        <f>'Part I-Project Information'!P145</f>
        <v>0</v>
      </c>
    </row>
    <row r="170" spans="1:16">
      <c r="A170" s="789"/>
      <c r="B170" s="789"/>
      <c r="C170" s="821"/>
      <c r="D170" s="821"/>
      <c r="E170" s="793"/>
      <c r="F170" s="821"/>
      <c r="G170" s="821"/>
      <c r="H170" s="790"/>
      <c r="I170" s="790"/>
      <c r="J170" s="795"/>
      <c r="K170" s="802"/>
      <c r="L170" s="790"/>
      <c r="M170" s="790"/>
      <c r="N170" s="790"/>
      <c r="O170" s="794"/>
      <c r="P170" s="800"/>
    </row>
    <row r="171" spans="1:16">
      <c r="A171" s="789"/>
      <c r="B171" s="789"/>
      <c r="C171" s="821" t="s">
        <v>2925</v>
      </c>
      <c r="D171" s="821"/>
      <c r="E171" s="821"/>
      <c r="F171" s="821"/>
      <c r="G171" s="821"/>
      <c r="H171" s="790"/>
      <c r="I171" s="794" t="str">
        <f>'Part I-Project Information'!I147</f>
        <v>Yes</v>
      </c>
      <c r="J171" s="2249" t="s">
        <v>806</v>
      </c>
      <c r="K171" s="2249"/>
      <c r="L171" s="1048">
        <f>'Part I-Project Information'!L147</f>
        <v>2036</v>
      </c>
      <c r="M171" s="2193" t="s">
        <v>2467</v>
      </c>
      <c r="N171" s="2193"/>
      <c r="O171" s="2193"/>
      <c r="P171" s="818">
        <f>'Part I-Project Information'!P147</f>
        <v>5</v>
      </c>
    </row>
    <row r="172" spans="1:16">
      <c r="A172" s="789"/>
      <c r="B172" s="789"/>
      <c r="C172" s="821"/>
      <c r="D172" s="821"/>
      <c r="E172" s="793"/>
      <c r="F172" s="821"/>
      <c r="G172" s="821"/>
      <c r="H172" s="790"/>
      <c r="I172" s="790"/>
      <c r="J172" s="795"/>
      <c r="K172" s="802"/>
      <c r="L172" s="790"/>
      <c r="M172" s="790"/>
      <c r="N172" s="790"/>
      <c r="O172" s="794"/>
      <c r="P172" s="800"/>
    </row>
    <row r="173" spans="1:16">
      <c r="A173" s="789"/>
      <c r="B173" s="789" t="s">
        <v>793</v>
      </c>
      <c r="C173" s="821" t="s">
        <v>1871</v>
      </c>
      <c r="D173" s="821"/>
      <c r="E173" s="821"/>
      <c r="F173" s="821"/>
      <c r="G173" s="821"/>
      <c r="H173" s="790"/>
      <c r="I173" s="794" t="str">
        <f>'Part I-Project Information'!I149</f>
        <v>No</v>
      </c>
      <c r="J173" s="790"/>
      <c r="K173" s="790"/>
      <c r="L173" s="795"/>
      <c r="M173" s="795"/>
      <c r="N173" s="790"/>
      <c r="O173" s="790"/>
      <c r="P173" s="800"/>
    </row>
    <row r="174" spans="1:16">
      <c r="A174" s="789"/>
      <c r="B174" s="789"/>
      <c r="C174" s="797"/>
      <c r="D174" s="790"/>
      <c r="E174" s="829"/>
      <c r="F174" s="829"/>
      <c r="G174" s="829"/>
      <c r="H174" s="790"/>
      <c r="I174" s="829"/>
      <c r="J174" s="829"/>
      <c r="K174" s="794"/>
      <c r="L174" s="829"/>
      <c r="M174" s="829"/>
      <c r="N174" s="794"/>
      <c r="O174" s="829"/>
      <c r="P174" s="829"/>
    </row>
    <row r="175" spans="1:16">
      <c r="A175" s="789"/>
      <c r="B175" s="789" t="s">
        <v>2245</v>
      </c>
      <c r="C175" s="2253" t="s">
        <v>2105</v>
      </c>
      <c r="D175" s="2253"/>
      <c r="E175" s="2253"/>
      <c r="F175" s="2253"/>
      <c r="G175" s="821"/>
      <c r="H175" s="790"/>
      <c r="I175" s="794" t="str">
        <f>'Part I-Project Information'!I151</f>
        <v>No</v>
      </c>
      <c r="J175" s="830" t="s">
        <v>3016</v>
      </c>
      <c r="K175" s="790"/>
      <c r="L175" s="2254" t="s">
        <v>1566</v>
      </c>
      <c r="M175" s="2254"/>
      <c r="N175" s="821"/>
      <c r="O175" s="821"/>
      <c r="P175" s="818">
        <f>'Part I-Project Information'!P151</f>
        <v>0</v>
      </c>
    </row>
    <row r="176" spans="1:16">
      <c r="A176" s="790"/>
      <c r="B176" s="789"/>
      <c r="C176" s="790"/>
      <c r="D176" s="790"/>
      <c r="E176" s="790"/>
      <c r="F176" s="790"/>
      <c r="G176" s="790"/>
      <c r="H176" s="790"/>
      <c r="I176" s="790"/>
      <c r="J176" s="790"/>
      <c r="K176" s="790"/>
      <c r="L176" s="2204" t="s">
        <v>845</v>
      </c>
      <c r="M176" s="2204"/>
      <c r="N176" s="821"/>
      <c r="O176" s="821"/>
      <c r="P176" s="818">
        <f>'Part I-Project Information'!P152</f>
        <v>0</v>
      </c>
    </row>
    <row r="177" spans="1:16">
      <c r="A177" s="789"/>
      <c r="B177" s="789"/>
      <c r="C177" s="790"/>
      <c r="D177" s="790"/>
      <c r="E177" s="790"/>
      <c r="F177" s="790"/>
      <c r="G177" s="790"/>
      <c r="H177" s="790"/>
      <c r="I177" s="790"/>
      <c r="J177" s="790"/>
      <c r="K177" s="790"/>
      <c r="L177" s="2204" t="s">
        <v>1906</v>
      </c>
      <c r="M177" s="2204"/>
      <c r="N177" s="821"/>
      <c r="O177" s="821"/>
      <c r="P177" s="831" t="e">
        <f>IF(P175="","",P176/P175)</f>
        <v>#DIV/0!</v>
      </c>
    </row>
    <row r="178" spans="1:16">
      <c r="A178" s="789"/>
      <c r="B178" s="789" t="s">
        <v>1848</v>
      </c>
      <c r="C178" s="791" t="s">
        <v>1709</v>
      </c>
      <c r="D178" s="817"/>
      <c r="E178" s="817"/>
      <c r="F178" s="817"/>
      <c r="G178" s="817"/>
      <c r="H178" s="794"/>
      <c r="I178" s="790"/>
      <c r="J178" s="795"/>
      <c r="K178" s="802"/>
      <c r="L178" s="790"/>
      <c r="M178" s="790"/>
      <c r="N178" s="790"/>
      <c r="O178" s="794"/>
      <c r="P178" s="800"/>
    </row>
    <row r="179" spans="1:16">
      <c r="A179" s="789"/>
      <c r="B179" s="789"/>
      <c r="C179" s="790" t="s">
        <v>2348</v>
      </c>
      <c r="D179" s="793"/>
      <c r="E179" s="790"/>
      <c r="F179" s="790"/>
      <c r="G179" s="790"/>
      <c r="H179" s="790"/>
      <c r="I179" s="794" t="str">
        <f>'Part I-Project Information'!I155</f>
        <v>No</v>
      </c>
      <c r="J179" s="790"/>
      <c r="K179" s="790"/>
      <c r="L179" s="790" t="s">
        <v>3085</v>
      </c>
      <c r="M179" s="790"/>
      <c r="N179" s="790"/>
      <c r="O179" s="790"/>
      <c r="P179" s="794" t="str">
        <f>'Part I-Project Information'!P155</f>
        <v>No</v>
      </c>
    </row>
    <row r="180" spans="1:16">
      <c r="A180" s="789"/>
      <c r="B180" s="789"/>
      <c r="C180" s="790" t="s">
        <v>2350</v>
      </c>
      <c r="D180" s="790"/>
      <c r="E180" s="790"/>
      <c r="F180" s="790"/>
      <c r="G180" s="790"/>
      <c r="H180" s="790"/>
      <c r="I180" s="794" t="str">
        <f>'Part I-Project Information'!I156</f>
        <v>No</v>
      </c>
      <c r="J180" s="790"/>
      <c r="K180" s="790"/>
      <c r="L180" s="790" t="s">
        <v>1710</v>
      </c>
      <c r="M180" s="790"/>
      <c r="N180" s="790"/>
      <c r="O180" s="790"/>
      <c r="P180" s="794" t="str">
        <f>'Part I-Project Information'!P156</f>
        <v>Yes</v>
      </c>
    </row>
    <row r="181" spans="1:16">
      <c r="A181" s="789"/>
      <c r="B181" s="790"/>
      <c r="C181" s="790" t="s">
        <v>2959</v>
      </c>
      <c r="D181" s="790"/>
      <c r="E181" s="790"/>
      <c r="F181" s="790"/>
      <c r="G181" s="790"/>
      <c r="H181" s="790"/>
      <c r="I181" s="794" t="str">
        <f>'Part I-Project Information'!I157</f>
        <v>No</v>
      </c>
      <c r="J181" s="790"/>
      <c r="K181" s="790"/>
      <c r="L181" s="790" t="s">
        <v>3231</v>
      </c>
      <c r="M181" s="790"/>
      <c r="N181" s="790"/>
      <c r="O181" s="790"/>
      <c r="P181" s="794" t="str">
        <f>'Part I-Project Information'!P157</f>
        <v>No</v>
      </c>
    </row>
    <row r="182" spans="1:16" ht="13.5">
      <c r="A182" s="789"/>
      <c r="B182" s="789"/>
      <c r="C182" s="790" t="s">
        <v>1362</v>
      </c>
      <c r="D182" s="832"/>
      <c r="E182" s="790"/>
      <c r="F182" s="790"/>
      <c r="G182" s="790"/>
      <c r="H182" s="790"/>
      <c r="I182" s="794" t="str">
        <f>'Part I-Project Information'!I158</f>
        <v>No</v>
      </c>
      <c r="J182" s="790"/>
      <c r="K182" s="793"/>
      <c r="L182" s="790" t="s">
        <v>2909</v>
      </c>
      <c r="M182" s="790"/>
      <c r="N182" s="2251">
        <f>'Part I-Project Information'!N158</f>
        <v>0</v>
      </c>
      <c r="O182" s="2251"/>
      <c r="P182" s="794">
        <f>'Part I-Project Information'!P158</f>
        <v>0</v>
      </c>
    </row>
    <row r="183" spans="1:16">
      <c r="A183" s="789"/>
      <c r="B183" s="793"/>
      <c r="C183" s="790" t="s">
        <v>1925</v>
      </c>
      <c r="D183" s="790"/>
      <c r="E183" s="790"/>
      <c r="F183" s="790"/>
      <c r="G183" s="790"/>
      <c r="H183" s="790"/>
      <c r="I183" s="794" t="str">
        <f>'Part I-Project Information'!I159</f>
        <v>No</v>
      </c>
      <c r="J183" s="830" t="s">
        <v>3017</v>
      </c>
      <c r="K183" s="790"/>
      <c r="L183" s="790"/>
      <c r="M183" s="790"/>
      <c r="N183" s="790"/>
      <c r="O183" s="2252">
        <f>'Part I-Project Information'!O159</f>
        <v>0</v>
      </c>
      <c r="P183" s="2252"/>
    </row>
    <row r="184" spans="1:16">
      <c r="A184" s="789"/>
      <c r="B184" s="789"/>
      <c r="C184" s="790" t="s">
        <v>3325</v>
      </c>
      <c r="D184" s="790"/>
      <c r="E184" s="790"/>
      <c r="F184" s="790"/>
      <c r="G184" s="790"/>
      <c r="H184" s="790"/>
      <c r="I184" s="794" t="str">
        <f>'Part I-Project Information'!I160</f>
        <v>No</v>
      </c>
      <c r="J184" s="830" t="s">
        <v>3017</v>
      </c>
      <c r="K184" s="790"/>
      <c r="L184" s="790"/>
      <c r="M184" s="790"/>
      <c r="N184" s="790"/>
      <c r="O184" s="2252">
        <f>'Part I-Project Information'!O160</f>
        <v>0</v>
      </c>
      <c r="P184" s="2252"/>
    </row>
    <row r="185" spans="1:16">
      <c r="A185" s="789"/>
      <c r="B185" s="789"/>
      <c r="C185" s="790" t="s">
        <v>3326</v>
      </c>
      <c r="D185" s="790"/>
      <c r="E185" s="790"/>
      <c r="F185" s="790"/>
      <c r="G185" s="790"/>
      <c r="H185" s="790"/>
      <c r="I185" s="794" t="str">
        <f>'Part I-Project Information'!I161</f>
        <v>No</v>
      </c>
      <c r="J185" s="830" t="s">
        <v>3017</v>
      </c>
      <c r="K185" s="790"/>
      <c r="L185" s="790"/>
      <c r="M185" s="790"/>
      <c r="N185" s="790"/>
      <c r="O185" s="2252">
        <f>'Part I-Project Information'!O161</f>
        <v>0</v>
      </c>
      <c r="P185" s="2252"/>
    </row>
    <row r="186" spans="1:16">
      <c r="A186" s="789"/>
      <c r="B186" s="789"/>
      <c r="C186" s="790"/>
      <c r="D186" s="790"/>
      <c r="E186" s="790"/>
      <c r="F186" s="790"/>
      <c r="G186" s="790"/>
      <c r="H186" s="790"/>
      <c r="I186" s="790"/>
      <c r="J186" s="790"/>
      <c r="K186" s="790"/>
      <c r="L186" s="790"/>
      <c r="M186" s="790"/>
      <c r="N186" s="790"/>
      <c r="O186" s="790"/>
      <c r="P186" s="795"/>
    </row>
    <row r="187" spans="1:16">
      <c r="A187" s="790"/>
      <c r="B187" s="789" t="s">
        <v>1849</v>
      </c>
      <c r="C187" s="791" t="s">
        <v>783</v>
      </c>
      <c r="D187" s="790"/>
      <c r="E187" s="790"/>
      <c r="F187" s="790"/>
      <c r="G187" s="790"/>
      <c r="H187" s="790"/>
      <c r="I187" s="790"/>
      <c r="J187" s="790"/>
      <c r="K187" s="790"/>
      <c r="L187" s="790"/>
      <c r="M187" s="790"/>
      <c r="N187" s="790"/>
      <c r="O187" s="790"/>
      <c r="P187" s="790"/>
    </row>
    <row r="188" spans="1:16">
      <c r="A188" s="789"/>
      <c r="B188" s="789"/>
      <c r="C188" s="797" t="s">
        <v>675</v>
      </c>
      <c r="D188" s="817"/>
      <c r="E188" s="817"/>
      <c r="F188" s="794"/>
      <c r="G188" s="794"/>
      <c r="H188" s="2250">
        <f>'Part I-Project Information'!H164</f>
        <v>0</v>
      </c>
      <c r="I188" s="2250"/>
      <c r="J188" s="790"/>
      <c r="K188" s="790"/>
      <c r="L188" s="790"/>
      <c r="M188" s="790"/>
      <c r="N188" s="790"/>
      <c r="O188" s="790"/>
      <c r="P188" s="800"/>
    </row>
    <row r="189" spans="1:16">
      <c r="A189" s="789"/>
      <c r="B189" s="789"/>
      <c r="C189" s="797" t="s">
        <v>291</v>
      </c>
      <c r="D189" s="817"/>
      <c r="E189" s="817"/>
      <c r="F189" s="794"/>
      <c r="G189" s="794"/>
      <c r="H189" s="2250">
        <f>'Part I-Project Information'!H165</f>
        <v>0</v>
      </c>
      <c r="I189" s="2250"/>
      <c r="J189" s="790"/>
      <c r="K189" s="790"/>
      <c r="L189" s="790"/>
      <c r="M189" s="790"/>
      <c r="N189" s="790"/>
      <c r="O189" s="790"/>
      <c r="P189" s="800"/>
    </row>
    <row r="190" spans="1:16">
      <c r="A190" s="789"/>
      <c r="B190" s="789"/>
      <c r="C190" s="797" t="s">
        <v>2436</v>
      </c>
      <c r="D190" s="817"/>
      <c r="E190" s="817"/>
      <c r="F190" s="794"/>
      <c r="G190" s="794"/>
      <c r="H190" s="2250">
        <f>'Part I-Project Information'!H166</f>
        <v>42522</v>
      </c>
      <c r="I190" s="2250"/>
      <c r="J190" s="790"/>
      <c r="K190" s="790"/>
      <c r="L190" s="790"/>
      <c r="M190" s="790"/>
      <c r="N190" s="790"/>
      <c r="O190" s="790"/>
      <c r="P190" s="800"/>
    </row>
    <row r="191" spans="1:16">
      <c r="A191" s="790"/>
      <c r="B191" s="793"/>
      <c r="C191" s="790"/>
      <c r="D191" s="790"/>
      <c r="E191" s="790"/>
      <c r="F191" s="790"/>
      <c r="G191" s="790"/>
      <c r="H191" s="790"/>
      <c r="I191" s="790"/>
      <c r="J191" s="790"/>
      <c r="K191" s="790"/>
      <c r="L191" s="795"/>
      <c r="M191" s="795"/>
      <c r="N191" s="795"/>
      <c r="O191" s="795"/>
      <c r="P191" s="799"/>
    </row>
    <row r="192" spans="1:16">
      <c r="A192" s="816" t="s">
        <v>3059</v>
      </c>
      <c r="B192" s="820"/>
      <c r="C192" s="816" t="s">
        <v>603</v>
      </c>
      <c r="D192" s="795"/>
      <c r="E192" s="795"/>
      <c r="F192" s="795"/>
      <c r="G192" s="795"/>
      <c r="H192" s="795"/>
      <c r="I192" s="795"/>
      <c r="J192" s="795"/>
      <c r="K192" s="816" t="s">
        <v>2391</v>
      </c>
      <c r="L192" s="816" t="s">
        <v>82</v>
      </c>
      <c r="M192" s="795"/>
      <c r="N192" s="795"/>
      <c r="O192" s="795"/>
      <c r="P192" s="795"/>
    </row>
    <row r="193" spans="1:19" ht="13.5">
      <c r="A193" s="2171">
        <f>'Part I-Project Information'!A169</f>
        <v>0</v>
      </c>
      <c r="B193" s="2171"/>
      <c r="C193" s="2171"/>
      <c r="D193" s="2171"/>
      <c r="E193" s="2171"/>
      <c r="F193" s="2171"/>
      <c r="G193" s="2171"/>
      <c r="H193" s="2171"/>
      <c r="I193" s="2171"/>
      <c r="J193" s="2171"/>
      <c r="K193" s="2171">
        <f>'Part I-Project Information'!K169</f>
        <v>0</v>
      </c>
      <c r="L193" s="2171"/>
      <c r="M193" s="2171"/>
      <c r="N193" s="2171"/>
      <c r="O193" s="2171"/>
      <c r="P193" s="2171"/>
    </row>
    <row r="196" spans="1:19">
      <c r="A196" s="2211" t="str">
        <f>CONCATENATE("PART TWO - DEVELOPMENT TEAM INFORMATION","  -  ",'Part I-Project Information'!$O$4," ",'Part I-Project Information'!$F$23,", ",'Part I-Project Information'!F222,", ",'Part I-Project Information'!J223," County")</f>
        <v>PART TWO - DEVELOPMENT TEAM INFORMATION  -  2014-028 Highland Estates, MSA, City of Alpharetta Development Authority County</v>
      </c>
      <c r="B196" s="2211"/>
      <c r="C196" s="2211"/>
      <c r="D196" s="2211"/>
      <c r="E196" s="2211"/>
      <c r="F196" s="2211"/>
      <c r="G196" s="2211"/>
      <c r="H196" s="2211"/>
      <c r="I196" s="2211"/>
      <c r="J196" s="2211"/>
      <c r="K196" s="2211"/>
      <c r="L196" s="2211"/>
      <c r="M196" s="2211"/>
      <c r="N196" s="2211"/>
      <c r="O196" s="2211"/>
      <c r="P196" s="2211"/>
      <c r="Q196" s="2211"/>
      <c r="R196" s="2211"/>
      <c r="S196" s="2211"/>
    </row>
    <row r="197" spans="1:19">
      <c r="A197" s="795"/>
      <c r="B197" s="795"/>
      <c r="C197" s="795"/>
      <c r="D197" s="795"/>
      <c r="E197" s="795"/>
      <c r="F197" s="795"/>
      <c r="G197" s="795"/>
      <c r="H197" s="795"/>
      <c r="I197" s="795"/>
      <c r="J197" s="795"/>
      <c r="K197" s="795"/>
      <c r="L197" s="795"/>
      <c r="M197" s="795"/>
      <c r="N197" s="795"/>
      <c r="O197" s="795"/>
      <c r="P197" s="795"/>
      <c r="Q197" s="795"/>
      <c r="R197" s="795"/>
      <c r="S197" s="795"/>
    </row>
    <row r="198" spans="1:19">
      <c r="A198" s="793" t="s">
        <v>652</v>
      </c>
      <c r="B198" s="791" t="s">
        <v>1979</v>
      </c>
      <c r="C198" s="791"/>
      <c r="D198" s="790"/>
      <c r="E198" s="791"/>
      <c r="F198" s="791"/>
      <c r="G198" s="791"/>
      <c r="H198" s="791"/>
      <c r="I198" s="791"/>
      <c r="J198" s="791"/>
      <c r="K198" s="791"/>
      <c r="L198" s="791"/>
      <c r="M198" s="791"/>
      <c r="N198" s="790"/>
      <c r="O198" s="790"/>
      <c r="P198" s="790"/>
      <c r="Q198" s="790"/>
      <c r="R198" s="790"/>
      <c r="S198" s="790"/>
    </row>
    <row r="199" spans="1:19">
      <c r="A199" s="793"/>
      <c r="B199" s="793"/>
      <c r="C199" s="793"/>
      <c r="D199" s="791"/>
      <c r="E199" s="791"/>
      <c r="F199" s="791"/>
      <c r="G199" s="791"/>
      <c r="H199" s="791"/>
      <c r="I199" s="791"/>
      <c r="J199" s="791"/>
      <c r="K199" s="790"/>
      <c r="L199" s="790"/>
      <c r="M199" s="790"/>
      <c r="N199" s="790"/>
      <c r="O199" s="790"/>
      <c r="P199" s="790"/>
      <c r="Q199" s="790"/>
      <c r="R199" s="790"/>
      <c r="S199" s="790"/>
    </row>
    <row r="200" spans="1:19">
      <c r="A200" s="790"/>
      <c r="B200" s="793" t="s">
        <v>2110</v>
      </c>
      <c r="C200" s="791" t="s">
        <v>1975</v>
      </c>
      <c r="D200" s="790"/>
      <c r="E200" s="790"/>
      <c r="F200" s="790"/>
      <c r="G200" s="790"/>
      <c r="H200" s="2204" t="str">
        <f>'Part II-Development Team'!H5</f>
        <v>Highland Estates of Rome, LP</v>
      </c>
      <c r="I200" s="2217"/>
      <c r="J200" s="2217"/>
      <c r="K200" s="2217"/>
      <c r="L200" s="2217"/>
      <c r="M200" s="2217"/>
      <c r="N200" s="2217"/>
      <c r="O200" s="797" t="s">
        <v>2117</v>
      </c>
      <c r="P200" s="797"/>
      <c r="Q200" s="2204" t="str">
        <f>'Part II-Development Team'!Q5</f>
        <v>Allan Rappuhn</v>
      </c>
      <c r="R200" s="2217"/>
      <c r="S200" s="2217"/>
    </row>
    <row r="201" spans="1:19">
      <c r="A201" s="790"/>
      <c r="B201" s="790"/>
      <c r="C201" s="790"/>
      <c r="D201" s="833"/>
      <c r="E201" s="797" t="s">
        <v>1077</v>
      </c>
      <c r="F201" s="799"/>
      <c r="G201" s="790"/>
      <c r="H201" s="2204" t="str">
        <f>'Part II-Development Team'!H6</f>
        <v>920 Florence Blvd</v>
      </c>
      <c r="I201" s="2217"/>
      <c r="J201" s="2217"/>
      <c r="K201" s="2217"/>
      <c r="L201" s="2217"/>
      <c r="M201" s="2217"/>
      <c r="N201" s="2217"/>
      <c r="O201" s="797" t="s">
        <v>1861</v>
      </c>
      <c r="P201" s="790"/>
      <c r="Q201" s="2204" t="str">
        <f>'Part II-Development Team'!Q6</f>
        <v>Managing Member</v>
      </c>
      <c r="R201" s="2217"/>
      <c r="S201" s="2217"/>
    </row>
    <row r="202" spans="1:19">
      <c r="A202" s="790"/>
      <c r="B202" s="790"/>
      <c r="C202" s="790"/>
      <c r="D202" s="833"/>
      <c r="E202" s="797" t="s">
        <v>654</v>
      </c>
      <c r="F202" s="790"/>
      <c r="G202" s="790"/>
      <c r="H202" s="2204" t="str">
        <f>'Part II-Development Team'!H7</f>
        <v>Florence</v>
      </c>
      <c r="I202" s="2217"/>
      <c r="J202" s="2217"/>
      <c r="K202" s="794" t="s">
        <v>807</v>
      </c>
      <c r="L202" s="2204" t="str">
        <f>'Part II-Development Team'!L7</f>
        <v>Newly Formed</v>
      </c>
      <c r="M202" s="2217"/>
      <c r="N202" s="2217"/>
      <c r="O202" s="797" t="s">
        <v>1918</v>
      </c>
      <c r="P202" s="790"/>
      <c r="Q202" s="2238">
        <f>'Part II-Development Team'!Q7</f>
        <v>2567609657</v>
      </c>
      <c r="R202" s="2238"/>
      <c r="S202" s="2238"/>
    </row>
    <row r="203" spans="1:19" ht="13.5">
      <c r="A203" s="790"/>
      <c r="B203" s="790"/>
      <c r="C203" s="790"/>
      <c r="D203" s="833"/>
      <c r="E203" s="797" t="s">
        <v>1914</v>
      </c>
      <c r="F203" s="790"/>
      <c r="G203" s="790"/>
      <c r="H203" s="794" t="str">
        <f>'Part II-Development Team'!H8</f>
        <v>AL</v>
      </c>
      <c r="I203" s="794" t="s">
        <v>3372</v>
      </c>
      <c r="J203" s="2248">
        <f>'Part II-Development Team'!J8</f>
        <v>356303731</v>
      </c>
      <c r="K203" s="2217"/>
      <c r="L203" s="834" t="s">
        <v>2985</v>
      </c>
      <c r="M203" s="2249">
        <f>'Part II-Development Team'!M8</f>
        <v>101</v>
      </c>
      <c r="N203" s="2249"/>
      <c r="O203" s="797" t="s">
        <v>2106</v>
      </c>
      <c r="P203" s="790"/>
      <c r="Q203" s="2238">
        <f>'Part II-Development Team'!Q8</f>
        <v>0</v>
      </c>
      <c r="R203" s="2238"/>
      <c r="S203" s="2238"/>
    </row>
    <row r="204" spans="1:19">
      <c r="A204" s="790"/>
      <c r="B204" s="790"/>
      <c r="C204" s="790"/>
      <c r="D204" s="833"/>
      <c r="E204" s="797" t="s">
        <v>2112</v>
      </c>
      <c r="F204" s="790"/>
      <c r="G204" s="790"/>
      <c r="H204" s="2238">
        <f>'Part II-Development Team'!H9</f>
        <v>2567609657</v>
      </c>
      <c r="I204" s="2238"/>
      <c r="J204" s="802">
        <f>'Part II-Development Team'!J9</f>
        <v>0</v>
      </c>
      <c r="K204" s="794" t="s">
        <v>1917</v>
      </c>
      <c r="L204" s="2239">
        <f>'Part II-Development Team'!L9</f>
        <v>2567675804</v>
      </c>
      <c r="M204" s="2217"/>
      <c r="N204" s="799" t="s">
        <v>2111</v>
      </c>
      <c r="O204" s="2240" t="str">
        <f>'Part II-Development Team'!O9</f>
        <v>arappuhn@gatewaymgt.com</v>
      </c>
      <c r="P204" s="2240"/>
      <c r="Q204" s="2240"/>
      <c r="R204" s="2240"/>
      <c r="S204" s="2240"/>
    </row>
    <row r="205" spans="1:19" ht="13.5">
      <c r="A205" s="790"/>
      <c r="B205" s="790"/>
      <c r="C205" s="790"/>
      <c r="D205" s="833"/>
      <c r="E205" s="792" t="s">
        <v>2984</v>
      </c>
      <c r="F205" s="790"/>
      <c r="G205" s="790"/>
      <c r="H205" s="829"/>
      <c r="I205" s="790"/>
      <c r="J205" s="790"/>
      <c r="K205" s="834"/>
      <c r="L205" s="790"/>
      <c r="M205" s="790"/>
      <c r="N205" s="793" t="s">
        <v>3355</v>
      </c>
      <c r="O205" s="790"/>
      <c r="P205" s="790"/>
      <c r="Q205" s="794"/>
      <c r="R205" s="790"/>
      <c r="S205" s="790"/>
    </row>
    <row r="206" spans="1:19">
      <c r="A206" s="790"/>
      <c r="B206" s="790"/>
      <c r="C206" s="790"/>
      <c r="D206" s="835"/>
      <c r="E206" s="797"/>
      <c r="F206" s="791"/>
      <c r="G206" s="791"/>
      <c r="H206" s="791"/>
      <c r="I206" s="791"/>
      <c r="J206" s="791"/>
      <c r="K206" s="790"/>
      <c r="L206" s="790"/>
      <c r="M206" s="790"/>
      <c r="N206" s="791"/>
      <c r="O206" s="791"/>
      <c r="P206" s="791"/>
      <c r="Q206" s="791"/>
      <c r="R206" s="791"/>
      <c r="S206" s="791"/>
    </row>
    <row r="207" spans="1:19" ht="13.5">
      <c r="A207" s="790"/>
      <c r="B207" s="820" t="s">
        <v>2113</v>
      </c>
      <c r="C207" s="791" t="s">
        <v>1976</v>
      </c>
      <c r="D207" s="790"/>
      <c r="E207" s="790"/>
      <c r="F207" s="791"/>
      <c r="G207" s="791"/>
      <c r="H207" s="791"/>
      <c r="I207" s="791"/>
      <c r="J207" s="791"/>
      <c r="K207" s="790"/>
      <c r="L207" s="790"/>
      <c r="M207" s="790"/>
      <c r="N207" s="834" t="s">
        <v>3373</v>
      </c>
      <c r="O207" s="790"/>
      <c r="P207" s="1049" t="s">
        <v>1359</v>
      </c>
      <c r="Q207" s="790"/>
      <c r="R207" s="790"/>
      <c r="S207" s="790"/>
    </row>
    <row r="208" spans="1:19" ht="13.5">
      <c r="A208" s="790"/>
      <c r="B208" s="790"/>
      <c r="C208" s="790"/>
      <c r="D208" s="835"/>
      <c r="E208" s="797"/>
      <c r="F208" s="791"/>
      <c r="G208" s="791"/>
      <c r="H208" s="791"/>
      <c r="I208" s="791"/>
      <c r="J208" s="791"/>
      <c r="K208" s="790"/>
      <c r="L208" s="790"/>
      <c r="M208" s="790"/>
      <c r="N208" s="1050"/>
      <c r="O208" s="790"/>
      <c r="P208" s="832"/>
      <c r="Q208" s="790"/>
      <c r="R208" s="790"/>
      <c r="S208" s="790"/>
    </row>
    <row r="209" spans="1:19" ht="13.5">
      <c r="A209" s="790"/>
      <c r="B209" s="790"/>
      <c r="C209" s="836" t="s">
        <v>2114</v>
      </c>
      <c r="D209" s="820" t="s">
        <v>2115</v>
      </c>
      <c r="E209" s="790"/>
      <c r="F209" s="790"/>
      <c r="G209" s="790"/>
      <c r="H209" s="790"/>
      <c r="I209" s="790"/>
      <c r="J209" s="790"/>
      <c r="K209" s="790"/>
      <c r="L209" s="790"/>
      <c r="M209" s="790"/>
      <c r="N209" s="834"/>
      <c r="O209" s="790"/>
      <c r="P209" s="790"/>
      <c r="Q209" s="790"/>
      <c r="R209" s="790"/>
      <c r="S209" s="790"/>
    </row>
    <row r="210" spans="1:19">
      <c r="A210" s="790"/>
      <c r="B210" s="790"/>
      <c r="C210" s="790"/>
      <c r="D210" s="836"/>
      <c r="E210" s="819"/>
      <c r="F210" s="790"/>
      <c r="G210" s="790"/>
      <c r="H210" s="1051"/>
      <c r="I210" s="1051"/>
      <c r="J210" s="1051"/>
      <c r="K210" s="794"/>
      <c r="L210" s="1051"/>
      <c r="M210" s="1051"/>
      <c r="N210" s="794"/>
      <c r="O210" s="1051"/>
      <c r="P210" s="1051"/>
      <c r="Q210" s="794"/>
      <c r="R210" s="1051"/>
      <c r="S210" s="1051"/>
    </row>
    <row r="211" spans="1:19">
      <c r="A211" s="790"/>
      <c r="B211" s="790"/>
      <c r="C211" s="790"/>
      <c r="D211" s="793" t="s">
        <v>2246</v>
      </c>
      <c r="E211" s="790" t="s">
        <v>1977</v>
      </c>
      <c r="F211" s="790"/>
      <c r="G211" s="790"/>
      <c r="H211" s="2204" t="str">
        <f>'Part II-Development Team'!H16</f>
        <v>Gateway Highland Estates, LLC</v>
      </c>
      <c r="I211" s="2217"/>
      <c r="J211" s="2217"/>
      <c r="K211" s="2217"/>
      <c r="L211" s="2217"/>
      <c r="M211" s="2217"/>
      <c r="N211" s="2217"/>
      <c r="O211" s="797" t="s">
        <v>2117</v>
      </c>
      <c r="P211" s="797"/>
      <c r="Q211" s="2204" t="str">
        <f>'Part II-Development Team'!Q16</f>
        <v>Allan Rappuhn</v>
      </c>
      <c r="R211" s="2217"/>
      <c r="S211" s="2217"/>
    </row>
    <row r="212" spans="1:19">
      <c r="A212" s="790"/>
      <c r="B212" s="790"/>
      <c r="C212" s="790"/>
      <c r="D212" s="833"/>
      <c r="E212" s="797" t="s">
        <v>1077</v>
      </c>
      <c r="F212" s="799"/>
      <c r="G212" s="790"/>
      <c r="H212" s="2204" t="str">
        <f>'Part II-Development Team'!H17</f>
        <v>920 Florence Blvd</v>
      </c>
      <c r="I212" s="2217"/>
      <c r="J212" s="2217"/>
      <c r="K212" s="2217"/>
      <c r="L212" s="2217"/>
      <c r="M212" s="2217"/>
      <c r="N212" s="2217"/>
      <c r="O212" s="797" t="s">
        <v>1861</v>
      </c>
      <c r="P212" s="790"/>
      <c r="Q212" s="2204" t="str">
        <f>'Part II-Development Team'!Q17</f>
        <v>Managing Member</v>
      </c>
      <c r="R212" s="2217"/>
      <c r="S212" s="2217"/>
    </row>
    <row r="213" spans="1:19">
      <c r="A213" s="790"/>
      <c r="B213" s="790"/>
      <c r="C213" s="790"/>
      <c r="D213" s="833"/>
      <c r="E213" s="797" t="s">
        <v>654</v>
      </c>
      <c r="F213" s="790"/>
      <c r="G213" s="790"/>
      <c r="H213" s="2204" t="str">
        <f>'Part II-Development Team'!H18</f>
        <v>Florence</v>
      </c>
      <c r="I213" s="2217"/>
      <c r="J213" s="2217"/>
      <c r="K213" s="794" t="s">
        <v>2926</v>
      </c>
      <c r="L213" s="2204">
        <f>'Part II-Development Team'!L18</f>
        <v>0</v>
      </c>
      <c r="M213" s="2217"/>
      <c r="N213" s="2217"/>
      <c r="O213" s="797" t="s">
        <v>1918</v>
      </c>
      <c r="P213" s="790"/>
      <c r="Q213" s="2238">
        <f>'Part II-Development Team'!Q18</f>
        <v>2567609657</v>
      </c>
      <c r="R213" s="2238"/>
      <c r="S213" s="2238"/>
    </row>
    <row r="214" spans="1:19">
      <c r="A214" s="790"/>
      <c r="B214" s="790"/>
      <c r="C214" s="790"/>
      <c r="D214" s="793"/>
      <c r="E214" s="797" t="s">
        <v>1914</v>
      </c>
      <c r="F214" s="790"/>
      <c r="G214" s="790"/>
      <c r="H214" s="794" t="str">
        <f>'Part II-Development Team'!H19</f>
        <v>AL</v>
      </c>
      <c r="I214" s="794" t="s">
        <v>3372</v>
      </c>
      <c r="J214" s="2248">
        <f>'Part II-Development Team'!J19</f>
        <v>356303731</v>
      </c>
      <c r="K214" s="2217"/>
      <c r="L214" s="790"/>
      <c r="M214" s="790"/>
      <c r="N214" s="790"/>
      <c r="O214" s="797" t="s">
        <v>2106</v>
      </c>
      <c r="P214" s="790"/>
      <c r="Q214" s="2238">
        <f>'Part II-Development Team'!Q19</f>
        <v>0</v>
      </c>
      <c r="R214" s="2238"/>
      <c r="S214" s="2238"/>
    </row>
    <row r="215" spans="1:19">
      <c r="A215" s="790"/>
      <c r="B215" s="790"/>
      <c r="C215" s="790"/>
      <c r="D215" s="833"/>
      <c r="E215" s="797" t="s">
        <v>2112</v>
      </c>
      <c r="F215" s="790"/>
      <c r="G215" s="790"/>
      <c r="H215" s="2238">
        <f>'Part II-Development Team'!H20</f>
        <v>2567609657</v>
      </c>
      <c r="I215" s="2238"/>
      <c r="J215" s="802">
        <f>'Part II-Development Team'!J20</f>
        <v>0</v>
      </c>
      <c r="K215" s="794" t="s">
        <v>1917</v>
      </c>
      <c r="L215" s="2239">
        <f>'Part II-Development Team'!L20</f>
        <v>2567675804</v>
      </c>
      <c r="M215" s="2217"/>
      <c r="N215" s="799" t="s">
        <v>2111</v>
      </c>
      <c r="O215" s="2240" t="str">
        <f>'Part II-Development Team'!O20</f>
        <v>arappuhn@gatewaymgt.com</v>
      </c>
      <c r="P215" s="2240"/>
      <c r="Q215" s="2240"/>
      <c r="R215" s="2240"/>
      <c r="S215" s="2240"/>
    </row>
    <row r="216" spans="1:19">
      <c r="A216" s="795"/>
      <c r="B216" s="795"/>
      <c r="C216" s="795"/>
      <c r="D216" s="816"/>
      <c r="E216" s="795"/>
      <c r="F216" s="795"/>
      <c r="G216" s="795"/>
      <c r="H216" s="1051"/>
      <c r="I216" s="1051"/>
      <c r="J216" s="1051"/>
      <c r="K216" s="794"/>
      <c r="L216" s="1051"/>
      <c r="M216" s="1051"/>
      <c r="N216" s="794"/>
      <c r="O216" s="1051"/>
      <c r="P216" s="1051"/>
      <c r="Q216" s="794"/>
      <c r="R216" s="1051"/>
      <c r="S216" s="1051"/>
    </row>
    <row r="217" spans="1:19">
      <c r="A217" s="790"/>
      <c r="B217" s="790"/>
      <c r="C217" s="790"/>
      <c r="D217" s="793" t="s">
        <v>2247</v>
      </c>
      <c r="E217" s="790" t="s">
        <v>1978</v>
      </c>
      <c r="F217" s="790"/>
      <c r="G217" s="790"/>
      <c r="H217" s="2204">
        <f>'Part II-Development Team'!H22</f>
        <v>0</v>
      </c>
      <c r="I217" s="2217"/>
      <c r="J217" s="2217"/>
      <c r="K217" s="2217"/>
      <c r="L217" s="2217"/>
      <c r="M217" s="2217"/>
      <c r="N217" s="2217"/>
      <c r="O217" s="797" t="s">
        <v>2117</v>
      </c>
      <c r="P217" s="797"/>
      <c r="Q217" s="2204">
        <f>'Part II-Development Team'!Q22</f>
        <v>0</v>
      </c>
      <c r="R217" s="2217"/>
      <c r="S217" s="2217"/>
    </row>
    <row r="218" spans="1:19">
      <c r="A218" s="790"/>
      <c r="B218" s="790"/>
      <c r="C218" s="790"/>
      <c r="D218" s="833"/>
      <c r="E218" s="797" t="s">
        <v>1077</v>
      </c>
      <c r="F218" s="799"/>
      <c r="G218" s="790"/>
      <c r="H218" s="2204">
        <f>'Part II-Development Team'!H23</f>
        <v>0</v>
      </c>
      <c r="I218" s="2217"/>
      <c r="J218" s="2217"/>
      <c r="K218" s="2217"/>
      <c r="L218" s="2217"/>
      <c r="M218" s="2217"/>
      <c r="N218" s="2217"/>
      <c r="O218" s="797" t="s">
        <v>1861</v>
      </c>
      <c r="P218" s="790"/>
      <c r="Q218" s="2204">
        <f>'Part II-Development Team'!Q23</f>
        <v>0</v>
      </c>
      <c r="R218" s="2217"/>
      <c r="S218" s="2217"/>
    </row>
    <row r="219" spans="1:19">
      <c r="A219" s="790"/>
      <c r="B219" s="790"/>
      <c r="C219" s="790"/>
      <c r="D219" s="833"/>
      <c r="E219" s="797" t="s">
        <v>654</v>
      </c>
      <c r="F219" s="790"/>
      <c r="G219" s="790"/>
      <c r="H219" s="2204">
        <f>'Part II-Development Team'!H24</f>
        <v>0</v>
      </c>
      <c r="I219" s="2217"/>
      <c r="J219" s="2217"/>
      <c r="K219" s="794" t="s">
        <v>2926</v>
      </c>
      <c r="L219" s="2204">
        <f>'Part II-Development Team'!L24</f>
        <v>0</v>
      </c>
      <c r="M219" s="2217"/>
      <c r="N219" s="2217"/>
      <c r="O219" s="797" t="s">
        <v>1918</v>
      </c>
      <c r="P219" s="790"/>
      <c r="Q219" s="2238">
        <f>'Part II-Development Team'!Q24</f>
        <v>0</v>
      </c>
      <c r="R219" s="2238"/>
      <c r="S219" s="2238"/>
    </row>
    <row r="220" spans="1:19">
      <c r="A220" s="790"/>
      <c r="B220" s="790"/>
      <c r="C220" s="790"/>
      <c r="D220" s="790"/>
      <c r="E220" s="797" t="s">
        <v>1914</v>
      </c>
      <c r="F220" s="790"/>
      <c r="G220" s="790"/>
      <c r="H220" s="794">
        <f>'Part II-Development Team'!H25</f>
        <v>0</v>
      </c>
      <c r="I220" s="794" t="s">
        <v>3372</v>
      </c>
      <c r="J220" s="2248">
        <f>'Part II-Development Team'!J25</f>
        <v>0</v>
      </c>
      <c r="K220" s="2217"/>
      <c r="L220" s="790"/>
      <c r="M220" s="790"/>
      <c r="N220" s="790"/>
      <c r="O220" s="797" t="s">
        <v>2106</v>
      </c>
      <c r="P220" s="790"/>
      <c r="Q220" s="2238">
        <f>'Part II-Development Team'!Q25</f>
        <v>0</v>
      </c>
      <c r="R220" s="2238"/>
      <c r="S220" s="2238"/>
    </row>
    <row r="221" spans="1:19">
      <c r="A221" s="790"/>
      <c r="B221" s="790"/>
      <c r="C221" s="790"/>
      <c r="D221" s="833"/>
      <c r="E221" s="797" t="s">
        <v>2112</v>
      </c>
      <c r="F221" s="790"/>
      <c r="G221" s="790"/>
      <c r="H221" s="2238">
        <f>'Part II-Development Team'!H26</f>
        <v>0</v>
      </c>
      <c r="I221" s="2238"/>
      <c r="J221" s="802">
        <f>'Part II-Development Team'!J26</f>
        <v>0</v>
      </c>
      <c r="K221" s="794" t="s">
        <v>1917</v>
      </c>
      <c r="L221" s="2239">
        <f>'Part II-Development Team'!L26</f>
        <v>0</v>
      </c>
      <c r="M221" s="2217"/>
      <c r="N221" s="799" t="s">
        <v>2111</v>
      </c>
      <c r="O221" s="2240">
        <f>'Part II-Development Team'!O26</f>
        <v>0</v>
      </c>
      <c r="P221" s="2240"/>
      <c r="Q221" s="2240"/>
      <c r="R221" s="2240"/>
      <c r="S221" s="2240"/>
    </row>
    <row r="222" spans="1:19">
      <c r="A222" s="790"/>
      <c r="B222" s="790"/>
      <c r="C222" s="790"/>
      <c r="D222" s="833"/>
      <c r="E222" s="790"/>
      <c r="F222" s="790"/>
      <c r="G222" s="797"/>
      <c r="H222" s="1051"/>
      <c r="I222" s="1051"/>
      <c r="J222" s="1051"/>
      <c r="K222" s="794"/>
      <c r="L222" s="1051"/>
      <c r="M222" s="1051"/>
      <c r="N222" s="794"/>
      <c r="O222" s="1051"/>
      <c r="P222" s="1051"/>
      <c r="Q222" s="794"/>
      <c r="R222" s="1051"/>
      <c r="S222" s="1051"/>
    </row>
    <row r="223" spans="1:19">
      <c r="A223" s="790"/>
      <c r="B223" s="790"/>
      <c r="C223" s="790"/>
      <c r="D223" s="793" t="s">
        <v>1847</v>
      </c>
      <c r="E223" s="790" t="s">
        <v>1978</v>
      </c>
      <c r="F223" s="790"/>
      <c r="G223" s="790"/>
      <c r="H223" s="2204">
        <f>'Part II-Development Team'!H28</f>
        <v>0</v>
      </c>
      <c r="I223" s="2217"/>
      <c r="J223" s="2217"/>
      <c r="K223" s="2217"/>
      <c r="L223" s="2217"/>
      <c r="M223" s="2217"/>
      <c r="N223" s="2217"/>
      <c r="O223" s="797" t="s">
        <v>2117</v>
      </c>
      <c r="P223" s="797"/>
      <c r="Q223" s="2204">
        <f>'Part II-Development Team'!Q28</f>
        <v>0</v>
      </c>
      <c r="R223" s="2217"/>
      <c r="S223" s="2217"/>
    </row>
    <row r="224" spans="1:19">
      <c r="A224" s="790"/>
      <c r="B224" s="790"/>
      <c r="C224" s="790"/>
      <c r="D224" s="833"/>
      <c r="E224" s="797" t="s">
        <v>1077</v>
      </c>
      <c r="F224" s="799"/>
      <c r="G224" s="790"/>
      <c r="H224" s="2204">
        <f>'Part II-Development Team'!H29</f>
        <v>0</v>
      </c>
      <c r="I224" s="2217"/>
      <c r="J224" s="2217"/>
      <c r="K224" s="2217"/>
      <c r="L224" s="2217"/>
      <c r="M224" s="2217"/>
      <c r="N224" s="2217"/>
      <c r="O224" s="797" t="s">
        <v>1861</v>
      </c>
      <c r="P224" s="790"/>
      <c r="Q224" s="2204">
        <f>'Part II-Development Team'!Q29</f>
        <v>0</v>
      </c>
      <c r="R224" s="2217"/>
      <c r="S224" s="2217"/>
    </row>
    <row r="225" spans="1:19">
      <c r="A225" s="790"/>
      <c r="B225" s="790"/>
      <c r="C225" s="790"/>
      <c r="D225" s="833"/>
      <c r="E225" s="797" t="s">
        <v>654</v>
      </c>
      <c r="F225" s="790"/>
      <c r="G225" s="790"/>
      <c r="H225" s="2204">
        <f>'Part II-Development Team'!H30</f>
        <v>0</v>
      </c>
      <c r="I225" s="2217"/>
      <c r="J225" s="2217"/>
      <c r="K225" s="794" t="s">
        <v>2926</v>
      </c>
      <c r="L225" s="2204">
        <f>'Part II-Development Team'!L30</f>
        <v>0</v>
      </c>
      <c r="M225" s="2217"/>
      <c r="N225" s="2217"/>
      <c r="O225" s="797" t="s">
        <v>1918</v>
      </c>
      <c r="P225" s="790"/>
      <c r="Q225" s="2238">
        <f>'Part II-Development Team'!Q30</f>
        <v>0</v>
      </c>
      <c r="R225" s="2238"/>
      <c r="S225" s="2238"/>
    </row>
    <row r="226" spans="1:19">
      <c r="A226" s="790"/>
      <c r="B226" s="790"/>
      <c r="C226" s="790"/>
      <c r="D226" s="790"/>
      <c r="E226" s="797" t="s">
        <v>1914</v>
      </c>
      <c r="F226" s="790"/>
      <c r="G226" s="790"/>
      <c r="H226" s="794">
        <f>'Part II-Development Team'!H31</f>
        <v>0</v>
      </c>
      <c r="I226" s="794" t="s">
        <v>3372</v>
      </c>
      <c r="J226" s="2248">
        <f>'Part II-Development Team'!J31</f>
        <v>0</v>
      </c>
      <c r="K226" s="2217"/>
      <c r="L226" s="790"/>
      <c r="M226" s="790"/>
      <c r="N226" s="790"/>
      <c r="O226" s="797" t="s">
        <v>2106</v>
      </c>
      <c r="P226" s="790"/>
      <c r="Q226" s="2238">
        <f>'Part II-Development Team'!Q31</f>
        <v>0</v>
      </c>
      <c r="R226" s="2238"/>
      <c r="S226" s="2238"/>
    </row>
    <row r="227" spans="1:19">
      <c r="A227" s="790"/>
      <c r="B227" s="790"/>
      <c r="C227" s="790"/>
      <c r="D227" s="833"/>
      <c r="E227" s="797" t="s">
        <v>2112</v>
      </c>
      <c r="F227" s="790"/>
      <c r="G227" s="790"/>
      <c r="H227" s="2238">
        <f>'Part II-Development Team'!H32</f>
        <v>0</v>
      </c>
      <c r="I227" s="2238"/>
      <c r="J227" s="802">
        <f>'Part II-Development Team'!J32</f>
        <v>0</v>
      </c>
      <c r="K227" s="794" t="s">
        <v>1917</v>
      </c>
      <c r="L227" s="2239">
        <f>'Part II-Development Team'!L32</f>
        <v>0</v>
      </c>
      <c r="M227" s="2217"/>
      <c r="N227" s="799" t="s">
        <v>2111</v>
      </c>
      <c r="O227" s="2240">
        <f>'Part II-Development Team'!O32</f>
        <v>0</v>
      </c>
      <c r="P227" s="2240"/>
      <c r="Q227" s="2240"/>
      <c r="R227" s="2240"/>
      <c r="S227" s="2240"/>
    </row>
    <row r="228" spans="1:19">
      <c r="A228" s="795"/>
      <c r="B228" s="795"/>
      <c r="C228" s="795"/>
      <c r="D228" s="795"/>
      <c r="E228" s="795"/>
      <c r="F228" s="795"/>
      <c r="G228" s="795"/>
      <c r="H228" s="795"/>
      <c r="I228" s="795"/>
      <c r="J228" s="795"/>
      <c r="K228" s="795"/>
      <c r="L228" s="795"/>
      <c r="M228" s="795"/>
      <c r="N228" s="795"/>
      <c r="O228" s="795"/>
      <c r="P228" s="795"/>
      <c r="Q228" s="795"/>
      <c r="R228" s="795"/>
      <c r="S228" s="795"/>
    </row>
    <row r="229" spans="1:19">
      <c r="A229" s="790"/>
      <c r="B229" s="790"/>
      <c r="C229" s="836" t="s">
        <v>2116</v>
      </c>
      <c r="D229" s="820" t="s">
        <v>1980</v>
      </c>
      <c r="E229" s="790"/>
      <c r="F229" s="790"/>
      <c r="G229" s="790"/>
      <c r="H229" s="790"/>
      <c r="I229" s="790"/>
      <c r="J229" s="790"/>
      <c r="K229" s="790"/>
      <c r="L229" s="790"/>
      <c r="M229" s="790"/>
      <c r="N229" s="790"/>
      <c r="O229" s="790"/>
      <c r="P229" s="790"/>
      <c r="Q229" s="790"/>
      <c r="R229" s="790"/>
      <c r="S229" s="790"/>
    </row>
    <row r="230" spans="1:19">
      <c r="A230" s="790"/>
      <c r="B230" s="790"/>
      <c r="C230" s="837"/>
      <c r="D230" s="820"/>
      <c r="E230" s="790"/>
      <c r="F230" s="790"/>
      <c r="G230" s="790"/>
      <c r="H230" s="1051"/>
      <c r="I230" s="1051"/>
      <c r="J230" s="1051"/>
      <c r="K230" s="794"/>
      <c r="L230" s="1051"/>
      <c r="M230" s="1051"/>
      <c r="N230" s="794"/>
      <c r="O230" s="1051"/>
      <c r="P230" s="1051"/>
      <c r="Q230" s="794"/>
      <c r="R230" s="1051"/>
      <c r="S230" s="1051"/>
    </row>
    <row r="231" spans="1:19">
      <c r="A231" s="790"/>
      <c r="B231" s="790"/>
      <c r="C231" s="790"/>
      <c r="D231" s="793" t="s">
        <v>2246</v>
      </c>
      <c r="E231" s="790" t="s">
        <v>794</v>
      </c>
      <c r="F231" s="790"/>
      <c r="G231" s="790"/>
      <c r="H231" s="2204" t="str">
        <f>'Part II-Development Team'!H36</f>
        <v>Affordable Equity Partners, Inc.</v>
      </c>
      <c r="I231" s="2217"/>
      <c r="J231" s="2217"/>
      <c r="K231" s="2217"/>
      <c r="L231" s="2217"/>
      <c r="M231" s="2217"/>
      <c r="N231" s="2217"/>
      <c r="O231" s="797" t="s">
        <v>2117</v>
      </c>
      <c r="P231" s="797"/>
      <c r="Q231" s="2204" t="str">
        <f>'Part II-Development Team'!Q36</f>
        <v>Jeffrey E. Smith</v>
      </c>
      <c r="R231" s="2217"/>
      <c r="S231" s="2217"/>
    </row>
    <row r="232" spans="1:19">
      <c r="A232" s="790"/>
      <c r="B232" s="790"/>
      <c r="C232" s="790"/>
      <c r="D232" s="833"/>
      <c r="E232" s="797" t="s">
        <v>1077</v>
      </c>
      <c r="F232" s="799"/>
      <c r="G232" s="790"/>
      <c r="H232" s="2204" t="str">
        <f>'Part II-Development Team'!H37</f>
        <v>206 Peach Way</v>
      </c>
      <c r="I232" s="2217"/>
      <c r="J232" s="2217"/>
      <c r="K232" s="2217"/>
      <c r="L232" s="2217"/>
      <c r="M232" s="2217"/>
      <c r="N232" s="2217"/>
      <c r="O232" s="797" t="s">
        <v>1861</v>
      </c>
      <c r="P232" s="790"/>
      <c r="Q232" s="2204" t="str">
        <f>'Part II-Development Team'!Q37</f>
        <v>President</v>
      </c>
      <c r="R232" s="2217"/>
      <c r="S232" s="2217"/>
    </row>
    <row r="233" spans="1:19">
      <c r="A233" s="790"/>
      <c r="B233" s="790"/>
      <c r="C233" s="790"/>
      <c r="D233" s="833"/>
      <c r="E233" s="797" t="s">
        <v>654</v>
      </c>
      <c r="F233" s="790"/>
      <c r="G233" s="790"/>
      <c r="H233" s="2204" t="str">
        <f>'Part II-Development Team'!H38</f>
        <v>Columbia</v>
      </c>
      <c r="I233" s="2217"/>
      <c r="J233" s="2217"/>
      <c r="K233" s="794" t="s">
        <v>2926</v>
      </c>
      <c r="L233" s="2204" t="str">
        <f>'Part II-Development Team'!L38</f>
        <v>www.aepartners.com</v>
      </c>
      <c r="M233" s="2217"/>
      <c r="N233" s="2217"/>
      <c r="O233" s="797" t="s">
        <v>1918</v>
      </c>
      <c r="P233" s="790"/>
      <c r="Q233" s="2238">
        <f>'Part II-Development Team'!Q38</f>
        <v>5734432021</v>
      </c>
      <c r="R233" s="2238"/>
      <c r="S233" s="2238"/>
    </row>
    <row r="234" spans="1:19">
      <c r="A234" s="790"/>
      <c r="B234" s="790"/>
      <c r="C234" s="790"/>
      <c r="D234" s="790"/>
      <c r="E234" s="797" t="s">
        <v>1914</v>
      </c>
      <c r="F234" s="790"/>
      <c r="G234" s="790"/>
      <c r="H234" s="794" t="str">
        <f>'Part II-Development Team'!H39</f>
        <v>MO</v>
      </c>
      <c r="I234" s="794" t="s">
        <v>3372</v>
      </c>
      <c r="J234" s="2248">
        <f>'Part II-Development Team'!J39</f>
        <v>652034905</v>
      </c>
      <c r="K234" s="2217"/>
      <c r="L234" s="790"/>
      <c r="M234" s="790"/>
      <c r="N234" s="790"/>
      <c r="O234" s="797" t="s">
        <v>2106</v>
      </c>
      <c r="P234" s="790"/>
      <c r="Q234" s="2238">
        <f>'Part II-Development Team'!Q39</f>
        <v>0</v>
      </c>
      <c r="R234" s="2238"/>
      <c r="S234" s="2238"/>
    </row>
    <row r="235" spans="1:19">
      <c r="A235" s="790"/>
      <c r="B235" s="790"/>
      <c r="C235" s="790"/>
      <c r="D235" s="833"/>
      <c r="E235" s="797" t="s">
        <v>2112</v>
      </c>
      <c r="F235" s="790"/>
      <c r="G235" s="790"/>
      <c r="H235" s="2238">
        <f>'Part II-Development Team'!H40</f>
        <v>5734432021</v>
      </c>
      <c r="I235" s="2238"/>
      <c r="J235" s="802">
        <f>'Part II-Development Team'!J40</f>
        <v>0</v>
      </c>
      <c r="K235" s="794" t="s">
        <v>1917</v>
      </c>
      <c r="L235" s="2239">
        <f>'Part II-Development Team'!L40</f>
        <v>5738747116</v>
      </c>
      <c r="M235" s="2217"/>
      <c r="N235" s="799" t="s">
        <v>2111</v>
      </c>
      <c r="O235" s="2240" t="str">
        <f>'Part II-Development Team'!O40</f>
        <v>bkimes@aepartners.com</v>
      </c>
      <c r="P235" s="2240"/>
      <c r="Q235" s="2240"/>
      <c r="R235" s="2240"/>
      <c r="S235" s="2240"/>
    </row>
    <row r="236" spans="1:19">
      <c r="A236" s="795"/>
      <c r="B236" s="795"/>
      <c r="C236" s="795"/>
      <c r="D236" s="795"/>
      <c r="E236" s="795"/>
      <c r="F236" s="795"/>
      <c r="G236" s="795"/>
      <c r="H236" s="1051"/>
      <c r="I236" s="1051"/>
      <c r="J236" s="1051"/>
      <c r="K236" s="794"/>
      <c r="L236" s="1051"/>
      <c r="M236" s="1051"/>
      <c r="N236" s="794"/>
      <c r="O236" s="1051"/>
      <c r="P236" s="1051"/>
      <c r="Q236" s="794"/>
      <c r="R236" s="1051"/>
      <c r="S236" s="1051"/>
    </row>
    <row r="237" spans="1:19">
      <c r="A237" s="790"/>
      <c r="B237" s="790"/>
      <c r="C237" s="790"/>
      <c r="D237" s="793" t="s">
        <v>2247</v>
      </c>
      <c r="E237" s="790" t="s">
        <v>795</v>
      </c>
      <c r="F237" s="793"/>
      <c r="G237" s="790"/>
      <c r="H237" s="2204" t="str">
        <f>'Part II-Development Team'!H42</f>
        <v>Affordable Equity Partners, Inc.</v>
      </c>
      <c r="I237" s="2217"/>
      <c r="J237" s="2217"/>
      <c r="K237" s="2217"/>
      <c r="L237" s="2217"/>
      <c r="M237" s="2217"/>
      <c r="N237" s="2217"/>
      <c r="O237" s="797" t="s">
        <v>2117</v>
      </c>
      <c r="P237" s="797"/>
      <c r="Q237" s="2204" t="str">
        <f>'Part II-Development Team'!Q42</f>
        <v>Jeffrey E. Smith</v>
      </c>
      <c r="R237" s="2217"/>
      <c r="S237" s="2217"/>
    </row>
    <row r="238" spans="1:19">
      <c r="A238" s="790"/>
      <c r="B238" s="790"/>
      <c r="C238" s="790"/>
      <c r="D238" s="833"/>
      <c r="E238" s="797" t="s">
        <v>1077</v>
      </c>
      <c r="F238" s="799"/>
      <c r="G238" s="790"/>
      <c r="H238" s="2204" t="str">
        <f>'Part II-Development Team'!H43</f>
        <v>206 Peach Way</v>
      </c>
      <c r="I238" s="2217"/>
      <c r="J238" s="2217"/>
      <c r="K238" s="2217"/>
      <c r="L238" s="2217"/>
      <c r="M238" s="2217"/>
      <c r="N238" s="2217"/>
      <c r="O238" s="797" t="s">
        <v>1861</v>
      </c>
      <c r="P238" s="790"/>
      <c r="Q238" s="2204" t="str">
        <f>'Part II-Development Team'!Q43</f>
        <v>President</v>
      </c>
      <c r="R238" s="2217"/>
      <c r="S238" s="2217"/>
    </row>
    <row r="239" spans="1:19">
      <c r="A239" s="790"/>
      <c r="B239" s="790"/>
      <c r="C239" s="790"/>
      <c r="D239" s="833"/>
      <c r="E239" s="797" t="s">
        <v>654</v>
      </c>
      <c r="F239" s="790"/>
      <c r="G239" s="790"/>
      <c r="H239" s="2204" t="str">
        <f>'Part II-Development Team'!H44</f>
        <v>Columbia</v>
      </c>
      <c r="I239" s="2217"/>
      <c r="J239" s="2217"/>
      <c r="K239" s="794" t="s">
        <v>2926</v>
      </c>
      <c r="L239" s="2204" t="str">
        <f>'Part II-Development Team'!L44</f>
        <v>www.aepartners.com</v>
      </c>
      <c r="M239" s="2217"/>
      <c r="N239" s="2217"/>
      <c r="O239" s="797" t="s">
        <v>1918</v>
      </c>
      <c r="P239" s="790"/>
      <c r="Q239" s="2238">
        <f>'Part II-Development Team'!Q44</f>
        <v>5734432021</v>
      </c>
      <c r="R239" s="2238"/>
      <c r="S239" s="2238"/>
    </row>
    <row r="240" spans="1:19">
      <c r="A240" s="790"/>
      <c r="B240" s="790"/>
      <c r="C240" s="790"/>
      <c r="D240" s="793"/>
      <c r="E240" s="797" t="s">
        <v>1914</v>
      </c>
      <c r="F240" s="790"/>
      <c r="G240" s="790"/>
      <c r="H240" s="794" t="str">
        <f>'Part II-Development Team'!H45</f>
        <v>MO</v>
      </c>
      <c r="I240" s="794" t="s">
        <v>3372</v>
      </c>
      <c r="J240" s="2248">
        <f>'Part II-Development Team'!J45</f>
        <v>652034905</v>
      </c>
      <c r="K240" s="2217"/>
      <c r="L240" s="790"/>
      <c r="M240" s="790"/>
      <c r="N240" s="790"/>
      <c r="O240" s="797" t="s">
        <v>2106</v>
      </c>
      <c r="P240" s="790"/>
      <c r="Q240" s="2238">
        <f>'Part II-Development Team'!Q45</f>
        <v>0</v>
      </c>
      <c r="R240" s="2238"/>
      <c r="S240" s="2238"/>
    </row>
    <row r="241" spans="1:19">
      <c r="A241" s="790"/>
      <c r="B241" s="790"/>
      <c r="C241" s="790"/>
      <c r="D241" s="833"/>
      <c r="E241" s="797" t="s">
        <v>2112</v>
      </c>
      <c r="F241" s="790"/>
      <c r="G241" s="790"/>
      <c r="H241" s="2238">
        <f>'Part II-Development Team'!H46</f>
        <v>5734432021</v>
      </c>
      <c r="I241" s="2238"/>
      <c r="J241" s="802">
        <f>'Part II-Development Team'!J46</f>
        <v>0</v>
      </c>
      <c r="K241" s="794" t="s">
        <v>1917</v>
      </c>
      <c r="L241" s="2239">
        <f>'Part II-Development Team'!L46</f>
        <v>5738747116</v>
      </c>
      <c r="M241" s="2217"/>
      <c r="N241" s="799" t="s">
        <v>2111</v>
      </c>
      <c r="O241" s="2240" t="str">
        <f>'Part II-Development Team'!O46</f>
        <v>bkimes@aepartners.com</v>
      </c>
      <c r="P241" s="2240"/>
      <c r="Q241" s="2240"/>
      <c r="R241" s="2240"/>
      <c r="S241" s="2240"/>
    </row>
    <row r="242" spans="1:19">
      <c r="A242" s="790"/>
      <c r="B242" s="790"/>
      <c r="C242" s="790"/>
      <c r="D242" s="833"/>
      <c r="E242" s="797"/>
      <c r="F242" s="793"/>
      <c r="G242" s="790"/>
      <c r="H242" s="829"/>
      <c r="I242" s="829"/>
      <c r="J242" s="1048"/>
      <c r="K242" s="794"/>
      <c r="L242" s="829"/>
      <c r="M242" s="829"/>
      <c r="N242" s="794"/>
      <c r="O242" s="829"/>
      <c r="P242" s="829"/>
      <c r="Q242" s="794"/>
      <c r="R242" s="829"/>
      <c r="S242" s="829"/>
    </row>
    <row r="243" spans="1:19">
      <c r="A243" s="790"/>
      <c r="B243" s="790"/>
      <c r="C243" s="837" t="s">
        <v>2698</v>
      </c>
      <c r="D243" s="820" t="s">
        <v>690</v>
      </c>
      <c r="E243" s="790"/>
      <c r="F243" s="790"/>
      <c r="G243" s="790"/>
      <c r="H243" s="790"/>
      <c r="I243" s="790"/>
      <c r="J243" s="790"/>
      <c r="K243" s="790"/>
      <c r="L243" s="790"/>
      <c r="M243" s="790"/>
      <c r="N243" s="790"/>
      <c r="O243" s="790"/>
      <c r="P243" s="790"/>
      <c r="Q243" s="790"/>
      <c r="R243" s="790"/>
      <c r="S243" s="790"/>
    </row>
    <row r="244" spans="1:19">
      <c r="A244" s="790"/>
      <c r="B244" s="790"/>
      <c r="C244" s="790"/>
      <c r="D244" s="837"/>
      <c r="E244" s="819"/>
      <c r="F244" s="790"/>
      <c r="G244" s="790"/>
      <c r="H244" s="1051"/>
      <c r="I244" s="1051"/>
      <c r="J244" s="1051"/>
      <c r="K244" s="794"/>
      <c r="L244" s="1051"/>
      <c r="M244" s="1051"/>
      <c r="N244" s="794"/>
      <c r="O244" s="1051"/>
      <c r="P244" s="1051"/>
      <c r="Q244" s="794"/>
      <c r="R244" s="1051"/>
      <c r="S244" s="1051"/>
    </row>
    <row r="245" spans="1:19">
      <c r="A245" s="790"/>
      <c r="B245" s="790"/>
      <c r="C245" s="790"/>
      <c r="D245" s="790"/>
      <c r="E245" s="790" t="s">
        <v>95</v>
      </c>
      <c r="F245" s="790"/>
      <c r="G245" s="790"/>
      <c r="H245" s="2204">
        <f>'Part II-Development Team'!H50</f>
        <v>0</v>
      </c>
      <c r="I245" s="2217"/>
      <c r="J245" s="2217"/>
      <c r="K245" s="2217"/>
      <c r="L245" s="2217"/>
      <c r="M245" s="2217"/>
      <c r="N245" s="2217"/>
      <c r="O245" s="797" t="s">
        <v>2117</v>
      </c>
      <c r="P245" s="797"/>
      <c r="Q245" s="2204">
        <f>'Part II-Development Team'!Q50</f>
        <v>0</v>
      </c>
      <c r="R245" s="2217"/>
      <c r="S245" s="2217"/>
    </row>
    <row r="246" spans="1:19">
      <c r="A246" s="790"/>
      <c r="B246" s="790"/>
      <c r="C246" s="790"/>
      <c r="D246" s="833"/>
      <c r="E246" s="797" t="s">
        <v>1077</v>
      </c>
      <c r="F246" s="799"/>
      <c r="G246" s="790"/>
      <c r="H246" s="2204">
        <f>'Part II-Development Team'!H51</f>
        <v>0</v>
      </c>
      <c r="I246" s="2217"/>
      <c r="J246" s="2217"/>
      <c r="K246" s="2217"/>
      <c r="L246" s="2217"/>
      <c r="M246" s="2217"/>
      <c r="N246" s="2217"/>
      <c r="O246" s="797" t="s">
        <v>1861</v>
      </c>
      <c r="P246" s="790"/>
      <c r="Q246" s="2204">
        <f>'Part II-Development Team'!Q51</f>
        <v>0</v>
      </c>
      <c r="R246" s="2217"/>
      <c r="S246" s="2217"/>
    </row>
    <row r="247" spans="1:19">
      <c r="A247" s="790"/>
      <c r="B247" s="790"/>
      <c r="C247" s="790"/>
      <c r="D247" s="833"/>
      <c r="E247" s="797" t="s">
        <v>654</v>
      </c>
      <c r="F247" s="790"/>
      <c r="G247" s="790"/>
      <c r="H247" s="2204">
        <f>'Part II-Development Team'!H52</f>
        <v>0</v>
      </c>
      <c r="I247" s="2217"/>
      <c r="J247" s="2217"/>
      <c r="K247" s="794" t="s">
        <v>2926</v>
      </c>
      <c r="L247" s="2204">
        <f>'Part II-Development Team'!L52</f>
        <v>0</v>
      </c>
      <c r="M247" s="2217"/>
      <c r="N247" s="2217"/>
      <c r="O247" s="797" t="s">
        <v>1918</v>
      </c>
      <c r="P247" s="790"/>
      <c r="Q247" s="2238">
        <f>'Part II-Development Team'!Q52</f>
        <v>0</v>
      </c>
      <c r="R247" s="2238"/>
      <c r="S247" s="2238"/>
    </row>
    <row r="248" spans="1:19">
      <c r="A248" s="790"/>
      <c r="B248" s="790"/>
      <c r="C248" s="790"/>
      <c r="D248" s="790"/>
      <c r="E248" s="797" t="s">
        <v>1914</v>
      </c>
      <c r="F248" s="790"/>
      <c r="G248" s="790"/>
      <c r="H248" s="794">
        <f>'Part II-Development Team'!H53</f>
        <v>0</v>
      </c>
      <c r="I248" s="794" t="s">
        <v>3372</v>
      </c>
      <c r="J248" s="2248">
        <f>'Part II-Development Team'!J53</f>
        <v>0</v>
      </c>
      <c r="K248" s="2217"/>
      <c r="L248" s="790"/>
      <c r="M248" s="790"/>
      <c r="N248" s="790"/>
      <c r="O248" s="797" t="s">
        <v>2106</v>
      </c>
      <c r="P248" s="790"/>
      <c r="Q248" s="2238">
        <f>'Part II-Development Team'!Q53</f>
        <v>0</v>
      </c>
      <c r="R248" s="2238"/>
      <c r="S248" s="2238"/>
    </row>
    <row r="249" spans="1:19">
      <c r="A249" s="790"/>
      <c r="B249" s="790"/>
      <c r="C249" s="790"/>
      <c r="D249" s="833"/>
      <c r="E249" s="797" t="s">
        <v>2112</v>
      </c>
      <c r="F249" s="790"/>
      <c r="G249" s="790"/>
      <c r="H249" s="2238">
        <f>'Part II-Development Team'!H54</f>
        <v>0</v>
      </c>
      <c r="I249" s="2238"/>
      <c r="J249" s="802">
        <f>'Part II-Development Team'!J54</f>
        <v>0</v>
      </c>
      <c r="K249" s="794" t="s">
        <v>1917</v>
      </c>
      <c r="L249" s="2239">
        <f>'Part II-Development Team'!L54</f>
        <v>0</v>
      </c>
      <c r="M249" s="2217"/>
      <c r="N249" s="799" t="s">
        <v>2111</v>
      </c>
      <c r="O249" s="2240">
        <f>'Part II-Development Team'!O54</f>
        <v>0</v>
      </c>
      <c r="P249" s="2240"/>
      <c r="Q249" s="2240"/>
      <c r="R249" s="2240"/>
      <c r="S249" s="2240"/>
    </row>
    <row r="250" spans="1:19">
      <c r="A250" s="795"/>
      <c r="B250" s="795"/>
      <c r="C250" s="795"/>
      <c r="D250" s="795"/>
      <c r="E250" s="795"/>
      <c r="F250" s="795"/>
      <c r="G250" s="795"/>
      <c r="H250" s="795"/>
      <c r="I250" s="795"/>
      <c r="J250" s="795"/>
      <c r="K250" s="795"/>
      <c r="L250" s="795"/>
      <c r="M250" s="795"/>
      <c r="N250" s="795"/>
      <c r="O250" s="795"/>
      <c r="P250" s="795"/>
      <c r="Q250" s="795"/>
      <c r="R250" s="795"/>
      <c r="S250" s="795"/>
    </row>
    <row r="251" spans="1:19">
      <c r="A251" s="793" t="s">
        <v>784</v>
      </c>
      <c r="B251" s="793" t="s">
        <v>691</v>
      </c>
      <c r="C251" s="790"/>
      <c r="D251" s="790"/>
      <c r="E251" s="790"/>
      <c r="F251" s="793"/>
      <c r="G251" s="794"/>
      <c r="H251" s="794"/>
      <c r="I251" s="794"/>
      <c r="J251" s="790"/>
      <c r="K251" s="790"/>
      <c r="L251" s="790"/>
      <c r="M251" s="790"/>
      <c r="N251" s="790"/>
      <c r="O251" s="790"/>
      <c r="P251" s="790"/>
      <c r="Q251" s="790"/>
      <c r="R251" s="790"/>
      <c r="S251" s="790"/>
    </row>
    <row r="252" spans="1:19">
      <c r="A252" s="793"/>
      <c r="B252" s="793"/>
      <c r="C252" s="790"/>
      <c r="D252" s="790"/>
      <c r="E252" s="790"/>
      <c r="F252" s="793"/>
      <c r="G252" s="794"/>
      <c r="H252" s="1051"/>
      <c r="I252" s="1051"/>
      <c r="J252" s="1051"/>
      <c r="K252" s="794"/>
      <c r="L252" s="1051"/>
      <c r="M252" s="1051"/>
      <c r="N252" s="794"/>
      <c r="O252" s="1051"/>
      <c r="P252" s="1051"/>
      <c r="Q252" s="794"/>
      <c r="R252" s="1051"/>
      <c r="S252" s="1051"/>
    </row>
    <row r="253" spans="1:19">
      <c r="A253" s="790"/>
      <c r="B253" s="793" t="s">
        <v>2110</v>
      </c>
      <c r="C253" s="793" t="s">
        <v>298</v>
      </c>
      <c r="D253" s="790"/>
      <c r="E253" s="790"/>
      <c r="F253" s="790"/>
      <c r="G253" s="790"/>
      <c r="H253" s="2204" t="str">
        <f>'Part II-Development Team'!H58</f>
        <v>Gateway Development Corporation</v>
      </c>
      <c r="I253" s="2217"/>
      <c r="J253" s="2217"/>
      <c r="K253" s="2217"/>
      <c r="L253" s="2217"/>
      <c r="M253" s="2217"/>
      <c r="N253" s="2217"/>
      <c r="O253" s="797" t="s">
        <v>2117</v>
      </c>
      <c r="P253" s="797"/>
      <c r="Q253" s="2204" t="str">
        <f>'Part II-Development Team'!Q58</f>
        <v>Allan Rappuhn</v>
      </c>
      <c r="R253" s="2217"/>
      <c r="S253" s="2217"/>
    </row>
    <row r="254" spans="1:19">
      <c r="A254" s="790"/>
      <c r="B254" s="790"/>
      <c r="C254" s="790"/>
      <c r="D254" s="833"/>
      <c r="E254" s="797" t="s">
        <v>1077</v>
      </c>
      <c r="F254" s="799"/>
      <c r="G254" s="790"/>
      <c r="H254" s="2204" t="str">
        <f>'Part II-Development Team'!H59</f>
        <v>920 Florence Blvd</v>
      </c>
      <c r="I254" s="2217"/>
      <c r="J254" s="2217"/>
      <c r="K254" s="2217"/>
      <c r="L254" s="2217"/>
      <c r="M254" s="2217"/>
      <c r="N254" s="2217"/>
      <c r="O254" s="797" t="s">
        <v>1861</v>
      </c>
      <c r="P254" s="790"/>
      <c r="Q254" s="2204" t="str">
        <f>'Part II-Development Team'!Q59</f>
        <v>Chairman</v>
      </c>
      <c r="R254" s="2217"/>
      <c r="S254" s="2217"/>
    </row>
    <row r="255" spans="1:19">
      <c r="A255" s="790"/>
      <c r="B255" s="790"/>
      <c r="C255" s="790"/>
      <c r="D255" s="833"/>
      <c r="E255" s="797" t="s">
        <v>654</v>
      </c>
      <c r="F255" s="790"/>
      <c r="G255" s="790"/>
      <c r="H255" s="2204" t="str">
        <f>'Part II-Development Team'!H60</f>
        <v>Florence</v>
      </c>
      <c r="I255" s="2217"/>
      <c r="J255" s="2217"/>
      <c r="K255" s="794" t="s">
        <v>2926</v>
      </c>
      <c r="L255" s="2204" t="str">
        <f>'Part II-Development Team'!L60</f>
        <v>www.thegatewaycompanies.com</v>
      </c>
      <c r="M255" s="2217"/>
      <c r="N255" s="2217"/>
      <c r="O255" s="797" t="s">
        <v>1918</v>
      </c>
      <c r="P255" s="790"/>
      <c r="Q255" s="2238">
        <f>'Part II-Development Team'!Q60</f>
        <v>2567609657</v>
      </c>
      <c r="R255" s="2238"/>
      <c r="S255" s="2238"/>
    </row>
    <row r="256" spans="1:19">
      <c r="A256" s="790"/>
      <c r="B256" s="790"/>
      <c r="C256" s="790"/>
      <c r="D256" s="790"/>
      <c r="E256" s="797" t="s">
        <v>1914</v>
      </c>
      <c r="F256" s="790"/>
      <c r="G256" s="790"/>
      <c r="H256" s="794" t="str">
        <f>'Part II-Development Team'!H61</f>
        <v>AL</v>
      </c>
      <c r="I256" s="794" t="s">
        <v>3372</v>
      </c>
      <c r="J256" s="2248">
        <f>'Part II-Development Team'!J61</f>
        <v>356303731</v>
      </c>
      <c r="K256" s="2217"/>
      <c r="L256" s="790"/>
      <c r="M256" s="790"/>
      <c r="N256" s="790"/>
      <c r="O256" s="797" t="s">
        <v>2106</v>
      </c>
      <c r="P256" s="790"/>
      <c r="Q256" s="2238">
        <f>'Part II-Development Team'!Q61</f>
        <v>0</v>
      </c>
      <c r="R256" s="2238"/>
      <c r="S256" s="2238"/>
    </row>
    <row r="257" spans="1:19">
      <c r="A257" s="790"/>
      <c r="B257" s="790"/>
      <c r="C257" s="790"/>
      <c r="D257" s="833"/>
      <c r="E257" s="797" t="s">
        <v>2112</v>
      </c>
      <c r="F257" s="790"/>
      <c r="G257" s="790"/>
      <c r="H257" s="2238">
        <f>'Part II-Development Team'!H62</f>
        <v>2567609657</v>
      </c>
      <c r="I257" s="2238"/>
      <c r="J257" s="802">
        <f>'Part II-Development Team'!J62</f>
        <v>0</v>
      </c>
      <c r="K257" s="794" t="s">
        <v>1917</v>
      </c>
      <c r="L257" s="2239">
        <f>'Part II-Development Team'!L62</f>
        <v>2567675804</v>
      </c>
      <c r="M257" s="2217"/>
      <c r="N257" s="799" t="s">
        <v>2111</v>
      </c>
      <c r="O257" s="2240" t="str">
        <f>'Part II-Development Team'!O62</f>
        <v>arappuhn@gatewaymgt.com</v>
      </c>
      <c r="P257" s="2240"/>
      <c r="Q257" s="2240"/>
      <c r="R257" s="2240"/>
      <c r="S257" s="2240"/>
    </row>
    <row r="258" spans="1:19">
      <c r="A258" s="790"/>
      <c r="B258" s="790"/>
      <c r="C258" s="790"/>
      <c r="D258" s="833"/>
      <c r="E258" s="790"/>
      <c r="F258" s="790"/>
      <c r="G258" s="797"/>
      <c r="H258" s="1051"/>
      <c r="I258" s="1051"/>
      <c r="J258" s="1051"/>
      <c r="K258" s="794"/>
      <c r="L258" s="1051"/>
      <c r="M258" s="1051"/>
      <c r="N258" s="794"/>
      <c r="O258" s="1051"/>
      <c r="P258" s="1051"/>
      <c r="Q258" s="794"/>
      <c r="R258" s="1051"/>
      <c r="S258" s="1051"/>
    </row>
    <row r="259" spans="1:19">
      <c r="A259" s="790"/>
      <c r="B259" s="793" t="s">
        <v>2113</v>
      </c>
      <c r="C259" s="793" t="s">
        <v>299</v>
      </c>
      <c r="D259" s="790"/>
      <c r="E259" s="790"/>
      <c r="F259" s="790"/>
      <c r="G259" s="790"/>
      <c r="H259" s="2204">
        <f>'Part II-Development Team'!H64</f>
        <v>0</v>
      </c>
      <c r="I259" s="2217"/>
      <c r="J259" s="2217"/>
      <c r="K259" s="2217"/>
      <c r="L259" s="2217"/>
      <c r="M259" s="2217"/>
      <c r="N259" s="2217"/>
      <c r="O259" s="797" t="s">
        <v>2117</v>
      </c>
      <c r="P259" s="797"/>
      <c r="Q259" s="2204">
        <f>'Part II-Development Team'!Q64</f>
        <v>0</v>
      </c>
      <c r="R259" s="2217"/>
      <c r="S259" s="2217"/>
    </row>
    <row r="260" spans="1:19">
      <c r="A260" s="790"/>
      <c r="B260" s="790"/>
      <c r="C260" s="790"/>
      <c r="D260" s="833"/>
      <c r="E260" s="797" t="s">
        <v>1077</v>
      </c>
      <c r="F260" s="799"/>
      <c r="G260" s="790"/>
      <c r="H260" s="2204">
        <f>'Part II-Development Team'!H65</f>
        <v>0</v>
      </c>
      <c r="I260" s="2217"/>
      <c r="J260" s="2217"/>
      <c r="K260" s="2217"/>
      <c r="L260" s="2217"/>
      <c r="M260" s="2217"/>
      <c r="N260" s="2217"/>
      <c r="O260" s="797" t="s">
        <v>1861</v>
      </c>
      <c r="P260" s="790"/>
      <c r="Q260" s="2204">
        <f>'Part II-Development Team'!Q65</f>
        <v>0</v>
      </c>
      <c r="R260" s="2217"/>
      <c r="S260" s="2217"/>
    </row>
    <row r="261" spans="1:19">
      <c r="A261" s="790"/>
      <c r="B261" s="790"/>
      <c r="C261" s="790"/>
      <c r="D261" s="833"/>
      <c r="E261" s="797" t="s">
        <v>654</v>
      </c>
      <c r="F261" s="790"/>
      <c r="G261" s="790"/>
      <c r="H261" s="2204">
        <f>'Part II-Development Team'!H66</f>
        <v>0</v>
      </c>
      <c r="I261" s="2217"/>
      <c r="J261" s="2217"/>
      <c r="K261" s="794" t="s">
        <v>2926</v>
      </c>
      <c r="L261" s="2204">
        <f>'Part II-Development Team'!L66</f>
        <v>0</v>
      </c>
      <c r="M261" s="2217"/>
      <c r="N261" s="2217"/>
      <c r="O261" s="797" t="s">
        <v>1918</v>
      </c>
      <c r="P261" s="790"/>
      <c r="Q261" s="2238">
        <f>'Part II-Development Team'!Q66</f>
        <v>0</v>
      </c>
      <c r="R261" s="2238"/>
      <c r="S261" s="2238"/>
    </row>
    <row r="262" spans="1:19">
      <c r="A262" s="790"/>
      <c r="B262" s="790"/>
      <c r="C262" s="790"/>
      <c r="D262" s="790"/>
      <c r="E262" s="797" t="s">
        <v>1914</v>
      </c>
      <c r="F262" s="790"/>
      <c r="G262" s="790"/>
      <c r="H262" s="794">
        <f>'Part II-Development Team'!H67</f>
        <v>0</v>
      </c>
      <c r="I262" s="794" t="s">
        <v>3372</v>
      </c>
      <c r="J262" s="2248">
        <f>'Part II-Development Team'!J67</f>
        <v>0</v>
      </c>
      <c r="K262" s="2217"/>
      <c r="L262" s="790"/>
      <c r="M262" s="790"/>
      <c r="N262" s="790"/>
      <c r="O262" s="797" t="s">
        <v>2106</v>
      </c>
      <c r="P262" s="790"/>
      <c r="Q262" s="2238">
        <f>'Part II-Development Team'!Q67</f>
        <v>0</v>
      </c>
      <c r="R262" s="2238"/>
      <c r="S262" s="2238"/>
    </row>
    <row r="263" spans="1:19">
      <c r="A263" s="790"/>
      <c r="B263" s="790"/>
      <c r="C263" s="790"/>
      <c r="D263" s="833"/>
      <c r="E263" s="797" t="s">
        <v>2112</v>
      </c>
      <c r="F263" s="790"/>
      <c r="G263" s="790"/>
      <c r="H263" s="2238">
        <f>'Part II-Development Team'!H68</f>
        <v>0</v>
      </c>
      <c r="I263" s="2238"/>
      <c r="J263" s="802">
        <f>'Part II-Development Team'!J68</f>
        <v>0</v>
      </c>
      <c r="K263" s="794" t="s">
        <v>1917</v>
      </c>
      <c r="L263" s="2239">
        <f>'Part II-Development Team'!L68</f>
        <v>0</v>
      </c>
      <c r="M263" s="2217"/>
      <c r="N263" s="799" t="s">
        <v>2111</v>
      </c>
      <c r="O263" s="2240">
        <f>'Part II-Development Team'!O68</f>
        <v>0</v>
      </c>
      <c r="P263" s="2240"/>
      <c r="Q263" s="2240"/>
      <c r="R263" s="2240"/>
      <c r="S263" s="2240"/>
    </row>
    <row r="264" spans="1:19">
      <c r="A264" s="790"/>
      <c r="B264" s="790"/>
      <c r="C264" s="790"/>
      <c r="D264" s="833"/>
      <c r="E264" s="790"/>
      <c r="F264" s="790"/>
      <c r="G264" s="797"/>
      <c r="H264" s="1051"/>
      <c r="I264" s="1051"/>
      <c r="J264" s="1051"/>
      <c r="K264" s="794"/>
      <c r="L264" s="1051"/>
      <c r="M264" s="1051"/>
      <c r="N264" s="794"/>
      <c r="O264" s="1051"/>
      <c r="P264" s="1051"/>
      <c r="Q264" s="794"/>
      <c r="R264" s="1051"/>
      <c r="S264" s="1051"/>
    </row>
    <row r="265" spans="1:19">
      <c r="A265" s="790"/>
      <c r="B265" s="793" t="s">
        <v>793</v>
      </c>
      <c r="C265" s="793" t="s">
        <v>1626</v>
      </c>
      <c r="D265" s="790"/>
      <c r="E265" s="790"/>
      <c r="F265" s="790"/>
      <c r="G265" s="790"/>
      <c r="H265" s="2204">
        <f>'Part II-Development Team'!H70</f>
        <v>0</v>
      </c>
      <c r="I265" s="2217"/>
      <c r="J265" s="2217"/>
      <c r="K265" s="2217"/>
      <c r="L265" s="2217"/>
      <c r="M265" s="2217"/>
      <c r="N265" s="2217"/>
      <c r="O265" s="797" t="s">
        <v>2117</v>
      </c>
      <c r="P265" s="797"/>
      <c r="Q265" s="2204">
        <f>'Part II-Development Team'!Q70</f>
        <v>0</v>
      </c>
      <c r="R265" s="2217"/>
      <c r="S265" s="2217"/>
    </row>
    <row r="266" spans="1:19">
      <c r="A266" s="790"/>
      <c r="B266" s="790"/>
      <c r="C266" s="790"/>
      <c r="D266" s="833"/>
      <c r="E266" s="797" t="s">
        <v>1077</v>
      </c>
      <c r="F266" s="799"/>
      <c r="G266" s="790"/>
      <c r="H266" s="2204">
        <f>'Part II-Development Team'!H71</f>
        <v>0</v>
      </c>
      <c r="I266" s="2217"/>
      <c r="J266" s="2217"/>
      <c r="K266" s="2217"/>
      <c r="L266" s="2217"/>
      <c r="M266" s="2217"/>
      <c r="N266" s="2217"/>
      <c r="O266" s="797" t="s">
        <v>1861</v>
      </c>
      <c r="P266" s="790"/>
      <c r="Q266" s="2204">
        <f>'Part II-Development Team'!Q71</f>
        <v>0</v>
      </c>
      <c r="R266" s="2217"/>
      <c r="S266" s="2217"/>
    </row>
    <row r="267" spans="1:19">
      <c r="A267" s="790"/>
      <c r="B267" s="790"/>
      <c r="C267" s="790"/>
      <c r="D267" s="833"/>
      <c r="E267" s="797" t="s">
        <v>654</v>
      </c>
      <c r="F267" s="790"/>
      <c r="G267" s="790"/>
      <c r="H267" s="2204">
        <f>'Part II-Development Team'!H72</f>
        <v>0</v>
      </c>
      <c r="I267" s="2217"/>
      <c r="J267" s="2217"/>
      <c r="K267" s="794" t="s">
        <v>2926</v>
      </c>
      <c r="L267" s="2204">
        <f>'Part II-Development Team'!L72</f>
        <v>0</v>
      </c>
      <c r="M267" s="2217"/>
      <c r="N267" s="2217"/>
      <c r="O267" s="797" t="s">
        <v>1918</v>
      </c>
      <c r="P267" s="790"/>
      <c r="Q267" s="2238">
        <f>'Part II-Development Team'!Q72</f>
        <v>0</v>
      </c>
      <c r="R267" s="2238"/>
      <c r="S267" s="2238"/>
    </row>
    <row r="268" spans="1:19">
      <c r="A268" s="790"/>
      <c r="B268" s="790"/>
      <c r="C268" s="790"/>
      <c r="D268" s="790"/>
      <c r="E268" s="797" t="s">
        <v>1914</v>
      </c>
      <c r="F268" s="790"/>
      <c r="G268" s="790"/>
      <c r="H268" s="794">
        <f>'Part II-Development Team'!H73</f>
        <v>0</v>
      </c>
      <c r="I268" s="794" t="s">
        <v>3372</v>
      </c>
      <c r="J268" s="2248">
        <f>'Part II-Development Team'!J73</f>
        <v>0</v>
      </c>
      <c r="K268" s="2217"/>
      <c r="L268" s="790"/>
      <c r="M268" s="790"/>
      <c r="N268" s="790"/>
      <c r="O268" s="797" t="s">
        <v>2106</v>
      </c>
      <c r="P268" s="790"/>
      <c r="Q268" s="2238">
        <f>'Part II-Development Team'!Q73</f>
        <v>0</v>
      </c>
      <c r="R268" s="2238"/>
      <c r="S268" s="2238"/>
    </row>
    <row r="269" spans="1:19">
      <c r="A269" s="790"/>
      <c r="B269" s="790"/>
      <c r="C269" s="790"/>
      <c r="D269" s="833"/>
      <c r="E269" s="797" t="s">
        <v>2112</v>
      </c>
      <c r="F269" s="790"/>
      <c r="G269" s="790"/>
      <c r="H269" s="2238">
        <f>'Part II-Development Team'!H74</f>
        <v>0</v>
      </c>
      <c r="I269" s="2238"/>
      <c r="J269" s="802">
        <f>'Part II-Development Team'!J74</f>
        <v>0</v>
      </c>
      <c r="K269" s="794" t="s">
        <v>1917</v>
      </c>
      <c r="L269" s="2239">
        <f>'Part II-Development Team'!L74</f>
        <v>0</v>
      </c>
      <c r="M269" s="2217"/>
      <c r="N269" s="799" t="s">
        <v>2111</v>
      </c>
      <c r="O269" s="2240">
        <f>'Part II-Development Team'!O74</f>
        <v>0</v>
      </c>
      <c r="P269" s="2240"/>
      <c r="Q269" s="2240"/>
      <c r="R269" s="2240"/>
      <c r="S269" s="2240"/>
    </row>
    <row r="270" spans="1:19">
      <c r="A270" s="795"/>
      <c r="B270" s="795"/>
      <c r="C270" s="795"/>
      <c r="D270" s="795"/>
      <c r="E270" s="795"/>
      <c r="F270" s="795"/>
      <c r="G270" s="795"/>
      <c r="H270" s="1051"/>
      <c r="I270" s="1051"/>
      <c r="J270" s="1051"/>
      <c r="K270" s="794"/>
      <c r="L270" s="1051"/>
      <c r="M270" s="1051"/>
      <c r="N270" s="794"/>
      <c r="O270" s="1051"/>
      <c r="P270" s="1051"/>
      <c r="Q270" s="794"/>
      <c r="R270" s="1051"/>
      <c r="S270" s="1051"/>
    </row>
    <row r="271" spans="1:19">
      <c r="A271" s="790"/>
      <c r="B271" s="793" t="s">
        <v>2245</v>
      </c>
      <c r="C271" s="793" t="s">
        <v>300</v>
      </c>
      <c r="D271" s="790"/>
      <c r="E271" s="790"/>
      <c r="F271" s="790"/>
      <c r="G271" s="790"/>
      <c r="H271" s="2204">
        <f>'Part II-Development Team'!H76</f>
        <v>0</v>
      </c>
      <c r="I271" s="2217"/>
      <c r="J271" s="2217"/>
      <c r="K271" s="2217"/>
      <c r="L271" s="2217"/>
      <c r="M271" s="2217"/>
      <c r="N271" s="2217"/>
      <c r="O271" s="797" t="s">
        <v>2117</v>
      </c>
      <c r="P271" s="797"/>
      <c r="Q271" s="2204">
        <f>'Part II-Development Team'!Q76</f>
        <v>0</v>
      </c>
      <c r="R271" s="2217"/>
      <c r="S271" s="2217"/>
    </row>
    <row r="272" spans="1:19">
      <c r="A272" s="790"/>
      <c r="B272" s="790"/>
      <c r="C272" s="790"/>
      <c r="D272" s="833"/>
      <c r="E272" s="797" t="s">
        <v>1077</v>
      </c>
      <c r="F272" s="799"/>
      <c r="G272" s="790"/>
      <c r="H272" s="2204">
        <f>'Part II-Development Team'!H77</f>
        <v>0</v>
      </c>
      <c r="I272" s="2217"/>
      <c r="J272" s="2217"/>
      <c r="K272" s="2217"/>
      <c r="L272" s="2217"/>
      <c r="M272" s="2217"/>
      <c r="N272" s="2217"/>
      <c r="O272" s="797" t="s">
        <v>1861</v>
      </c>
      <c r="P272" s="790"/>
      <c r="Q272" s="2204">
        <f>'Part II-Development Team'!Q77</f>
        <v>0</v>
      </c>
      <c r="R272" s="2217"/>
      <c r="S272" s="2217"/>
    </row>
    <row r="273" spans="1:19">
      <c r="A273" s="790"/>
      <c r="B273" s="790"/>
      <c r="C273" s="790"/>
      <c r="D273" s="833"/>
      <c r="E273" s="797" t="s">
        <v>654</v>
      </c>
      <c r="F273" s="790"/>
      <c r="G273" s="790"/>
      <c r="H273" s="2204">
        <f>'Part II-Development Team'!H78</f>
        <v>0</v>
      </c>
      <c r="I273" s="2217"/>
      <c r="J273" s="2217"/>
      <c r="K273" s="794" t="s">
        <v>2926</v>
      </c>
      <c r="L273" s="2204">
        <f>'Part II-Development Team'!L78</f>
        <v>0</v>
      </c>
      <c r="M273" s="2217"/>
      <c r="N273" s="2217"/>
      <c r="O273" s="797" t="s">
        <v>1918</v>
      </c>
      <c r="P273" s="790"/>
      <c r="Q273" s="2238">
        <f>'Part II-Development Team'!Q78</f>
        <v>0</v>
      </c>
      <c r="R273" s="2238"/>
      <c r="S273" s="2238"/>
    </row>
    <row r="274" spans="1:19">
      <c r="A274" s="790"/>
      <c r="B274" s="790"/>
      <c r="C274" s="790"/>
      <c r="D274" s="790"/>
      <c r="E274" s="797" t="s">
        <v>1914</v>
      </c>
      <c r="F274" s="790"/>
      <c r="G274" s="790"/>
      <c r="H274" s="794">
        <f>'Part II-Development Team'!H79</f>
        <v>0</v>
      </c>
      <c r="I274" s="794" t="s">
        <v>3372</v>
      </c>
      <c r="J274" s="2248">
        <f>'Part II-Development Team'!J79</f>
        <v>0</v>
      </c>
      <c r="K274" s="2217"/>
      <c r="L274" s="790"/>
      <c r="M274" s="790"/>
      <c r="N274" s="790"/>
      <c r="O274" s="797" t="s">
        <v>2106</v>
      </c>
      <c r="P274" s="790"/>
      <c r="Q274" s="2238">
        <f>'Part II-Development Team'!Q79</f>
        <v>0</v>
      </c>
      <c r="R274" s="2238"/>
      <c r="S274" s="2238"/>
    </row>
    <row r="275" spans="1:19">
      <c r="A275" s="790"/>
      <c r="B275" s="790"/>
      <c r="C275" s="790"/>
      <c r="D275" s="833"/>
      <c r="E275" s="797" t="s">
        <v>2112</v>
      </c>
      <c r="F275" s="790"/>
      <c r="G275" s="790"/>
      <c r="H275" s="2238">
        <f>'Part II-Development Team'!H80</f>
        <v>0</v>
      </c>
      <c r="I275" s="2238"/>
      <c r="J275" s="802">
        <f>'Part II-Development Team'!J80</f>
        <v>0</v>
      </c>
      <c r="K275" s="794" t="s">
        <v>1917</v>
      </c>
      <c r="L275" s="2239">
        <f>'Part II-Development Team'!L80</f>
        <v>0</v>
      </c>
      <c r="M275" s="2217"/>
      <c r="N275" s="799" t="s">
        <v>2111</v>
      </c>
      <c r="O275" s="2240">
        <f>'Part II-Development Team'!O80</f>
        <v>0</v>
      </c>
      <c r="P275" s="2240"/>
      <c r="Q275" s="2240"/>
      <c r="R275" s="2240"/>
      <c r="S275" s="2240"/>
    </row>
    <row r="276" spans="1:19">
      <c r="A276" s="795"/>
      <c r="B276" s="795"/>
      <c r="C276" s="795"/>
      <c r="D276" s="795"/>
      <c r="E276" s="795"/>
      <c r="F276" s="795"/>
      <c r="G276" s="795"/>
      <c r="H276" s="795"/>
      <c r="I276" s="795"/>
      <c r="J276" s="795"/>
      <c r="K276" s="795"/>
      <c r="L276" s="795"/>
      <c r="M276" s="795"/>
      <c r="N276" s="795"/>
      <c r="O276" s="795"/>
      <c r="P276" s="795"/>
      <c r="Q276" s="795"/>
      <c r="R276" s="795"/>
      <c r="S276" s="795"/>
    </row>
    <row r="277" spans="1:19">
      <c r="A277" s="791" t="s">
        <v>786</v>
      </c>
      <c r="B277" s="791" t="s">
        <v>301</v>
      </c>
      <c r="C277" s="797"/>
      <c r="D277" s="791"/>
      <c r="E277" s="797"/>
      <c r="F277" s="791"/>
      <c r="G277" s="791"/>
      <c r="H277" s="791"/>
      <c r="I277" s="791"/>
      <c r="J277" s="791"/>
      <c r="K277" s="791"/>
      <c r="L277" s="791"/>
      <c r="M277" s="791"/>
      <c r="N277" s="797"/>
      <c r="O277" s="797"/>
      <c r="P277" s="797"/>
      <c r="Q277" s="797"/>
      <c r="R277" s="797"/>
      <c r="S277" s="797"/>
    </row>
    <row r="278" spans="1:19">
      <c r="A278" s="791"/>
      <c r="B278" s="791"/>
      <c r="C278" s="797"/>
      <c r="D278" s="791"/>
      <c r="E278" s="797"/>
      <c r="F278" s="791"/>
      <c r="G278" s="791"/>
      <c r="H278" s="1051"/>
      <c r="I278" s="1051"/>
      <c r="J278" s="1051"/>
      <c r="K278" s="794"/>
      <c r="L278" s="1051"/>
      <c r="M278" s="1051"/>
      <c r="N278" s="794"/>
      <c r="O278" s="1051"/>
      <c r="P278" s="1051"/>
      <c r="Q278" s="794"/>
      <c r="R278" s="1051"/>
      <c r="S278" s="1051"/>
    </row>
    <row r="279" spans="1:19">
      <c r="A279" s="790"/>
      <c r="B279" s="793" t="s">
        <v>2110</v>
      </c>
      <c r="C279" s="793" t="s">
        <v>302</v>
      </c>
      <c r="D279" s="790"/>
      <c r="E279" s="790"/>
      <c r="F279" s="790"/>
      <c r="G279" s="790"/>
      <c r="H279" s="2204">
        <f>'Part II-Development Team'!H84</f>
        <v>0</v>
      </c>
      <c r="I279" s="2217"/>
      <c r="J279" s="2217"/>
      <c r="K279" s="2217"/>
      <c r="L279" s="2217"/>
      <c r="M279" s="2217"/>
      <c r="N279" s="2217"/>
      <c r="O279" s="797" t="s">
        <v>2117</v>
      </c>
      <c r="P279" s="797"/>
      <c r="Q279" s="2204">
        <f>'Part II-Development Team'!Q84</f>
        <v>0</v>
      </c>
      <c r="R279" s="2217"/>
      <c r="S279" s="2217"/>
    </row>
    <row r="280" spans="1:19">
      <c r="A280" s="790"/>
      <c r="B280" s="790"/>
      <c r="C280" s="790"/>
      <c r="D280" s="833"/>
      <c r="E280" s="797" t="s">
        <v>1077</v>
      </c>
      <c r="F280" s="799"/>
      <c r="G280" s="790"/>
      <c r="H280" s="2204">
        <f>'Part II-Development Team'!H85</f>
        <v>0</v>
      </c>
      <c r="I280" s="2217"/>
      <c r="J280" s="2217"/>
      <c r="K280" s="2217"/>
      <c r="L280" s="2217"/>
      <c r="M280" s="2217"/>
      <c r="N280" s="2217"/>
      <c r="O280" s="797" t="s">
        <v>1861</v>
      </c>
      <c r="P280" s="790"/>
      <c r="Q280" s="2204">
        <f>'Part II-Development Team'!Q85</f>
        <v>0</v>
      </c>
      <c r="R280" s="2217"/>
      <c r="S280" s="2217"/>
    </row>
    <row r="281" spans="1:19">
      <c r="A281" s="790"/>
      <c r="B281" s="790"/>
      <c r="C281" s="790"/>
      <c r="D281" s="833"/>
      <c r="E281" s="797" t="s">
        <v>654</v>
      </c>
      <c r="F281" s="790"/>
      <c r="G281" s="790"/>
      <c r="H281" s="2204">
        <f>'Part II-Development Team'!H86</f>
        <v>0</v>
      </c>
      <c r="I281" s="2217"/>
      <c r="J281" s="2217"/>
      <c r="K281" s="794" t="s">
        <v>2926</v>
      </c>
      <c r="L281" s="2204">
        <f>'Part II-Development Team'!L86</f>
        <v>0</v>
      </c>
      <c r="M281" s="2217"/>
      <c r="N281" s="2217"/>
      <c r="O281" s="797" t="s">
        <v>1918</v>
      </c>
      <c r="P281" s="790"/>
      <c r="Q281" s="2238">
        <f>'Part II-Development Team'!Q86</f>
        <v>0</v>
      </c>
      <c r="R281" s="2238"/>
      <c r="S281" s="2238"/>
    </row>
    <row r="282" spans="1:19">
      <c r="A282" s="790"/>
      <c r="B282" s="790"/>
      <c r="C282" s="790"/>
      <c r="D282" s="790"/>
      <c r="E282" s="797" t="s">
        <v>1914</v>
      </c>
      <c r="F282" s="790"/>
      <c r="G282" s="790"/>
      <c r="H282" s="794">
        <f>'Part II-Development Team'!H87</f>
        <v>0</v>
      </c>
      <c r="I282" s="794" t="s">
        <v>3372</v>
      </c>
      <c r="J282" s="2248">
        <f>'Part II-Development Team'!J87</f>
        <v>0</v>
      </c>
      <c r="K282" s="2217"/>
      <c r="L282" s="790"/>
      <c r="M282" s="790"/>
      <c r="N282" s="790"/>
      <c r="O282" s="797" t="s">
        <v>2106</v>
      </c>
      <c r="P282" s="790"/>
      <c r="Q282" s="2238">
        <f>'Part II-Development Team'!Q87</f>
        <v>0</v>
      </c>
      <c r="R282" s="2238"/>
      <c r="S282" s="2238"/>
    </row>
    <row r="283" spans="1:19">
      <c r="A283" s="790"/>
      <c r="B283" s="790"/>
      <c r="C283" s="790"/>
      <c r="D283" s="833"/>
      <c r="E283" s="797" t="s">
        <v>2112</v>
      </c>
      <c r="F283" s="790"/>
      <c r="G283" s="790"/>
      <c r="H283" s="2238">
        <f>'Part II-Development Team'!H88</f>
        <v>0</v>
      </c>
      <c r="I283" s="2238"/>
      <c r="J283" s="802">
        <f>'Part II-Development Team'!J88</f>
        <v>0</v>
      </c>
      <c r="K283" s="794" t="s">
        <v>1917</v>
      </c>
      <c r="L283" s="2239">
        <f>'Part II-Development Team'!L88</f>
        <v>0</v>
      </c>
      <c r="M283" s="2217"/>
      <c r="N283" s="799" t="s">
        <v>2111</v>
      </c>
      <c r="O283" s="2240">
        <f>'Part II-Development Team'!O88</f>
        <v>0</v>
      </c>
      <c r="P283" s="2240"/>
      <c r="Q283" s="2240"/>
      <c r="R283" s="2240"/>
      <c r="S283" s="2240"/>
    </row>
    <row r="284" spans="1:19">
      <c r="A284" s="795"/>
      <c r="B284" s="795"/>
      <c r="C284" s="795"/>
      <c r="D284" s="795"/>
      <c r="E284" s="795"/>
      <c r="F284" s="795"/>
      <c r="G284" s="795"/>
      <c r="H284" s="1051"/>
      <c r="I284" s="1051"/>
      <c r="J284" s="1051"/>
      <c r="K284" s="794"/>
      <c r="L284" s="1051"/>
      <c r="M284" s="1051"/>
      <c r="N284" s="794"/>
      <c r="O284" s="1051"/>
      <c r="P284" s="1051"/>
      <c r="Q284" s="794"/>
      <c r="R284" s="1051"/>
      <c r="S284" s="1051"/>
    </row>
    <row r="285" spans="1:19">
      <c r="A285" s="790"/>
      <c r="B285" s="793" t="s">
        <v>2113</v>
      </c>
      <c r="C285" s="793" t="s">
        <v>303</v>
      </c>
      <c r="D285" s="790"/>
      <c r="E285" s="790"/>
      <c r="F285" s="790"/>
      <c r="G285" s="790"/>
      <c r="H285" s="2204" t="str">
        <f>'Part II-Development Team'!H90</f>
        <v>Fairway Construction Co., Inc.</v>
      </c>
      <c r="I285" s="2217"/>
      <c r="J285" s="2217"/>
      <c r="K285" s="2217"/>
      <c r="L285" s="2217"/>
      <c r="M285" s="2217"/>
      <c r="N285" s="2217"/>
      <c r="O285" s="797" t="s">
        <v>2117</v>
      </c>
      <c r="P285" s="797"/>
      <c r="Q285" s="2204" t="str">
        <f>'Part II-Development Team'!Q90</f>
        <v>Will Markel</v>
      </c>
      <c r="R285" s="2217"/>
      <c r="S285" s="2217"/>
    </row>
    <row r="286" spans="1:19">
      <c r="A286" s="790"/>
      <c r="B286" s="790"/>
      <c r="C286" s="790"/>
      <c r="D286" s="833"/>
      <c r="E286" s="797" t="s">
        <v>1077</v>
      </c>
      <c r="F286" s="799"/>
      <c r="G286" s="790"/>
      <c r="H286" s="2204" t="str">
        <f>'Part II-Development Team'!H91</f>
        <v>206 Peach Way</v>
      </c>
      <c r="I286" s="2217"/>
      <c r="J286" s="2217"/>
      <c r="K286" s="2217"/>
      <c r="L286" s="2217"/>
      <c r="M286" s="2217"/>
      <c r="N286" s="2217"/>
      <c r="O286" s="797" t="s">
        <v>1861</v>
      </c>
      <c r="P286" s="790"/>
      <c r="Q286" s="2204" t="str">
        <f>'Part II-Development Team'!Q91</f>
        <v>Executive VP</v>
      </c>
      <c r="R286" s="2217"/>
      <c r="S286" s="2217"/>
    </row>
    <row r="287" spans="1:19">
      <c r="A287" s="790"/>
      <c r="B287" s="790"/>
      <c r="C287" s="790"/>
      <c r="D287" s="833"/>
      <c r="E287" s="797" t="s">
        <v>654</v>
      </c>
      <c r="F287" s="790"/>
      <c r="G287" s="790"/>
      <c r="H287" s="2204" t="str">
        <f>'Part II-Development Team'!H92</f>
        <v>Columbia</v>
      </c>
      <c r="I287" s="2217"/>
      <c r="J287" s="2217"/>
      <c r="K287" s="794" t="s">
        <v>2926</v>
      </c>
      <c r="L287" s="2204" t="str">
        <f>'Part II-Development Team'!L92</f>
        <v>www.fairwayconstruction.net</v>
      </c>
      <c r="M287" s="2217"/>
      <c r="N287" s="2217"/>
      <c r="O287" s="797" t="s">
        <v>1918</v>
      </c>
      <c r="P287" s="790"/>
      <c r="Q287" s="2238">
        <f>'Part II-Development Team'!Q92</f>
        <v>0</v>
      </c>
      <c r="R287" s="2238"/>
      <c r="S287" s="2238"/>
    </row>
    <row r="288" spans="1:19">
      <c r="A288" s="790"/>
      <c r="B288" s="790"/>
      <c r="C288" s="790"/>
      <c r="D288" s="790"/>
      <c r="E288" s="797" t="s">
        <v>1914</v>
      </c>
      <c r="F288" s="790"/>
      <c r="G288" s="790"/>
      <c r="H288" s="794" t="str">
        <f>'Part II-Development Team'!H93</f>
        <v>MO</v>
      </c>
      <c r="I288" s="794" t="s">
        <v>3372</v>
      </c>
      <c r="J288" s="2248">
        <f>'Part II-Development Team'!J93</f>
        <v>652034905</v>
      </c>
      <c r="K288" s="2217"/>
      <c r="L288" s="790"/>
      <c r="M288" s="790"/>
      <c r="N288" s="790"/>
      <c r="O288" s="797" t="s">
        <v>2106</v>
      </c>
      <c r="P288" s="790"/>
      <c r="Q288" s="2238">
        <f>'Part II-Development Team'!Q93</f>
        <v>0</v>
      </c>
      <c r="R288" s="2238"/>
      <c r="S288" s="2238"/>
    </row>
    <row r="289" spans="1:19">
      <c r="A289" s="790"/>
      <c r="B289" s="790"/>
      <c r="C289" s="790"/>
      <c r="D289" s="833"/>
      <c r="E289" s="797" t="s">
        <v>2112</v>
      </c>
      <c r="F289" s="790"/>
      <c r="G289" s="790"/>
      <c r="H289" s="2238">
        <f>'Part II-Development Team'!H94</f>
        <v>5734432021</v>
      </c>
      <c r="I289" s="2238"/>
      <c r="J289" s="802">
        <f>'Part II-Development Team'!J94</f>
        <v>0</v>
      </c>
      <c r="K289" s="794" t="s">
        <v>1917</v>
      </c>
      <c r="L289" s="2239">
        <f>'Part II-Development Team'!L94</f>
        <v>5732563215</v>
      </c>
      <c r="M289" s="2217"/>
      <c r="N289" s="799" t="s">
        <v>2111</v>
      </c>
      <c r="O289" s="2240" t="str">
        <f>'Part II-Development Team'!O94</f>
        <v>ichomat@fairwayconstruction.net</v>
      </c>
      <c r="P289" s="2240"/>
      <c r="Q289" s="2240"/>
      <c r="R289" s="2240"/>
      <c r="S289" s="2240"/>
    </row>
    <row r="290" spans="1:19">
      <c r="A290" s="795"/>
      <c r="B290" s="795"/>
      <c r="C290" s="795"/>
      <c r="D290" s="795"/>
      <c r="E290" s="795"/>
      <c r="F290" s="795"/>
      <c r="G290" s="795"/>
      <c r="H290" s="1051"/>
      <c r="I290" s="1051"/>
      <c r="J290" s="1051"/>
      <c r="K290" s="794"/>
      <c r="L290" s="1051"/>
      <c r="M290" s="1051"/>
      <c r="N290" s="794"/>
      <c r="O290" s="1051"/>
      <c r="P290" s="1051"/>
      <c r="Q290" s="794"/>
      <c r="R290" s="1051"/>
      <c r="S290" s="1051"/>
    </row>
    <row r="291" spans="1:19">
      <c r="A291" s="790"/>
      <c r="B291" s="793" t="s">
        <v>793</v>
      </c>
      <c r="C291" s="793" t="s">
        <v>304</v>
      </c>
      <c r="D291" s="790"/>
      <c r="E291" s="790"/>
      <c r="F291" s="795"/>
      <c r="G291" s="790"/>
      <c r="H291" s="2204" t="str">
        <f>'Part II-Development Team'!H96</f>
        <v>Gateway Management Company, LLC</v>
      </c>
      <c r="I291" s="2217"/>
      <c r="J291" s="2217"/>
      <c r="K291" s="2217"/>
      <c r="L291" s="2217"/>
      <c r="M291" s="2217"/>
      <c r="N291" s="2217"/>
      <c r="O291" s="797" t="s">
        <v>2117</v>
      </c>
      <c r="P291" s="797"/>
      <c r="Q291" s="2204" t="str">
        <f>'Part II-Development Team'!Q96</f>
        <v>Allan Rappuhn</v>
      </c>
      <c r="R291" s="2217"/>
      <c r="S291" s="2217"/>
    </row>
    <row r="292" spans="1:19">
      <c r="A292" s="790"/>
      <c r="B292" s="790"/>
      <c r="C292" s="790"/>
      <c r="D292" s="833"/>
      <c r="E292" s="797" t="s">
        <v>1077</v>
      </c>
      <c r="F292" s="799"/>
      <c r="G292" s="790"/>
      <c r="H292" s="2204" t="str">
        <f>'Part II-Development Team'!H97</f>
        <v>200 Cahaba Circle, Suite 116</v>
      </c>
      <c r="I292" s="2217"/>
      <c r="J292" s="2217"/>
      <c r="K292" s="2217"/>
      <c r="L292" s="2217"/>
      <c r="M292" s="2217"/>
      <c r="N292" s="2217"/>
      <c r="O292" s="797" t="s">
        <v>1861</v>
      </c>
      <c r="P292" s="790"/>
      <c r="Q292" s="2204" t="str">
        <f>'Part II-Development Team'!Q97</f>
        <v>Managing Member</v>
      </c>
      <c r="R292" s="2217"/>
      <c r="S292" s="2217"/>
    </row>
    <row r="293" spans="1:19">
      <c r="A293" s="790"/>
      <c r="B293" s="790"/>
      <c r="C293" s="790"/>
      <c r="D293" s="833"/>
      <c r="E293" s="797" t="s">
        <v>654</v>
      </c>
      <c r="F293" s="790"/>
      <c r="G293" s="790"/>
      <c r="H293" s="2204" t="str">
        <f>'Part II-Development Team'!H98</f>
        <v>Birmingham</v>
      </c>
      <c r="I293" s="2217"/>
      <c r="J293" s="2217"/>
      <c r="K293" s="794" t="s">
        <v>2926</v>
      </c>
      <c r="L293" s="2204" t="str">
        <f>'Part II-Development Team'!L98</f>
        <v>www.thegatewaycompanies.com</v>
      </c>
      <c r="M293" s="2217"/>
      <c r="N293" s="2217"/>
      <c r="O293" s="797" t="s">
        <v>1918</v>
      </c>
      <c r="P293" s="790"/>
      <c r="Q293" s="2238">
        <f>'Part II-Development Team'!Q98</f>
        <v>0</v>
      </c>
      <c r="R293" s="2238"/>
      <c r="S293" s="2238"/>
    </row>
    <row r="294" spans="1:19">
      <c r="A294" s="790"/>
      <c r="B294" s="790"/>
      <c r="C294" s="790"/>
      <c r="D294" s="833"/>
      <c r="E294" s="797" t="s">
        <v>1914</v>
      </c>
      <c r="F294" s="790"/>
      <c r="G294" s="790"/>
      <c r="H294" s="794" t="str">
        <f>'Part II-Development Team'!H99</f>
        <v>AL</v>
      </c>
      <c r="I294" s="794" t="s">
        <v>3372</v>
      </c>
      <c r="J294" s="2248">
        <f>'Part II-Development Team'!J99</f>
        <v>352425041</v>
      </c>
      <c r="K294" s="2217"/>
      <c r="L294" s="790"/>
      <c r="M294" s="790"/>
      <c r="N294" s="790"/>
      <c r="O294" s="797" t="s">
        <v>2106</v>
      </c>
      <c r="P294" s="790"/>
      <c r="Q294" s="2238">
        <f>'Part II-Development Team'!Q99</f>
        <v>2563354030</v>
      </c>
      <c r="R294" s="2238"/>
      <c r="S294" s="2238"/>
    </row>
    <row r="295" spans="1:19">
      <c r="A295" s="790"/>
      <c r="B295" s="790"/>
      <c r="C295" s="790"/>
      <c r="D295" s="833"/>
      <c r="E295" s="797" t="s">
        <v>2112</v>
      </c>
      <c r="F295" s="790"/>
      <c r="G295" s="790"/>
      <c r="H295" s="2238">
        <f>'Part II-Development Team'!H100</f>
        <v>2059803245</v>
      </c>
      <c r="I295" s="2238"/>
      <c r="J295" s="802">
        <f>'Part II-Development Team'!J100</f>
        <v>0</v>
      </c>
      <c r="K295" s="794" t="s">
        <v>1917</v>
      </c>
      <c r="L295" s="2239">
        <f>'Part II-Development Team'!L100</f>
        <v>2056370603</v>
      </c>
      <c r="M295" s="2217"/>
      <c r="N295" s="799" t="s">
        <v>2111</v>
      </c>
      <c r="O295" s="2240" t="str">
        <f>'Part II-Development Team'!O100</f>
        <v>rfleece@gatewaymgt.com</v>
      </c>
      <c r="P295" s="2240"/>
      <c r="Q295" s="2240"/>
      <c r="R295" s="2240"/>
      <c r="S295" s="2240"/>
    </row>
    <row r="296" spans="1:19">
      <c r="A296" s="795"/>
      <c r="B296" s="795"/>
      <c r="C296" s="795"/>
      <c r="D296" s="795"/>
      <c r="E296" s="795"/>
      <c r="F296" s="795"/>
      <c r="G296" s="795"/>
      <c r="H296" s="1051"/>
      <c r="I296" s="1051"/>
      <c r="J296" s="1051"/>
      <c r="K296" s="794"/>
      <c r="L296" s="1051"/>
      <c r="M296" s="1051"/>
      <c r="N296" s="794"/>
      <c r="O296" s="1051"/>
      <c r="P296" s="1051"/>
      <c r="Q296" s="794"/>
      <c r="R296" s="1051"/>
      <c r="S296" s="1051"/>
    </row>
    <row r="297" spans="1:19">
      <c r="A297" s="790"/>
      <c r="B297" s="793" t="s">
        <v>2245</v>
      </c>
      <c r="C297" s="793" t="s">
        <v>305</v>
      </c>
      <c r="D297" s="790"/>
      <c r="E297" s="790"/>
      <c r="F297" s="790"/>
      <c r="G297" s="790"/>
      <c r="H297" s="2204" t="str">
        <f>'Part II-Development Team'!H102</f>
        <v>Coleman Talley</v>
      </c>
      <c r="I297" s="2217"/>
      <c r="J297" s="2217"/>
      <c r="K297" s="2217"/>
      <c r="L297" s="2217"/>
      <c r="M297" s="2217"/>
      <c r="N297" s="2217"/>
      <c r="O297" s="797" t="s">
        <v>2117</v>
      </c>
      <c r="P297" s="797"/>
      <c r="Q297" s="2204" t="str">
        <f>'Part II-Development Team'!Q102</f>
        <v>Thompson Kurrie, Jr.</v>
      </c>
      <c r="R297" s="2217"/>
      <c r="S297" s="2217"/>
    </row>
    <row r="298" spans="1:19">
      <c r="A298" s="790"/>
      <c r="B298" s="790"/>
      <c r="C298" s="790"/>
      <c r="D298" s="833"/>
      <c r="E298" s="797" t="s">
        <v>1077</v>
      </c>
      <c r="F298" s="799"/>
      <c r="G298" s="790"/>
      <c r="H298" s="2204" t="str">
        <f>'Part II-Development Team'!H103</f>
        <v>3475 Lenox Road</v>
      </c>
      <c r="I298" s="2217"/>
      <c r="J298" s="2217"/>
      <c r="K298" s="2217"/>
      <c r="L298" s="2217"/>
      <c r="M298" s="2217"/>
      <c r="N298" s="2217"/>
      <c r="O298" s="797" t="s">
        <v>1861</v>
      </c>
      <c r="P298" s="790"/>
      <c r="Q298" s="2204" t="str">
        <f>'Part II-Development Team'!Q103</f>
        <v>Managing Partner</v>
      </c>
      <c r="R298" s="2217"/>
      <c r="S298" s="2217"/>
    </row>
    <row r="299" spans="1:19">
      <c r="A299" s="790"/>
      <c r="B299" s="790"/>
      <c r="C299" s="790"/>
      <c r="D299" s="833"/>
      <c r="E299" s="797" t="s">
        <v>654</v>
      </c>
      <c r="F299" s="790"/>
      <c r="G299" s="790"/>
      <c r="H299" s="2204" t="str">
        <f>'Part II-Development Team'!H104</f>
        <v>Atlanta</v>
      </c>
      <c r="I299" s="2217"/>
      <c r="J299" s="2217"/>
      <c r="K299" s="794" t="s">
        <v>2926</v>
      </c>
      <c r="L299" s="2204" t="str">
        <f>'Part II-Development Team'!L104</f>
        <v>www.colemantalley.com</v>
      </c>
      <c r="M299" s="2217"/>
      <c r="N299" s="2217"/>
      <c r="O299" s="797" t="s">
        <v>1918</v>
      </c>
      <c r="P299" s="790"/>
      <c r="Q299" s="2238">
        <f>'Part II-Development Team'!Q104</f>
        <v>6789870936</v>
      </c>
      <c r="R299" s="2238"/>
      <c r="S299" s="2238"/>
    </row>
    <row r="300" spans="1:19">
      <c r="A300" s="790"/>
      <c r="B300" s="790"/>
      <c r="C300" s="790"/>
      <c r="D300" s="833"/>
      <c r="E300" s="797" t="s">
        <v>1914</v>
      </c>
      <c r="F300" s="790"/>
      <c r="G300" s="790"/>
      <c r="H300" s="794" t="str">
        <f>'Part II-Development Team'!H105</f>
        <v>GA</v>
      </c>
      <c r="I300" s="794" t="s">
        <v>3372</v>
      </c>
      <c r="J300" s="2248">
        <f>'Part II-Development Team'!J105</f>
        <v>303293227</v>
      </c>
      <c r="K300" s="2217"/>
      <c r="L300" s="790"/>
      <c r="M300" s="790"/>
      <c r="N300" s="790"/>
      <c r="O300" s="797" t="s">
        <v>2106</v>
      </c>
      <c r="P300" s="790"/>
      <c r="Q300" s="2238">
        <f>'Part II-Development Team'!Q105</f>
        <v>0</v>
      </c>
      <c r="R300" s="2238"/>
      <c r="S300" s="2238"/>
    </row>
    <row r="301" spans="1:19">
      <c r="A301" s="795"/>
      <c r="B301" s="795"/>
      <c r="C301" s="795"/>
      <c r="D301" s="795"/>
      <c r="E301" s="797" t="s">
        <v>2112</v>
      </c>
      <c r="F301" s="790"/>
      <c r="G301" s="790"/>
      <c r="H301" s="2238">
        <f>'Part II-Development Team'!H106</f>
        <v>6789870936</v>
      </c>
      <c r="I301" s="2238"/>
      <c r="J301" s="802">
        <f>'Part II-Development Team'!J106</f>
        <v>0</v>
      </c>
      <c r="K301" s="794" t="s">
        <v>1917</v>
      </c>
      <c r="L301" s="2239">
        <f>'Part II-Development Team'!L106</f>
        <v>7706989729</v>
      </c>
      <c r="M301" s="2217"/>
      <c r="N301" s="799" t="s">
        <v>2111</v>
      </c>
      <c r="O301" s="2240" t="str">
        <f>'Part II-Development Team'!O106</f>
        <v>tom.kurrie@colemantalley.com</v>
      </c>
      <c r="P301" s="2240"/>
      <c r="Q301" s="2240"/>
      <c r="R301" s="2240"/>
      <c r="S301" s="2240"/>
    </row>
    <row r="302" spans="1:19">
      <c r="A302" s="795"/>
      <c r="B302" s="795"/>
      <c r="C302" s="795"/>
      <c r="D302" s="795"/>
      <c r="E302" s="797"/>
      <c r="F302" s="790"/>
      <c r="G302" s="790"/>
      <c r="H302" s="790"/>
      <c r="I302" s="790"/>
      <c r="J302" s="790"/>
      <c r="K302" s="790"/>
      <c r="L302" s="790"/>
      <c r="M302" s="790"/>
      <c r="N302" s="790"/>
      <c r="O302" s="790"/>
      <c r="P302" s="790"/>
      <c r="Q302" s="794"/>
      <c r="R302" s="794"/>
      <c r="S302" s="795"/>
    </row>
    <row r="303" spans="1:19">
      <c r="A303" s="795"/>
      <c r="B303" s="795"/>
      <c r="C303" s="795"/>
      <c r="D303" s="795"/>
      <c r="E303" s="797"/>
      <c r="F303" s="790"/>
      <c r="G303" s="790"/>
      <c r="H303" s="1051"/>
      <c r="I303" s="1051"/>
      <c r="J303" s="1051"/>
      <c r="K303" s="794"/>
      <c r="L303" s="1051"/>
      <c r="M303" s="1051"/>
      <c r="N303" s="794"/>
      <c r="O303" s="1051"/>
      <c r="P303" s="1051"/>
      <c r="Q303" s="794"/>
      <c r="R303" s="1051"/>
      <c r="S303" s="1051"/>
    </row>
    <row r="304" spans="1:19">
      <c r="A304" s="790"/>
      <c r="B304" s="793" t="s">
        <v>1848</v>
      </c>
      <c r="C304" s="793" t="s">
        <v>306</v>
      </c>
      <c r="D304" s="790"/>
      <c r="E304" s="790"/>
      <c r="F304" s="790"/>
      <c r="G304" s="790"/>
      <c r="H304" s="2204" t="str">
        <f>'Part II-Development Team'!H109</f>
        <v>Frost, Cummings, Tidwell Group, LLC</v>
      </c>
      <c r="I304" s="2217"/>
      <c r="J304" s="2217"/>
      <c r="K304" s="2217"/>
      <c r="L304" s="2217"/>
      <c r="M304" s="2217"/>
      <c r="N304" s="2217"/>
      <c r="O304" s="797" t="s">
        <v>2117</v>
      </c>
      <c r="P304" s="797"/>
      <c r="Q304" s="2204" t="str">
        <f>'Part II-Development Team'!Q109</f>
        <v>Barry Tidwell</v>
      </c>
      <c r="R304" s="2217"/>
      <c r="S304" s="2217"/>
    </row>
    <row r="305" spans="1:19">
      <c r="A305" s="790"/>
      <c r="B305" s="790"/>
      <c r="C305" s="790"/>
      <c r="D305" s="833"/>
      <c r="E305" s="797" t="s">
        <v>1077</v>
      </c>
      <c r="F305" s="799"/>
      <c r="G305" s="790"/>
      <c r="H305" s="2204" t="str">
        <f>'Part II-Development Team'!H110</f>
        <v>2001 Park Place North, Suite 900</v>
      </c>
      <c r="I305" s="2217"/>
      <c r="J305" s="2217"/>
      <c r="K305" s="2217"/>
      <c r="L305" s="2217"/>
      <c r="M305" s="2217"/>
      <c r="N305" s="2217"/>
      <c r="O305" s="797" t="s">
        <v>1861</v>
      </c>
      <c r="P305" s="790"/>
      <c r="Q305" s="2204" t="str">
        <f>'Part II-Development Team'!Q110</f>
        <v>Managing Partner</v>
      </c>
      <c r="R305" s="2217"/>
      <c r="S305" s="2217"/>
    </row>
    <row r="306" spans="1:19">
      <c r="A306" s="790"/>
      <c r="B306" s="790"/>
      <c r="C306" s="790"/>
      <c r="D306" s="833"/>
      <c r="E306" s="797" t="s">
        <v>654</v>
      </c>
      <c r="F306" s="790"/>
      <c r="G306" s="790"/>
      <c r="H306" s="2204" t="str">
        <f>'Part II-Development Team'!H111</f>
        <v>Birmingham</v>
      </c>
      <c r="I306" s="2217"/>
      <c r="J306" s="2217"/>
      <c r="K306" s="794" t="s">
        <v>2926</v>
      </c>
      <c r="L306" s="2204" t="str">
        <f>'Part II-Development Team'!L111</f>
        <v>www.thefctgroup.com</v>
      </c>
      <c r="M306" s="2217"/>
      <c r="N306" s="2217"/>
      <c r="O306" s="797" t="s">
        <v>1918</v>
      </c>
      <c r="P306" s="790"/>
      <c r="Q306" s="2238">
        <f>'Part II-Development Team'!Q111</f>
        <v>0</v>
      </c>
      <c r="R306" s="2238"/>
      <c r="S306" s="2238"/>
    </row>
    <row r="307" spans="1:19">
      <c r="A307" s="790"/>
      <c r="B307" s="790"/>
      <c r="C307" s="790"/>
      <c r="D307" s="833"/>
      <c r="E307" s="797" t="s">
        <v>1914</v>
      </c>
      <c r="F307" s="790"/>
      <c r="G307" s="790"/>
      <c r="H307" s="794" t="str">
        <f>'Part II-Development Team'!H112</f>
        <v>AL</v>
      </c>
      <c r="I307" s="794" t="s">
        <v>3372</v>
      </c>
      <c r="J307" s="2248">
        <f>'Part II-Development Team'!J112</f>
        <v>352034803</v>
      </c>
      <c r="K307" s="2217"/>
      <c r="L307" s="790"/>
      <c r="M307" s="790"/>
      <c r="N307" s="790"/>
      <c r="O307" s="797" t="s">
        <v>2106</v>
      </c>
      <c r="P307" s="790"/>
      <c r="Q307" s="2238">
        <f>'Part II-Development Team'!Q112</f>
        <v>0</v>
      </c>
      <c r="R307" s="2238"/>
      <c r="S307" s="2238"/>
    </row>
    <row r="308" spans="1:19">
      <c r="A308" s="795"/>
      <c r="B308" s="795"/>
      <c r="C308" s="795"/>
      <c r="D308" s="795"/>
      <c r="E308" s="797" t="s">
        <v>2112</v>
      </c>
      <c r="F308" s="790"/>
      <c r="G308" s="790"/>
      <c r="H308" s="2238">
        <f>'Part II-Development Team'!H113</f>
        <v>2058221010</v>
      </c>
      <c r="I308" s="2238"/>
      <c r="J308" s="802">
        <f>'Part II-Development Team'!J113</f>
        <v>0</v>
      </c>
      <c r="K308" s="794" t="s">
        <v>1917</v>
      </c>
      <c r="L308" s="2239">
        <f>'Part II-Development Team'!L113</f>
        <v>2059305509</v>
      </c>
      <c r="M308" s="2217"/>
      <c r="N308" s="799" t="s">
        <v>2111</v>
      </c>
      <c r="O308" s="2240" t="str">
        <f>'Part II-Development Team'!O113</f>
        <v>barry.tidwell@thefctgroup.com</v>
      </c>
      <c r="P308" s="2240"/>
      <c r="Q308" s="2240"/>
      <c r="R308" s="2240"/>
      <c r="S308" s="2240"/>
    </row>
    <row r="309" spans="1:19">
      <c r="A309" s="795"/>
      <c r="B309" s="795"/>
      <c r="C309" s="795"/>
      <c r="D309" s="795"/>
      <c r="E309" s="797"/>
      <c r="F309" s="790"/>
      <c r="G309" s="790"/>
      <c r="H309" s="1051"/>
      <c r="I309" s="1051"/>
      <c r="J309" s="1051"/>
      <c r="K309" s="794"/>
      <c r="L309" s="1051"/>
      <c r="M309" s="1051"/>
      <c r="N309" s="794"/>
      <c r="O309" s="1051"/>
      <c r="P309" s="1051"/>
      <c r="Q309" s="794"/>
      <c r="R309" s="1051"/>
      <c r="S309" s="1051"/>
    </row>
    <row r="310" spans="1:19">
      <c r="A310" s="790"/>
      <c r="B310" s="793" t="s">
        <v>1849</v>
      </c>
      <c r="C310" s="793" t="s">
        <v>307</v>
      </c>
      <c r="D310" s="790"/>
      <c r="E310" s="790"/>
      <c r="F310" s="790"/>
      <c r="G310" s="790"/>
      <c r="H310" s="2204" t="str">
        <f>'Part II-Development Team'!H115</f>
        <v>Rosemann &amp; Associates, P.C.</v>
      </c>
      <c r="I310" s="2217"/>
      <c r="J310" s="2217"/>
      <c r="K310" s="2217"/>
      <c r="L310" s="2217"/>
      <c r="M310" s="2217"/>
      <c r="N310" s="2217"/>
      <c r="O310" s="797" t="s">
        <v>2117</v>
      </c>
      <c r="P310" s="797"/>
      <c r="Q310" s="2204" t="str">
        <f>'Part II-Development Team'!Q115</f>
        <v>Donald E. Rosemann</v>
      </c>
      <c r="R310" s="2217"/>
      <c r="S310" s="2217"/>
    </row>
    <row r="311" spans="1:19">
      <c r="A311" s="790"/>
      <c r="B311" s="790"/>
      <c r="C311" s="790"/>
      <c r="D311" s="833"/>
      <c r="E311" s="797" t="s">
        <v>1077</v>
      </c>
      <c r="F311" s="799"/>
      <c r="G311" s="790"/>
      <c r="H311" s="2204" t="str">
        <f>'Part II-Development Team'!H116</f>
        <v>1526 Grand Boulevard</v>
      </c>
      <c r="I311" s="2217"/>
      <c r="J311" s="2217"/>
      <c r="K311" s="2217"/>
      <c r="L311" s="2217"/>
      <c r="M311" s="2217"/>
      <c r="N311" s="2217"/>
      <c r="O311" s="797" t="s">
        <v>1861</v>
      </c>
      <c r="P311" s="790"/>
      <c r="Q311" s="2204" t="str">
        <f>'Part II-Development Team'!Q116</f>
        <v>Principal</v>
      </c>
      <c r="R311" s="2217"/>
      <c r="S311" s="2217"/>
    </row>
    <row r="312" spans="1:19">
      <c r="A312" s="790"/>
      <c r="B312" s="790"/>
      <c r="C312" s="790"/>
      <c r="D312" s="833"/>
      <c r="E312" s="797" t="s">
        <v>654</v>
      </c>
      <c r="F312" s="790"/>
      <c r="G312" s="790"/>
      <c r="H312" s="2204" t="str">
        <f>'Part II-Development Team'!H117</f>
        <v>Kansas City</v>
      </c>
      <c r="I312" s="2217"/>
      <c r="J312" s="2217"/>
      <c r="K312" s="794" t="s">
        <v>2926</v>
      </c>
      <c r="L312" s="2204" t="str">
        <f>'Part II-Development Team'!L117</f>
        <v>www.rosemann.com</v>
      </c>
      <c r="M312" s="2217"/>
      <c r="N312" s="2217"/>
      <c r="O312" s="797" t="s">
        <v>1918</v>
      </c>
      <c r="P312" s="790"/>
      <c r="Q312" s="2238">
        <f>'Part II-Development Team'!Q117</f>
        <v>8164721448</v>
      </c>
      <c r="R312" s="2238"/>
      <c r="S312" s="2238"/>
    </row>
    <row r="313" spans="1:19">
      <c r="A313" s="790"/>
      <c r="B313" s="790"/>
      <c r="C313" s="790"/>
      <c r="D313" s="833"/>
      <c r="E313" s="797" t="s">
        <v>1914</v>
      </c>
      <c r="F313" s="790"/>
      <c r="G313" s="790"/>
      <c r="H313" s="794" t="str">
        <f>'Part II-Development Team'!H118</f>
        <v>MO</v>
      </c>
      <c r="I313" s="794" t="s">
        <v>3372</v>
      </c>
      <c r="J313" s="2248">
        <f>'Part II-Development Team'!J118</f>
        <v>651081404</v>
      </c>
      <c r="K313" s="2217"/>
      <c r="L313" s="790"/>
      <c r="M313" s="790"/>
      <c r="N313" s="790"/>
      <c r="O313" s="797" t="s">
        <v>2106</v>
      </c>
      <c r="P313" s="790"/>
      <c r="Q313" s="2238">
        <f>'Part II-Development Team'!Q118</f>
        <v>0</v>
      </c>
      <c r="R313" s="2238"/>
      <c r="S313" s="2238"/>
    </row>
    <row r="314" spans="1:19">
      <c r="A314" s="790"/>
      <c r="B314" s="790"/>
      <c r="C314" s="790"/>
      <c r="D314" s="833"/>
      <c r="E314" s="797" t="s">
        <v>2112</v>
      </c>
      <c r="F314" s="790"/>
      <c r="G314" s="790"/>
      <c r="H314" s="2238">
        <f>'Part II-Development Team'!H119</f>
        <v>8164721448</v>
      </c>
      <c r="I314" s="2238"/>
      <c r="J314" s="802">
        <f>'Part II-Development Team'!J119</f>
        <v>0</v>
      </c>
      <c r="K314" s="794" t="s">
        <v>1917</v>
      </c>
      <c r="L314" s="2239">
        <f>'Part II-Development Team'!L119</f>
        <v>8164724702</v>
      </c>
      <c r="M314" s="2217"/>
      <c r="N314" s="799" t="s">
        <v>2111</v>
      </c>
      <c r="O314" s="2240" t="str">
        <f>'Part II-Development Team'!O119</f>
        <v>drosemann@rosemann.com</v>
      </c>
      <c r="P314" s="2240"/>
      <c r="Q314" s="2240"/>
      <c r="R314" s="2240"/>
      <c r="S314" s="2240"/>
    </row>
    <row r="315" spans="1:19">
      <c r="A315" s="795"/>
      <c r="B315" s="795"/>
      <c r="C315" s="795"/>
      <c r="D315" s="795"/>
      <c r="E315" s="795"/>
      <c r="F315" s="795"/>
      <c r="G315" s="795"/>
      <c r="H315" s="795"/>
      <c r="I315" s="795"/>
      <c r="J315" s="795"/>
      <c r="K315" s="795"/>
      <c r="L315" s="795"/>
      <c r="M315" s="795"/>
      <c r="N315" s="795"/>
      <c r="O315" s="795"/>
      <c r="P315" s="795"/>
      <c r="Q315" s="795"/>
      <c r="R315" s="795"/>
      <c r="S315" s="795"/>
    </row>
    <row r="316" spans="1:19">
      <c r="A316" s="793" t="s">
        <v>1907</v>
      </c>
      <c r="B316" s="793" t="s">
        <v>2776</v>
      </c>
      <c r="C316" s="790"/>
      <c r="D316" s="790"/>
      <c r="E316" s="790"/>
      <c r="F316" s="793"/>
      <c r="G316" s="794"/>
      <c r="H316" s="794"/>
      <c r="I316" s="794"/>
      <c r="J316" s="794"/>
      <c r="K316" s="794"/>
      <c r="L316" s="794"/>
      <c r="M316" s="794"/>
      <c r="N316" s="794"/>
      <c r="O316" s="794"/>
      <c r="P316" s="794"/>
      <c r="Q316" s="794"/>
      <c r="R316" s="790"/>
      <c r="S316" s="790"/>
    </row>
    <row r="317" spans="1:19">
      <c r="A317" s="793"/>
      <c r="B317" s="793"/>
      <c r="C317" s="790"/>
      <c r="D317" s="790"/>
      <c r="E317" s="790"/>
      <c r="F317" s="793"/>
      <c r="G317" s="794"/>
      <c r="H317" s="794"/>
      <c r="I317" s="794"/>
      <c r="J317" s="794"/>
      <c r="K317" s="794"/>
      <c r="L317" s="794"/>
      <c r="M317" s="794"/>
      <c r="N317" s="794"/>
      <c r="O317" s="794"/>
      <c r="P317" s="794"/>
      <c r="Q317" s="794"/>
      <c r="R317" s="790"/>
      <c r="S317" s="790"/>
    </row>
    <row r="318" spans="1:19">
      <c r="A318" s="795"/>
      <c r="B318" s="793" t="s">
        <v>2110</v>
      </c>
      <c r="C318" s="793" t="s">
        <v>3207</v>
      </c>
      <c r="D318" s="795"/>
      <c r="E318" s="795"/>
      <c r="F318" s="795"/>
      <c r="G318" s="795"/>
      <c r="H318" s="795"/>
      <c r="I318" s="795"/>
      <c r="J318" s="795"/>
      <c r="K318" s="795"/>
      <c r="L318" s="795"/>
      <c r="M318" s="795"/>
      <c r="N318" s="795"/>
      <c r="O318" s="795"/>
      <c r="P318" s="795"/>
      <c r="Q318" s="795"/>
      <c r="R318" s="795"/>
      <c r="S318" s="795"/>
    </row>
    <row r="319" spans="1:19">
      <c r="A319" s="795"/>
      <c r="B319" s="795"/>
      <c r="C319" s="795" t="s">
        <v>3208</v>
      </c>
      <c r="D319" s="795"/>
      <c r="E319" s="795"/>
      <c r="F319" s="795"/>
      <c r="G319" s="795"/>
      <c r="H319" s="802" t="s">
        <v>2672</v>
      </c>
      <c r="I319" s="795" t="s">
        <v>3211</v>
      </c>
      <c r="J319" s="795"/>
      <c r="K319" s="795"/>
      <c r="L319" s="795"/>
      <c r="M319" s="795"/>
      <c r="N319" s="795"/>
      <c r="O319" s="795"/>
      <c r="P319" s="795"/>
      <c r="Q319" s="795"/>
      <c r="R319" s="795"/>
      <c r="S319" s="795"/>
    </row>
    <row r="320" spans="1:19">
      <c r="A320" s="790"/>
      <c r="B320" s="790"/>
      <c r="C320" s="838" t="s">
        <v>2114</v>
      </c>
      <c r="D320" s="790" t="s">
        <v>3209</v>
      </c>
      <c r="E320" s="790"/>
      <c r="F320" s="790"/>
      <c r="G320" s="790"/>
      <c r="H320" s="794" t="str">
        <f>'Part II-Development Team'!H125</f>
        <v>No</v>
      </c>
      <c r="I320" s="2241">
        <f>'Part II-Development Team'!I125</f>
        <v>0</v>
      </c>
      <c r="J320" s="2241"/>
      <c r="K320" s="2241"/>
      <c r="L320" s="2241"/>
      <c r="M320" s="2241"/>
      <c r="N320" s="2241"/>
      <c r="O320" s="2241"/>
      <c r="P320" s="2241"/>
      <c r="Q320" s="2241"/>
      <c r="R320" s="2241"/>
      <c r="S320" s="2241"/>
    </row>
    <row r="321" spans="1:19">
      <c r="A321" s="790"/>
      <c r="B321" s="790"/>
      <c r="C321" s="838" t="s">
        <v>2116</v>
      </c>
      <c r="D321" s="790" t="s">
        <v>3264</v>
      </c>
      <c r="E321" s="790"/>
      <c r="F321" s="790"/>
      <c r="G321" s="790"/>
      <c r="H321" s="794" t="str">
        <f>'Part II-Development Team'!H126</f>
        <v>No</v>
      </c>
      <c r="I321" s="2241">
        <f>'Part II-Development Team'!I126</f>
        <v>0</v>
      </c>
      <c r="J321" s="2241"/>
      <c r="K321" s="2241"/>
      <c r="L321" s="2241"/>
      <c r="M321" s="2241"/>
      <c r="N321" s="2241"/>
      <c r="O321" s="2241"/>
      <c r="P321" s="2241"/>
      <c r="Q321" s="2241"/>
      <c r="R321" s="2241"/>
      <c r="S321" s="2241"/>
    </row>
    <row r="322" spans="1:19">
      <c r="A322" s="790"/>
      <c r="B322" s="790"/>
      <c r="C322" s="838" t="s">
        <v>2698</v>
      </c>
      <c r="D322" s="790" t="s">
        <v>3323</v>
      </c>
      <c r="E322" s="790"/>
      <c r="F322" s="790"/>
      <c r="G322" s="790"/>
      <c r="H322" s="794" t="str">
        <f>'Part II-Development Team'!H127</f>
        <v>No</v>
      </c>
      <c r="I322" s="2241">
        <f>'Part II-Development Team'!I127</f>
        <v>0</v>
      </c>
      <c r="J322" s="2241"/>
      <c r="K322" s="2241"/>
      <c r="L322" s="2241"/>
      <c r="M322" s="2241"/>
      <c r="N322" s="2241"/>
      <c r="O322" s="2241"/>
      <c r="P322" s="2241"/>
      <c r="Q322" s="2241"/>
      <c r="R322" s="2241"/>
      <c r="S322" s="2241"/>
    </row>
    <row r="323" spans="1:19">
      <c r="A323" s="790"/>
      <c r="B323" s="790"/>
      <c r="C323" s="838" t="s">
        <v>1295</v>
      </c>
      <c r="D323" s="790" t="s">
        <v>3265</v>
      </c>
      <c r="E323" s="790"/>
      <c r="F323" s="790"/>
      <c r="G323" s="790"/>
      <c r="H323" s="794" t="str">
        <f>'Part II-Development Team'!H128</f>
        <v>No</v>
      </c>
      <c r="I323" s="2241">
        <f>'Part II-Development Team'!I128</f>
        <v>0</v>
      </c>
      <c r="J323" s="2241"/>
      <c r="K323" s="2241"/>
      <c r="L323" s="2241"/>
      <c r="M323" s="2241"/>
      <c r="N323" s="2241"/>
      <c r="O323" s="2241"/>
      <c r="P323" s="2241"/>
      <c r="Q323" s="2241"/>
      <c r="R323" s="2241"/>
      <c r="S323" s="2241"/>
    </row>
    <row r="324" spans="1:19">
      <c r="A324" s="790"/>
      <c r="B324" s="790"/>
      <c r="C324" s="838" t="s">
        <v>1296</v>
      </c>
      <c r="D324" s="790" t="s">
        <v>3266</v>
      </c>
      <c r="E324" s="790"/>
      <c r="F324" s="790"/>
      <c r="G324" s="790"/>
      <c r="H324" s="794" t="str">
        <f>'Part II-Development Team'!H129</f>
        <v>No</v>
      </c>
      <c r="I324" s="2241">
        <f>'Part II-Development Team'!I129</f>
        <v>0</v>
      </c>
      <c r="J324" s="2241"/>
      <c r="K324" s="2241"/>
      <c r="L324" s="2241"/>
      <c r="M324" s="2241"/>
      <c r="N324" s="2241"/>
      <c r="O324" s="2241"/>
      <c r="P324" s="2241"/>
      <c r="Q324" s="2241"/>
      <c r="R324" s="2241"/>
      <c r="S324" s="2241"/>
    </row>
    <row r="325" spans="1:19">
      <c r="A325" s="790"/>
      <c r="B325" s="790"/>
      <c r="C325" s="838" t="s">
        <v>2006</v>
      </c>
      <c r="D325" s="790" t="s">
        <v>3210</v>
      </c>
      <c r="E325" s="790"/>
      <c r="F325" s="790"/>
      <c r="G325" s="790"/>
      <c r="H325" s="794" t="str">
        <f>'Part II-Development Team'!H130</f>
        <v>No</v>
      </c>
      <c r="I325" s="2241">
        <f>'Part II-Development Team'!I130</f>
        <v>0</v>
      </c>
      <c r="J325" s="2241"/>
      <c r="K325" s="2241"/>
      <c r="L325" s="2241"/>
      <c r="M325" s="2241"/>
      <c r="N325" s="2241"/>
      <c r="O325" s="2241"/>
      <c r="P325" s="2241"/>
      <c r="Q325" s="2241"/>
      <c r="R325" s="2241"/>
      <c r="S325" s="2241"/>
    </row>
    <row r="326" spans="1:19">
      <c r="A326" s="790"/>
      <c r="B326" s="790"/>
      <c r="C326" s="838" t="s">
        <v>530</v>
      </c>
      <c r="D326" s="790" t="s">
        <v>3212</v>
      </c>
      <c r="E326" s="790"/>
      <c r="F326" s="790"/>
      <c r="G326" s="790"/>
      <c r="H326" s="794" t="str">
        <f>'Part II-Development Team'!H131</f>
        <v>No</v>
      </c>
      <c r="I326" s="2241">
        <f>'Part II-Development Team'!I131</f>
        <v>0</v>
      </c>
      <c r="J326" s="2241"/>
      <c r="K326" s="2241"/>
      <c r="L326" s="2241"/>
      <c r="M326" s="2241"/>
      <c r="N326" s="2241"/>
      <c r="O326" s="2241"/>
      <c r="P326" s="2241"/>
      <c r="Q326" s="2241"/>
      <c r="R326" s="2241"/>
      <c r="S326" s="2241"/>
    </row>
    <row r="327" spans="1:19">
      <c r="A327" s="790"/>
      <c r="B327" s="790"/>
      <c r="C327" s="838" t="s">
        <v>531</v>
      </c>
      <c r="D327" s="790" t="s">
        <v>1701</v>
      </c>
      <c r="E327" s="790"/>
      <c r="F327" s="790"/>
      <c r="G327" s="790"/>
      <c r="H327" s="794" t="str">
        <f>'Part II-Development Team'!H132</f>
        <v>Yes</v>
      </c>
      <c r="I327" s="2241" t="str">
        <f>'Part II-Development Team'!I132</f>
        <v>There's an IOI between the General Contractor, and the Federal and State Limited Partners, same principal.</v>
      </c>
      <c r="J327" s="2241"/>
      <c r="K327" s="2241"/>
      <c r="L327" s="2241"/>
      <c r="M327" s="2241"/>
      <c r="N327" s="2241"/>
      <c r="O327" s="2241"/>
      <c r="P327" s="2241"/>
      <c r="Q327" s="2241"/>
      <c r="R327" s="2241"/>
      <c r="S327" s="2241"/>
    </row>
    <row r="328" spans="1:19">
      <c r="A328" s="793" t="s">
        <v>1907</v>
      </c>
      <c r="B328" s="793" t="s">
        <v>3374</v>
      </c>
      <c r="C328" s="790"/>
      <c r="D328" s="790"/>
      <c r="E328" s="790"/>
      <c r="F328" s="793"/>
      <c r="G328" s="794"/>
      <c r="H328" s="794"/>
      <c r="I328" s="794"/>
      <c r="J328" s="794"/>
      <c r="K328" s="794"/>
      <c r="L328" s="794"/>
      <c r="M328" s="794"/>
      <c r="N328" s="794"/>
      <c r="O328" s="794"/>
      <c r="P328" s="794"/>
      <c r="Q328" s="794"/>
      <c r="R328" s="790"/>
      <c r="S328" s="790"/>
    </row>
    <row r="329" spans="1:19">
      <c r="A329" s="793"/>
      <c r="B329" s="793"/>
      <c r="C329" s="790"/>
      <c r="D329" s="790"/>
      <c r="E329" s="790"/>
      <c r="F329" s="793"/>
      <c r="G329" s="794"/>
      <c r="H329" s="794"/>
      <c r="I329" s="794"/>
      <c r="J329" s="794"/>
      <c r="K329" s="794"/>
      <c r="L329" s="794"/>
      <c r="M329" s="794"/>
      <c r="N329" s="794"/>
      <c r="O329" s="794"/>
      <c r="P329" s="794"/>
      <c r="Q329" s="794"/>
      <c r="R329" s="790"/>
      <c r="S329" s="790"/>
    </row>
    <row r="330" spans="1:19">
      <c r="A330" s="795"/>
      <c r="B330" s="793" t="s">
        <v>2113</v>
      </c>
      <c r="C330" s="793" t="s">
        <v>3213</v>
      </c>
      <c r="D330" s="795"/>
      <c r="E330" s="795"/>
      <c r="F330" s="795"/>
      <c r="G330" s="795"/>
      <c r="H330" s="795"/>
      <c r="I330" s="795"/>
      <c r="J330" s="795"/>
      <c r="K330" s="795"/>
      <c r="L330" s="795"/>
      <c r="M330" s="795"/>
      <c r="N330" s="795"/>
      <c r="O330" s="795"/>
      <c r="P330" s="795"/>
      <c r="Q330" s="795"/>
      <c r="R330" s="795"/>
      <c r="S330" s="795"/>
    </row>
    <row r="331" spans="1:19">
      <c r="A331" s="793"/>
      <c r="B331" s="793"/>
      <c r="C331" s="790"/>
      <c r="D331" s="790"/>
      <c r="E331" s="790"/>
      <c r="F331" s="793"/>
      <c r="G331" s="794"/>
      <c r="H331" s="794"/>
      <c r="I331" s="794"/>
      <c r="J331" s="794"/>
      <c r="K331" s="794"/>
      <c r="L331" s="794"/>
      <c r="M331" s="794"/>
      <c r="N331" s="794"/>
      <c r="O331" s="794"/>
      <c r="P331" s="794"/>
      <c r="Q331" s="794"/>
      <c r="R331" s="790"/>
      <c r="S331" s="790"/>
    </row>
    <row r="332" spans="1:19">
      <c r="A332" s="2193" t="s">
        <v>676</v>
      </c>
      <c r="B332" s="2193"/>
      <c r="C332" s="2193"/>
      <c r="D332" s="2193"/>
      <c r="E332" s="2193"/>
      <c r="F332" s="2242" t="s">
        <v>3317</v>
      </c>
      <c r="G332" s="2242"/>
      <c r="H332" s="2243" t="s">
        <v>3375</v>
      </c>
      <c r="I332" s="2243"/>
      <c r="J332" s="2243"/>
      <c r="K332" s="2243"/>
      <c r="L332" s="2244" t="s">
        <v>3376</v>
      </c>
      <c r="M332" s="2244"/>
      <c r="N332" s="2244"/>
      <c r="O332" s="2244"/>
      <c r="P332" s="2244" t="s">
        <v>3377</v>
      </c>
      <c r="Q332" s="2170"/>
      <c r="R332" s="2244" t="s">
        <v>3378</v>
      </c>
      <c r="S332" s="2245"/>
    </row>
    <row r="333" spans="1:19">
      <c r="A333" s="2193"/>
      <c r="B333" s="2193"/>
      <c r="C333" s="2193"/>
      <c r="D333" s="2193"/>
      <c r="E333" s="2193"/>
      <c r="F333" s="2242"/>
      <c r="G333" s="2242"/>
      <c r="H333" s="2243"/>
      <c r="I333" s="2243"/>
      <c r="J333" s="2243"/>
      <c r="K333" s="2243"/>
      <c r="L333" s="2244"/>
      <c r="M333" s="2244"/>
      <c r="N333" s="2244"/>
      <c r="O333" s="2244"/>
      <c r="P333" s="2170"/>
      <c r="Q333" s="2170"/>
      <c r="R333" s="2244"/>
      <c r="S333" s="2245"/>
    </row>
    <row r="334" spans="1:19">
      <c r="A334" s="2193"/>
      <c r="B334" s="2193"/>
      <c r="C334" s="2193"/>
      <c r="D334" s="2193"/>
      <c r="E334" s="2193"/>
      <c r="F334" s="2242"/>
      <c r="G334" s="2242"/>
      <c r="H334" s="2243"/>
      <c r="I334" s="2243"/>
      <c r="J334" s="2243"/>
      <c r="K334" s="2243"/>
      <c r="L334" s="2244"/>
      <c r="M334" s="2244"/>
      <c r="N334" s="2244"/>
      <c r="O334" s="2244"/>
      <c r="P334" s="2170"/>
      <c r="Q334" s="2170"/>
      <c r="R334" s="2245"/>
      <c r="S334" s="2245"/>
    </row>
    <row r="335" spans="1:19">
      <c r="A335" s="2193"/>
      <c r="B335" s="2193"/>
      <c r="C335" s="2193"/>
      <c r="D335" s="2193"/>
      <c r="E335" s="2193"/>
      <c r="F335" s="2242"/>
      <c r="G335" s="2242"/>
      <c r="H335" s="2243"/>
      <c r="I335" s="2243"/>
      <c r="J335" s="2243"/>
      <c r="K335" s="2243"/>
      <c r="L335" s="2244"/>
      <c r="M335" s="2244"/>
      <c r="N335" s="2244"/>
      <c r="O335" s="2244"/>
      <c r="P335" s="2170"/>
      <c r="Q335" s="2170"/>
      <c r="R335" s="2245"/>
      <c r="S335" s="2245"/>
    </row>
    <row r="336" spans="1:19">
      <c r="A336" s="2193"/>
      <c r="B336" s="2193"/>
      <c r="C336" s="2193"/>
      <c r="D336" s="2193"/>
      <c r="E336" s="2193"/>
      <c r="F336" s="2242"/>
      <c r="G336" s="2242"/>
      <c r="H336" s="2243"/>
      <c r="I336" s="2243"/>
      <c r="J336" s="2243"/>
      <c r="K336" s="2243"/>
      <c r="L336" s="2244"/>
      <c r="M336" s="2244"/>
      <c r="N336" s="2244"/>
      <c r="O336" s="2244"/>
      <c r="P336" s="2170"/>
      <c r="Q336" s="2170"/>
      <c r="R336" s="2245"/>
      <c r="S336" s="2245"/>
    </row>
    <row r="337" spans="1:19">
      <c r="A337" s="2204" t="s">
        <v>3308</v>
      </c>
      <c r="B337" s="2204"/>
      <c r="C337" s="2204"/>
      <c r="D337" s="2204"/>
      <c r="E337" s="2204"/>
      <c r="F337" s="2193" t="str">
        <f>'Part II-Development Team'!F142</f>
        <v>No</v>
      </c>
      <c r="G337" s="2193"/>
      <c r="H337" s="2193" t="str">
        <f>'Part II-Development Team'!H142</f>
        <v>No</v>
      </c>
      <c r="I337" s="2193"/>
      <c r="J337" s="2193"/>
      <c r="K337" s="2193"/>
      <c r="L337" s="2193" t="str">
        <f>'Part II-Development Team'!L142</f>
        <v>No</v>
      </c>
      <c r="M337" s="2193"/>
      <c r="N337" s="2193"/>
      <c r="O337" s="2193"/>
      <c r="P337" s="2235" t="str">
        <f>'Part II-Development Team'!P142</f>
        <v>For Profit</v>
      </c>
      <c r="Q337" s="2235"/>
      <c r="R337" s="2246">
        <f>'Part II-Development Team'!R142</f>
        <v>1E-4</v>
      </c>
      <c r="S337" s="2247"/>
    </row>
    <row r="338" spans="1:19">
      <c r="A338" s="2204" t="s">
        <v>3309</v>
      </c>
      <c r="B338" s="2204"/>
      <c r="C338" s="2204"/>
      <c r="D338" s="2204"/>
      <c r="E338" s="2204"/>
      <c r="F338" s="2193">
        <f>'Part II-Development Team'!F143</f>
        <v>0</v>
      </c>
      <c r="G338" s="2193"/>
      <c r="H338" s="2193">
        <f>'Part II-Development Team'!H143</f>
        <v>0</v>
      </c>
      <c r="I338" s="2193"/>
      <c r="J338" s="2193"/>
      <c r="K338" s="2193"/>
      <c r="L338" s="2193">
        <f>'Part II-Development Team'!L143</f>
        <v>0</v>
      </c>
      <c r="M338" s="2193"/>
      <c r="N338" s="2193"/>
      <c r="O338" s="2193"/>
      <c r="P338" s="2235">
        <f>'Part II-Development Team'!P143</f>
        <v>0</v>
      </c>
      <c r="Q338" s="2235"/>
      <c r="R338" s="2246">
        <f>'Part II-Development Team'!R143</f>
        <v>0</v>
      </c>
      <c r="S338" s="2247"/>
    </row>
    <row r="339" spans="1:19">
      <c r="A339" s="2204" t="s">
        <v>3310</v>
      </c>
      <c r="B339" s="2204"/>
      <c r="C339" s="2204"/>
      <c r="D339" s="2204"/>
      <c r="E339" s="2204"/>
      <c r="F339" s="2193">
        <f>'Part II-Development Team'!F144</f>
        <v>0</v>
      </c>
      <c r="G339" s="2193"/>
      <c r="H339" s="2193">
        <f>'Part II-Development Team'!H144</f>
        <v>0</v>
      </c>
      <c r="I339" s="2193"/>
      <c r="J339" s="2193"/>
      <c r="K339" s="2193"/>
      <c r="L339" s="2193">
        <f>'Part II-Development Team'!L144</f>
        <v>0</v>
      </c>
      <c r="M339" s="2193"/>
      <c r="N339" s="2193"/>
      <c r="O339" s="2193"/>
      <c r="P339" s="2235">
        <f>'Part II-Development Team'!P144</f>
        <v>0</v>
      </c>
      <c r="Q339" s="2235"/>
      <c r="R339" s="2246">
        <f>'Part II-Development Team'!R144</f>
        <v>0</v>
      </c>
      <c r="S339" s="2247"/>
    </row>
    <row r="340" spans="1:19">
      <c r="A340" s="2204" t="s">
        <v>794</v>
      </c>
      <c r="B340" s="2204"/>
      <c r="C340" s="2204"/>
      <c r="D340" s="2204"/>
      <c r="E340" s="2204"/>
      <c r="F340" s="2193" t="str">
        <f>'Part II-Development Team'!F145</f>
        <v>No</v>
      </c>
      <c r="G340" s="2193"/>
      <c r="H340" s="2193" t="str">
        <f>'Part II-Development Team'!H145</f>
        <v>No</v>
      </c>
      <c r="I340" s="2193"/>
      <c r="J340" s="2193"/>
      <c r="K340" s="2193"/>
      <c r="L340" s="2193" t="str">
        <f>'Part II-Development Team'!L145</f>
        <v>No</v>
      </c>
      <c r="M340" s="2193"/>
      <c r="N340" s="2193"/>
      <c r="O340" s="2193"/>
      <c r="P340" s="2235" t="str">
        <f>'Part II-Development Team'!P145</f>
        <v>For Profit</v>
      </c>
      <c r="Q340" s="2235"/>
      <c r="R340" s="2246">
        <f>'Part II-Development Team'!R145</f>
        <v>0.99980000000000002</v>
      </c>
      <c r="S340" s="2247"/>
    </row>
    <row r="341" spans="1:19">
      <c r="A341" s="2204" t="s">
        <v>795</v>
      </c>
      <c r="B341" s="2204"/>
      <c r="C341" s="2204"/>
      <c r="D341" s="2204"/>
      <c r="E341" s="2204"/>
      <c r="F341" s="2193" t="str">
        <f>'Part II-Development Team'!F146</f>
        <v>No</v>
      </c>
      <c r="G341" s="2193"/>
      <c r="H341" s="2193" t="str">
        <f>'Part II-Development Team'!H146</f>
        <v>No</v>
      </c>
      <c r="I341" s="2193"/>
      <c r="J341" s="2193"/>
      <c r="K341" s="2193"/>
      <c r="L341" s="2193" t="str">
        <f>'Part II-Development Team'!L146</f>
        <v>No</v>
      </c>
      <c r="M341" s="2193"/>
      <c r="N341" s="2193"/>
      <c r="O341" s="2193"/>
      <c r="P341" s="2235" t="str">
        <f>'Part II-Development Team'!P146</f>
        <v>For Profit</v>
      </c>
      <c r="Q341" s="2235"/>
      <c r="R341" s="2246">
        <f>'Part II-Development Team'!R146</f>
        <v>1E-4</v>
      </c>
      <c r="S341" s="2247"/>
    </row>
    <row r="342" spans="1:19">
      <c r="A342" s="2204" t="s">
        <v>3311</v>
      </c>
      <c r="B342" s="2204"/>
      <c r="C342" s="2204"/>
      <c r="D342" s="2204"/>
      <c r="E342" s="2204"/>
      <c r="F342" s="2193">
        <f>'Part II-Development Team'!F147</f>
        <v>0</v>
      </c>
      <c r="G342" s="2193"/>
      <c r="H342" s="2193">
        <f>'Part II-Development Team'!H147</f>
        <v>0</v>
      </c>
      <c r="I342" s="2193"/>
      <c r="J342" s="2193"/>
      <c r="K342" s="2193"/>
      <c r="L342" s="2193">
        <f>'Part II-Development Team'!L147</f>
        <v>0</v>
      </c>
      <c r="M342" s="2193"/>
      <c r="N342" s="2193"/>
      <c r="O342" s="2193"/>
      <c r="P342" s="2235">
        <f>'Part II-Development Team'!P147</f>
        <v>0</v>
      </c>
      <c r="Q342" s="2235"/>
      <c r="R342" s="2246">
        <f>'Part II-Development Team'!R147</f>
        <v>0</v>
      </c>
      <c r="S342" s="2247"/>
    </row>
    <row r="343" spans="1:19">
      <c r="A343" s="2204" t="s">
        <v>692</v>
      </c>
      <c r="B343" s="2204"/>
      <c r="C343" s="2204"/>
      <c r="D343" s="2204"/>
      <c r="E343" s="2204"/>
      <c r="F343" s="2193" t="str">
        <f>'Part II-Development Team'!F148</f>
        <v>No</v>
      </c>
      <c r="G343" s="2193"/>
      <c r="H343" s="2193" t="str">
        <f>'Part II-Development Team'!H148</f>
        <v>No</v>
      </c>
      <c r="I343" s="2193"/>
      <c r="J343" s="2193"/>
      <c r="K343" s="2193"/>
      <c r="L343" s="2193" t="str">
        <f>'Part II-Development Team'!L148</f>
        <v>No</v>
      </c>
      <c r="M343" s="2193"/>
      <c r="N343" s="2193"/>
      <c r="O343" s="2193"/>
      <c r="P343" s="2235" t="str">
        <f>'Part II-Development Team'!P148</f>
        <v>For Profit</v>
      </c>
      <c r="Q343" s="2235"/>
      <c r="R343" s="2246">
        <f>'Part II-Development Team'!R148</f>
        <v>0</v>
      </c>
      <c r="S343" s="2247"/>
    </row>
    <row r="344" spans="1:19">
      <c r="A344" s="2204" t="s">
        <v>3312</v>
      </c>
      <c r="B344" s="2204"/>
      <c r="C344" s="2204"/>
      <c r="D344" s="2204"/>
      <c r="E344" s="2204"/>
      <c r="F344" s="2193">
        <f>'Part II-Development Team'!F149</f>
        <v>0</v>
      </c>
      <c r="G344" s="2193"/>
      <c r="H344" s="2193">
        <f>'Part II-Development Team'!H149</f>
        <v>0</v>
      </c>
      <c r="I344" s="2193"/>
      <c r="J344" s="2193"/>
      <c r="K344" s="2193"/>
      <c r="L344" s="2193">
        <f>'Part II-Development Team'!L149</f>
        <v>0</v>
      </c>
      <c r="M344" s="2193"/>
      <c r="N344" s="2193"/>
      <c r="O344" s="2193"/>
      <c r="P344" s="2235">
        <f>'Part II-Development Team'!P149</f>
        <v>0</v>
      </c>
      <c r="Q344" s="2235"/>
      <c r="R344" s="2246">
        <f>'Part II-Development Team'!R149</f>
        <v>0</v>
      </c>
      <c r="S344" s="2247"/>
    </row>
    <row r="345" spans="1:19">
      <c r="A345" s="2204" t="s">
        <v>3313</v>
      </c>
      <c r="B345" s="2204"/>
      <c r="C345" s="2204"/>
      <c r="D345" s="2204"/>
      <c r="E345" s="2204"/>
      <c r="F345" s="2193">
        <f>'Part II-Development Team'!F150</f>
        <v>0</v>
      </c>
      <c r="G345" s="2193"/>
      <c r="H345" s="2193">
        <f>'Part II-Development Team'!H150</f>
        <v>0</v>
      </c>
      <c r="I345" s="2193"/>
      <c r="J345" s="2193"/>
      <c r="K345" s="2193"/>
      <c r="L345" s="2193">
        <f>'Part II-Development Team'!L150</f>
        <v>0</v>
      </c>
      <c r="M345" s="2193"/>
      <c r="N345" s="2193"/>
      <c r="O345" s="2193"/>
      <c r="P345" s="2235">
        <f>'Part II-Development Team'!P150</f>
        <v>0</v>
      </c>
      <c r="Q345" s="2235"/>
      <c r="R345" s="2246">
        <f>'Part II-Development Team'!R150</f>
        <v>0</v>
      </c>
      <c r="S345" s="2247"/>
    </row>
    <row r="346" spans="1:19">
      <c r="A346" s="2204" t="s">
        <v>3315</v>
      </c>
      <c r="B346" s="2204"/>
      <c r="C346" s="2204"/>
      <c r="D346" s="2204"/>
      <c r="E346" s="2204"/>
      <c r="F346" s="2193">
        <f>'Part II-Development Team'!F151</f>
        <v>0</v>
      </c>
      <c r="G346" s="2193"/>
      <c r="H346" s="2193">
        <f>'Part II-Development Team'!H151</f>
        <v>0</v>
      </c>
      <c r="I346" s="2193"/>
      <c r="J346" s="2193"/>
      <c r="K346" s="2193"/>
      <c r="L346" s="2193">
        <f>'Part II-Development Team'!L151</f>
        <v>0</v>
      </c>
      <c r="M346" s="2193"/>
      <c r="N346" s="2193"/>
      <c r="O346" s="2193"/>
      <c r="P346" s="2235">
        <f>'Part II-Development Team'!P151</f>
        <v>0</v>
      </c>
      <c r="Q346" s="2235"/>
      <c r="R346" s="2246">
        <f>'Part II-Development Team'!R151</f>
        <v>0</v>
      </c>
      <c r="S346" s="2247"/>
    </row>
    <row r="347" spans="1:19">
      <c r="A347" s="2204" t="s">
        <v>3314</v>
      </c>
      <c r="B347" s="2204"/>
      <c r="C347" s="2204"/>
      <c r="D347" s="2204"/>
      <c r="E347" s="2204"/>
      <c r="F347" s="2193">
        <f>'Part II-Development Team'!F152</f>
        <v>0</v>
      </c>
      <c r="G347" s="2193"/>
      <c r="H347" s="2193">
        <f>'Part II-Development Team'!H152</f>
        <v>0</v>
      </c>
      <c r="I347" s="2193"/>
      <c r="J347" s="2193"/>
      <c r="K347" s="2193"/>
      <c r="L347" s="2193">
        <f>'Part II-Development Team'!L152</f>
        <v>0</v>
      </c>
      <c r="M347" s="2193"/>
      <c r="N347" s="2193"/>
      <c r="O347" s="2193"/>
      <c r="P347" s="2235">
        <f>'Part II-Development Team'!P152</f>
        <v>0</v>
      </c>
      <c r="Q347" s="2235"/>
      <c r="R347" s="2246">
        <f>'Part II-Development Team'!R152</f>
        <v>0</v>
      </c>
      <c r="S347" s="2247"/>
    </row>
    <row r="348" spans="1:19">
      <c r="A348" s="2204" t="s">
        <v>1627</v>
      </c>
      <c r="B348" s="2204"/>
      <c r="C348" s="2204"/>
      <c r="D348" s="2204"/>
      <c r="E348" s="2204"/>
      <c r="F348" s="2193" t="str">
        <f>'Part II-Development Team'!F153</f>
        <v>No</v>
      </c>
      <c r="G348" s="2193"/>
      <c r="H348" s="2193" t="str">
        <f>'Part II-Development Team'!H153</f>
        <v>No</v>
      </c>
      <c r="I348" s="2193"/>
      <c r="J348" s="2193"/>
      <c r="K348" s="2193"/>
      <c r="L348" s="2193" t="str">
        <f>'Part II-Development Team'!L153</f>
        <v>No</v>
      </c>
      <c r="M348" s="2193"/>
      <c r="N348" s="2193"/>
      <c r="O348" s="2193"/>
      <c r="P348" s="2235" t="str">
        <f>'Part II-Development Team'!P153</f>
        <v>For Profit</v>
      </c>
      <c r="Q348" s="2235"/>
      <c r="R348" s="2246">
        <f>'Part II-Development Team'!R153</f>
        <v>0</v>
      </c>
      <c r="S348" s="2247"/>
    </row>
    <row r="349" spans="1:19">
      <c r="A349" s="2204" t="s">
        <v>3316</v>
      </c>
      <c r="B349" s="2204"/>
      <c r="C349" s="2204"/>
      <c r="D349" s="2204"/>
      <c r="E349" s="2204"/>
      <c r="F349" s="2193" t="str">
        <f>'Part II-Development Team'!F154</f>
        <v>No</v>
      </c>
      <c r="G349" s="2193"/>
      <c r="H349" s="2193" t="str">
        <f>'Part II-Development Team'!H154</f>
        <v>No</v>
      </c>
      <c r="I349" s="2193"/>
      <c r="J349" s="2193"/>
      <c r="K349" s="2193"/>
      <c r="L349" s="2193" t="str">
        <f>'Part II-Development Team'!L154</f>
        <v>No</v>
      </c>
      <c r="M349" s="2193"/>
      <c r="N349" s="2193"/>
      <c r="O349" s="2193"/>
      <c r="P349" s="2235" t="str">
        <f>'Part II-Development Team'!P154</f>
        <v>For Profit</v>
      </c>
      <c r="Q349" s="2235"/>
      <c r="R349" s="2246">
        <f>'Part II-Development Team'!R154</f>
        <v>0</v>
      </c>
      <c r="S349" s="2247"/>
    </row>
    <row r="350" spans="1:19">
      <c r="A350" s="790"/>
      <c r="B350" s="790"/>
      <c r="C350" s="790"/>
      <c r="D350" s="790"/>
      <c r="E350" s="790"/>
      <c r="F350" s="790"/>
      <c r="G350" s="793"/>
      <c r="H350" s="793"/>
      <c r="I350" s="793"/>
      <c r="J350" s="794"/>
      <c r="K350" s="794"/>
      <c r="L350" s="794"/>
      <c r="M350" s="794"/>
      <c r="N350" s="790"/>
      <c r="O350" s="790"/>
      <c r="P350" s="795"/>
      <c r="Q350" s="839" t="s">
        <v>567</v>
      </c>
      <c r="R350" s="2236">
        <f>SUM(R337:S349)</f>
        <v>1</v>
      </c>
      <c r="S350" s="2237"/>
    </row>
    <row r="351" spans="1:19">
      <c r="A351" s="790"/>
      <c r="B351" s="790"/>
      <c r="C351" s="790"/>
      <c r="D351" s="790"/>
      <c r="E351" s="790"/>
      <c r="F351" s="790"/>
      <c r="G351" s="793"/>
      <c r="H351" s="793"/>
      <c r="I351" s="793"/>
      <c r="J351" s="794"/>
      <c r="K351" s="794"/>
      <c r="L351" s="794"/>
      <c r="M351" s="794"/>
      <c r="N351" s="790"/>
      <c r="O351" s="790"/>
      <c r="P351" s="795"/>
      <c r="Q351" s="790"/>
      <c r="R351" s="789"/>
      <c r="S351" s="840"/>
    </row>
    <row r="352" spans="1:19">
      <c r="A352" s="816" t="s">
        <v>1909</v>
      </c>
      <c r="B352" s="820"/>
      <c r="C352" s="816" t="s">
        <v>603</v>
      </c>
      <c r="D352" s="795"/>
      <c r="E352" s="795"/>
      <c r="F352" s="795"/>
      <c r="G352" s="795"/>
      <c r="H352" s="795"/>
      <c r="I352" s="795"/>
      <c r="J352" s="795"/>
      <c r="K352" s="795"/>
      <c r="L352" s="795"/>
      <c r="M352" s="795"/>
      <c r="N352" s="816" t="s">
        <v>558</v>
      </c>
      <c r="O352" s="816" t="s">
        <v>82</v>
      </c>
      <c r="P352" s="795"/>
      <c r="Q352" s="795"/>
      <c r="R352" s="795"/>
      <c r="S352" s="795"/>
    </row>
    <row r="353" spans="1:19">
      <c r="A353" s="795"/>
      <c r="B353" s="820"/>
      <c r="C353" s="795"/>
      <c r="D353" s="795"/>
      <c r="E353" s="795"/>
      <c r="F353" s="795"/>
      <c r="G353" s="795"/>
      <c r="H353" s="795"/>
      <c r="I353" s="795"/>
      <c r="J353" s="795"/>
      <c r="K353" s="795"/>
      <c r="L353" s="795"/>
      <c r="M353" s="795"/>
      <c r="N353" s="795"/>
      <c r="O353" s="795"/>
      <c r="P353" s="795"/>
      <c r="Q353" s="795"/>
      <c r="R353" s="795"/>
      <c r="S353" s="795"/>
    </row>
    <row r="354" spans="1:19" ht="13.5">
      <c r="A354" s="2171">
        <f>'Part II-Development Team'!A159</f>
        <v>0</v>
      </c>
      <c r="B354" s="2171"/>
      <c r="C354" s="2171"/>
      <c r="D354" s="2171"/>
      <c r="E354" s="2171"/>
      <c r="F354" s="2171"/>
      <c r="G354" s="2171"/>
      <c r="H354" s="2171"/>
      <c r="I354" s="2171"/>
      <c r="J354" s="2171"/>
      <c r="K354" s="2171"/>
      <c r="L354" s="2171"/>
      <c r="M354" s="2171"/>
      <c r="N354" s="2171">
        <f>'Part II-Development Team'!N159</f>
        <v>0</v>
      </c>
      <c r="O354" s="2171"/>
      <c r="P354" s="2171"/>
      <c r="Q354" s="2171"/>
      <c r="R354" s="2171"/>
      <c r="S354" s="2171"/>
    </row>
    <row r="357" spans="1:19">
      <c r="A357" s="2211" t="str">
        <f>CONCATENATE("PART THREE - SOURCES OF FUNDS","  -  ",'Part I-Project Information'!$O$4," ",'Part I-Project Information'!$F$23,", ",'Part I-Project Information'!$F$27,", ",'Part I-Project Information'!$J$28," County")</f>
        <v>PART THREE - SOURCES OF FUNDS  -  2014-028 Highland Estates, Rome, Floyd County</v>
      </c>
      <c r="B357" s="2211"/>
      <c r="C357" s="2211"/>
      <c r="D357" s="2211"/>
      <c r="E357" s="2211"/>
      <c r="F357" s="2211"/>
      <c r="G357" s="2211"/>
      <c r="H357" s="2211"/>
      <c r="I357" s="2211"/>
      <c r="J357" s="2211"/>
      <c r="K357" s="2211"/>
      <c r="L357" s="2211"/>
      <c r="M357" s="2211"/>
      <c r="N357" s="2211"/>
      <c r="O357" s="2211"/>
      <c r="P357" s="2211"/>
      <c r="Q357" s="2211"/>
    </row>
    <row r="358" spans="1:19">
      <c r="A358" s="795"/>
      <c r="B358" s="795"/>
      <c r="C358" s="795"/>
      <c r="D358" s="795"/>
      <c r="E358" s="795"/>
      <c r="F358" s="795"/>
      <c r="G358" s="795"/>
      <c r="H358" s="795"/>
      <c r="I358" s="795"/>
      <c r="J358" s="795"/>
      <c r="K358" s="795"/>
      <c r="L358" s="795"/>
      <c r="M358" s="795"/>
      <c r="N358" s="795"/>
      <c r="O358" s="795"/>
      <c r="P358" s="795"/>
      <c r="Q358" s="795"/>
    </row>
    <row r="359" spans="1:19" ht="13.5">
      <c r="A359" s="793" t="s">
        <v>652</v>
      </c>
      <c r="B359" s="816" t="s">
        <v>2650</v>
      </c>
      <c r="C359" s="790"/>
      <c r="D359" s="790"/>
      <c r="E359" s="790"/>
      <c r="F359" s="790"/>
      <c r="G359" s="790"/>
      <c r="H359" s="834"/>
      <c r="I359" s="834"/>
      <c r="J359" s="790"/>
      <c r="K359" s="834"/>
      <c r="L359" s="834"/>
      <c r="M359" s="790"/>
      <c r="N359" s="790"/>
      <c r="O359" s="834"/>
      <c r="P359" s="834"/>
      <c r="Q359" s="834"/>
    </row>
    <row r="360" spans="1:19" ht="13.5">
      <c r="A360" s="816"/>
      <c r="B360" s="789"/>
      <c r="C360" s="816"/>
      <c r="D360" s="790"/>
      <c r="E360" s="790"/>
      <c r="F360" s="790"/>
      <c r="G360" s="790"/>
      <c r="H360" s="794" t="str">
        <f>'Part III-Sources of Funds'!H4</f>
        <v>No</v>
      </c>
      <c r="I360" s="797" t="s">
        <v>3056</v>
      </c>
      <c r="J360" s="790"/>
      <c r="K360" s="834"/>
      <c r="L360" s="834"/>
      <c r="M360" s="834"/>
      <c r="N360" s="834"/>
      <c r="O360" s="834"/>
      <c r="P360" s="2233">
        <f>'Part III-Sources of Funds'!P4</f>
        <v>0</v>
      </c>
      <c r="Q360" s="2170"/>
    </row>
    <row r="361" spans="1:19" ht="13.5">
      <c r="A361" s="789"/>
      <c r="B361" s="794" t="str">
        <f>'Part III-Sources of Funds'!B5</f>
        <v>Yes</v>
      </c>
      <c r="C361" s="797" t="s">
        <v>2565</v>
      </c>
      <c r="D361" s="790"/>
      <c r="E361" s="794" t="str">
        <f>'Part III-Sources of Funds'!E5</f>
        <v>No</v>
      </c>
      <c r="F361" s="797" t="s">
        <v>579</v>
      </c>
      <c r="G361" s="834"/>
      <c r="H361" s="794" t="str">
        <f>'Part III-Sources of Funds'!H5</f>
        <v>No</v>
      </c>
      <c r="I361" s="790" t="s">
        <v>2784</v>
      </c>
      <c r="J361" s="834"/>
      <c r="K361" s="834"/>
      <c r="L361" s="834"/>
      <c r="M361" s="794" t="str">
        <f>'Part III-Sources of Funds'!M5</f>
        <v>No</v>
      </c>
      <c r="N361" s="797" t="s">
        <v>577</v>
      </c>
      <c r="O361" s="834"/>
      <c r="P361" s="834"/>
      <c r="Q361" s="834"/>
    </row>
    <row r="362" spans="1:19" ht="13.5">
      <c r="A362" s="789"/>
      <c r="B362" s="794" t="str">
        <f>'Part III-Sources of Funds'!B6</f>
        <v>No</v>
      </c>
      <c r="C362" s="797" t="s">
        <v>1919</v>
      </c>
      <c r="D362" s="790"/>
      <c r="E362" s="794" t="str">
        <f>'Part III-Sources of Funds'!E6</f>
        <v>No</v>
      </c>
      <c r="F362" s="790" t="s">
        <v>2782</v>
      </c>
      <c r="G362" s="834"/>
      <c r="H362" s="794" t="str">
        <f>'Part III-Sources of Funds'!H6</f>
        <v>No</v>
      </c>
      <c r="I362" s="797" t="s">
        <v>3074</v>
      </c>
      <c r="J362" s="797"/>
      <c r="K362" s="792"/>
      <c r="L362" s="792"/>
      <c r="M362" s="794" t="str">
        <f>'Part III-Sources of Funds'!M6</f>
        <v>No</v>
      </c>
      <c r="N362" s="797" t="s">
        <v>2783</v>
      </c>
      <c r="O362" s="834"/>
      <c r="P362" s="834"/>
      <c r="Q362" s="827"/>
    </row>
    <row r="363" spans="1:19" ht="13.5">
      <c r="A363" s="790"/>
      <c r="B363" s="794" t="str">
        <f>'Part III-Sources of Funds'!B7</f>
        <v>No</v>
      </c>
      <c r="C363" s="797" t="s">
        <v>1920</v>
      </c>
      <c r="D363" s="834"/>
      <c r="E363" s="794" t="str">
        <f>'Part III-Sources of Funds'!E7</f>
        <v>No</v>
      </c>
      <c r="F363" s="817" t="s">
        <v>2334</v>
      </c>
      <c r="G363" s="790"/>
      <c r="H363" s="794" t="str">
        <f>'Part III-Sources of Funds'!H7</f>
        <v>No</v>
      </c>
      <c r="I363" s="797" t="s">
        <v>1636</v>
      </c>
      <c r="J363" s="792"/>
      <c r="K363" s="834"/>
      <c r="L363" s="834"/>
      <c r="M363" s="794" t="str">
        <f>'Part III-Sources of Funds'!M7</f>
        <v>No</v>
      </c>
      <c r="N363" s="797" t="s">
        <v>3055</v>
      </c>
      <c r="O363" s="834"/>
      <c r="P363" s="2234">
        <f>'Part III-Sources of Funds'!P7</f>
        <v>0</v>
      </c>
      <c r="Q363" s="2234"/>
    </row>
    <row r="364" spans="1:19" ht="13.5">
      <c r="A364" s="789"/>
      <c r="B364" s="794" t="str">
        <f>'Part III-Sources of Funds'!B8</f>
        <v>No</v>
      </c>
      <c r="C364" s="790" t="s">
        <v>2774</v>
      </c>
      <c r="D364" s="790"/>
      <c r="E364" s="794" t="str">
        <f>'Part III-Sources of Funds'!E8</f>
        <v>No</v>
      </c>
      <c r="F364" s="819" t="s">
        <v>2775</v>
      </c>
      <c r="G364" s="834"/>
      <c r="H364" s="794" t="str">
        <f>'Part III-Sources of Funds'!H8</f>
        <v>No</v>
      </c>
      <c r="I364" s="797" t="s">
        <v>578</v>
      </c>
      <c r="J364" s="792"/>
      <c r="K364" s="797"/>
      <c r="L364" s="797"/>
      <c r="M364" s="794" t="str">
        <f>'Part III-Sources of Funds'!M8</f>
        <v>No</v>
      </c>
      <c r="N364" s="2204" t="str">
        <f>'Part III-Sources of Funds'!N8</f>
        <v>Other - describe here</v>
      </c>
      <c r="O364" s="2204"/>
      <c r="P364" s="2204"/>
      <c r="Q364" s="2204"/>
    </row>
    <row r="365" spans="1:19" ht="13.5">
      <c r="A365" s="789"/>
      <c r="B365" s="834" t="s">
        <v>3023</v>
      </c>
      <c r="C365" s="790"/>
      <c r="D365" s="790"/>
      <c r="E365" s="790"/>
      <c r="F365" s="790"/>
      <c r="G365" s="790"/>
      <c r="H365" s="790"/>
      <c r="I365" s="790"/>
      <c r="J365" s="790"/>
      <c r="K365" s="790"/>
      <c r="L365" s="790"/>
      <c r="M365" s="819"/>
      <c r="N365" s="790"/>
      <c r="O365" s="790"/>
      <c r="P365" s="790"/>
      <c r="Q365" s="790"/>
    </row>
    <row r="366" spans="1:19" ht="13.5">
      <c r="A366" s="789"/>
      <c r="B366" s="834"/>
      <c r="C366" s="834"/>
      <c r="D366" s="834"/>
      <c r="E366" s="834"/>
      <c r="F366" s="834"/>
      <c r="G366" s="834"/>
      <c r="H366" s="834"/>
      <c r="I366" s="834"/>
      <c r="J366" s="834"/>
      <c r="K366" s="834"/>
      <c r="L366" s="790"/>
      <c r="M366" s="819"/>
      <c r="N366" s="790"/>
      <c r="O366" s="790"/>
      <c r="P366" s="790"/>
      <c r="Q366" s="790"/>
    </row>
    <row r="367" spans="1:19" ht="13.5">
      <c r="A367" s="793" t="s">
        <v>784</v>
      </c>
      <c r="B367" s="791" t="s">
        <v>2488</v>
      </c>
      <c r="C367" s="790"/>
      <c r="D367" s="790"/>
      <c r="E367" s="790"/>
      <c r="F367" s="790"/>
      <c r="G367" s="790"/>
      <c r="H367" s="834"/>
      <c r="I367" s="834"/>
      <c r="J367" s="793"/>
      <c r="K367" s="790"/>
      <c r="L367" s="790"/>
      <c r="M367" s="790"/>
      <c r="N367" s="2193"/>
      <c r="O367" s="2193"/>
      <c r="P367" s="790"/>
      <c r="Q367" s="790"/>
    </row>
    <row r="368" spans="1:19" ht="13.5">
      <c r="A368" s="793"/>
      <c r="B368" s="791"/>
      <c r="C368" s="790"/>
      <c r="D368" s="832"/>
      <c r="E368" s="832"/>
      <c r="F368" s="832"/>
      <c r="G368" s="832"/>
      <c r="H368" s="832"/>
      <c r="I368" s="832"/>
      <c r="J368" s="832"/>
      <c r="K368" s="790"/>
      <c r="L368" s="790"/>
      <c r="M368" s="790"/>
      <c r="N368" s="794"/>
      <c r="O368" s="794"/>
      <c r="P368" s="790"/>
      <c r="Q368" s="790"/>
    </row>
    <row r="369" spans="1:17">
      <c r="A369" s="790"/>
      <c r="B369" s="797" t="s">
        <v>1993</v>
      </c>
      <c r="C369" s="790"/>
      <c r="D369" s="790"/>
      <c r="E369" s="790"/>
      <c r="F369" s="790"/>
      <c r="G369" s="790"/>
      <c r="H369" s="2204" t="s">
        <v>1377</v>
      </c>
      <c r="I369" s="2204"/>
      <c r="J369" s="2204"/>
      <c r="K369" s="2204"/>
      <c r="L369" s="2193" t="s">
        <v>2118</v>
      </c>
      <c r="M369" s="2193"/>
      <c r="N369" s="2193" t="s">
        <v>1605</v>
      </c>
      <c r="O369" s="2193"/>
      <c r="P369" s="2193" t="s">
        <v>1732</v>
      </c>
      <c r="Q369" s="2193"/>
    </row>
    <row r="370" spans="1:17">
      <c r="A370" s="790"/>
      <c r="B370" s="2218" t="s">
        <v>1690</v>
      </c>
      <c r="C370" s="2218"/>
      <c r="D370" s="2218"/>
      <c r="E370" s="790"/>
      <c r="F370" s="790"/>
      <c r="G370" s="790"/>
      <c r="H370" s="2204" t="str">
        <f>'Part III-Sources of Funds'!H14</f>
        <v>Conventional Construction Loan</v>
      </c>
      <c r="I370" s="2204"/>
      <c r="J370" s="2204"/>
      <c r="K370" s="2204"/>
      <c r="L370" s="2203">
        <f>'Part III-Sources of Funds'!L14</f>
        <v>8365263</v>
      </c>
      <c r="M370" s="2203"/>
      <c r="N370" s="2232">
        <f>'Part III-Sources of Funds'!N14</f>
        <v>0.05</v>
      </c>
      <c r="O370" s="2232"/>
      <c r="P370" s="2200">
        <f>'Part III-Sources of Funds'!P14</f>
        <v>18</v>
      </c>
      <c r="Q370" s="2200"/>
    </row>
    <row r="371" spans="1:17">
      <c r="A371" s="790"/>
      <c r="B371" s="2218" t="s">
        <v>1691</v>
      </c>
      <c r="C371" s="2218"/>
      <c r="D371" s="2218"/>
      <c r="E371" s="790"/>
      <c r="F371" s="790"/>
      <c r="G371" s="790"/>
      <c r="H371" s="2204">
        <f>'Part III-Sources of Funds'!H15</f>
        <v>0</v>
      </c>
      <c r="I371" s="2204"/>
      <c r="J371" s="2204"/>
      <c r="K371" s="2204"/>
      <c r="L371" s="2203">
        <f>'Part III-Sources of Funds'!L15</f>
        <v>0</v>
      </c>
      <c r="M371" s="2203"/>
      <c r="N371" s="2232">
        <f>'Part III-Sources of Funds'!N15</f>
        <v>0</v>
      </c>
      <c r="O371" s="2232"/>
      <c r="P371" s="2200">
        <f>'Part III-Sources of Funds'!P15</f>
        <v>0</v>
      </c>
      <c r="Q371" s="2200"/>
    </row>
    <row r="372" spans="1:17">
      <c r="A372" s="790"/>
      <c r="B372" s="2218" t="s">
        <v>1692</v>
      </c>
      <c r="C372" s="2218"/>
      <c r="D372" s="2218"/>
      <c r="E372" s="790"/>
      <c r="F372" s="790"/>
      <c r="G372" s="790"/>
      <c r="H372" s="2204">
        <f>'Part III-Sources of Funds'!H16</f>
        <v>0</v>
      </c>
      <c r="I372" s="2204"/>
      <c r="J372" s="2204"/>
      <c r="K372" s="2204"/>
      <c r="L372" s="2203">
        <f>'Part III-Sources of Funds'!L16</f>
        <v>0</v>
      </c>
      <c r="M372" s="2203"/>
      <c r="N372" s="2232">
        <f>'Part III-Sources of Funds'!N16</f>
        <v>0</v>
      </c>
      <c r="O372" s="2232"/>
      <c r="P372" s="2200">
        <f>'Part III-Sources of Funds'!P16</f>
        <v>0</v>
      </c>
      <c r="Q372" s="2200"/>
    </row>
    <row r="373" spans="1:17">
      <c r="A373" s="790"/>
      <c r="B373" s="2218" t="s">
        <v>2352</v>
      </c>
      <c r="C373" s="2218"/>
      <c r="D373" s="2218"/>
      <c r="E373" s="790"/>
      <c r="F373" s="790"/>
      <c r="G373" s="790"/>
      <c r="H373" s="2204">
        <f>'Part III-Sources of Funds'!H17</f>
        <v>0</v>
      </c>
      <c r="I373" s="2204"/>
      <c r="J373" s="2204"/>
      <c r="K373" s="2204"/>
      <c r="L373" s="2203">
        <f>'Part III-Sources of Funds'!L17</f>
        <v>0</v>
      </c>
      <c r="M373" s="2203"/>
      <c r="N373" s="2231"/>
      <c r="O373" s="2231"/>
      <c r="P373" s="2193"/>
      <c r="Q373" s="2193"/>
    </row>
    <row r="374" spans="1:17" ht="13.5">
      <c r="A374" s="790"/>
      <c r="B374" s="2218" t="s">
        <v>849</v>
      </c>
      <c r="C374" s="2218"/>
      <c r="D374" s="2218"/>
      <c r="E374" s="790"/>
      <c r="F374" s="834"/>
      <c r="G374" s="834"/>
      <c r="H374" s="2204">
        <f>'Part III-Sources of Funds'!H18</f>
        <v>0</v>
      </c>
      <c r="I374" s="2204"/>
      <c r="J374" s="2204"/>
      <c r="K374" s="2204"/>
      <c r="L374" s="2203">
        <f>'Part III-Sources of Funds'!L18</f>
        <v>0</v>
      </c>
      <c r="M374" s="2203"/>
      <c r="N374" s="2231"/>
      <c r="O374" s="2231"/>
      <c r="P374" s="2193"/>
      <c r="Q374" s="2193"/>
    </row>
    <row r="375" spans="1:17" ht="13.5">
      <c r="A375" s="790"/>
      <c r="B375" s="2218" t="s">
        <v>677</v>
      </c>
      <c r="C375" s="2218"/>
      <c r="D375" s="2218"/>
      <c r="E375" s="790"/>
      <c r="F375" s="834"/>
      <c r="G375" s="834"/>
      <c r="H375" s="2204">
        <f>'Part III-Sources of Funds'!H19</f>
        <v>0</v>
      </c>
      <c r="I375" s="2204"/>
      <c r="J375" s="2204"/>
      <c r="K375" s="2204"/>
      <c r="L375" s="2203">
        <f>'Part III-Sources of Funds'!L19</f>
        <v>0</v>
      </c>
      <c r="M375" s="2203"/>
      <c r="N375" s="2231"/>
      <c r="O375" s="2231"/>
      <c r="P375" s="2193"/>
      <c r="Q375" s="2193"/>
    </row>
    <row r="376" spans="1:17" ht="13.5">
      <c r="A376" s="790"/>
      <c r="B376" s="2218" t="s">
        <v>850</v>
      </c>
      <c r="C376" s="2218"/>
      <c r="D376" s="2218"/>
      <c r="E376" s="790"/>
      <c r="F376" s="834"/>
      <c r="G376" s="834"/>
      <c r="H376" s="2204" t="str">
        <f>'Part III-Sources of Funds'!H20</f>
        <v>Affordable Equity Partners, Inc.</v>
      </c>
      <c r="I376" s="2204"/>
      <c r="J376" s="2204"/>
      <c r="K376" s="2204"/>
      <c r="L376" s="2203">
        <f>'Part III-Sources of Funds'!L20</f>
        <v>1682660</v>
      </c>
      <c r="M376" s="2203"/>
      <c r="N376" s="790"/>
      <c r="O376" s="790"/>
      <c r="P376" s="790"/>
      <c r="Q376" s="790"/>
    </row>
    <row r="377" spans="1:17" ht="13.5">
      <c r="A377" s="790"/>
      <c r="B377" s="2218" t="s">
        <v>851</v>
      </c>
      <c r="C377" s="2218"/>
      <c r="D377" s="2218"/>
      <c r="E377" s="790"/>
      <c r="F377" s="834"/>
      <c r="G377" s="834"/>
      <c r="H377" s="2204" t="str">
        <f>'Part III-Sources of Funds'!H21</f>
        <v>Affordable Equity Partners, Inc.</v>
      </c>
      <c r="I377" s="2204"/>
      <c r="J377" s="2204"/>
      <c r="K377" s="2204"/>
      <c r="L377" s="2203">
        <f>'Part III-Sources of Funds'!L21</f>
        <v>517000</v>
      </c>
      <c r="M377" s="2203"/>
      <c r="N377" s="790"/>
      <c r="O377" s="790"/>
      <c r="P377" s="790"/>
      <c r="Q377" s="790"/>
    </row>
    <row r="378" spans="1:17">
      <c r="A378" s="790"/>
      <c r="B378" s="790" t="s">
        <v>255</v>
      </c>
      <c r="C378" s="790"/>
      <c r="D378" s="2204" t="str">
        <f>'Part III-Sources of Funds'!D22</f>
        <v>Partner Equity</v>
      </c>
      <c r="E378" s="2204"/>
      <c r="F378" s="2204"/>
      <c r="G378" s="2204"/>
      <c r="H378" s="2204">
        <f>'Part III-Sources of Funds'!H22</f>
        <v>0</v>
      </c>
      <c r="I378" s="2204"/>
      <c r="J378" s="2204"/>
      <c r="K378" s="2204"/>
      <c r="L378" s="2203">
        <f>'Part III-Sources of Funds'!L22</f>
        <v>110</v>
      </c>
      <c r="M378" s="2203"/>
      <c r="N378" s="790"/>
      <c r="O378" s="790"/>
      <c r="P378" s="790"/>
      <c r="Q378" s="790"/>
    </row>
    <row r="379" spans="1:17">
      <c r="A379" s="790"/>
      <c r="B379" s="790" t="s">
        <v>255</v>
      </c>
      <c r="C379" s="790"/>
      <c r="D379" s="2204">
        <f>'Part III-Sources of Funds'!D23</f>
        <v>0</v>
      </c>
      <c r="E379" s="2204"/>
      <c r="F379" s="2204"/>
      <c r="G379" s="2204"/>
      <c r="H379" s="2204">
        <f>'Part III-Sources of Funds'!H23</f>
        <v>0</v>
      </c>
      <c r="I379" s="2204"/>
      <c r="J379" s="2204"/>
      <c r="K379" s="2204"/>
      <c r="L379" s="2203">
        <f>'Part III-Sources of Funds'!L23</f>
        <v>0</v>
      </c>
      <c r="M379" s="2203"/>
      <c r="N379" s="790"/>
      <c r="O379" s="790"/>
      <c r="P379" s="790"/>
      <c r="Q379" s="790"/>
    </row>
    <row r="380" spans="1:17">
      <c r="A380" s="790"/>
      <c r="B380" s="790" t="s">
        <v>255</v>
      </c>
      <c r="C380" s="790"/>
      <c r="D380" s="2204">
        <f>'Part III-Sources of Funds'!D24</f>
        <v>0</v>
      </c>
      <c r="E380" s="2204"/>
      <c r="F380" s="2204"/>
      <c r="G380" s="2204"/>
      <c r="H380" s="2204">
        <f>'Part III-Sources of Funds'!H24</f>
        <v>0</v>
      </c>
      <c r="I380" s="2204"/>
      <c r="J380" s="2204"/>
      <c r="K380" s="2204"/>
      <c r="L380" s="2203">
        <f>'Part III-Sources of Funds'!L24</f>
        <v>0</v>
      </c>
      <c r="M380" s="2203"/>
      <c r="N380" s="790"/>
      <c r="O380" s="790"/>
      <c r="P380" s="790"/>
      <c r="Q380" s="790"/>
    </row>
    <row r="381" spans="1:17" ht="13.5">
      <c r="A381" s="790"/>
      <c r="B381" s="791" t="s">
        <v>1378</v>
      </c>
      <c r="C381" s="790"/>
      <c r="D381" s="790"/>
      <c r="E381" s="790"/>
      <c r="F381" s="790"/>
      <c r="G381" s="790"/>
      <c r="H381" s="790"/>
      <c r="I381" s="790"/>
      <c r="J381" s="834"/>
      <c r="K381" s="834"/>
      <c r="L381" s="2226">
        <f>SUM(L370:L380)</f>
        <v>10565033</v>
      </c>
      <c r="M381" s="2226"/>
      <c r="N381" s="795"/>
      <c r="O381" s="795"/>
      <c r="P381" s="795"/>
      <c r="Q381" s="795"/>
    </row>
    <row r="382" spans="1:17" ht="13.5">
      <c r="A382" s="790"/>
      <c r="B382" s="797" t="s">
        <v>1379</v>
      </c>
      <c r="C382" s="790"/>
      <c r="D382" s="790"/>
      <c r="E382" s="790"/>
      <c r="F382" s="790"/>
      <c r="G382" s="790"/>
      <c r="H382" s="790"/>
      <c r="I382" s="790"/>
      <c r="J382" s="834"/>
      <c r="K382" s="834"/>
      <c r="L382" s="2226">
        <f>'Part III-Sources of Funds'!L26</f>
        <v>10565033</v>
      </c>
      <c r="M382" s="2226"/>
      <c r="N382" s="2227"/>
      <c r="O382" s="2227"/>
      <c r="P382" s="2227"/>
      <c r="Q382" s="2227"/>
    </row>
    <row r="383" spans="1:17" ht="13.5">
      <c r="A383" s="790"/>
      <c r="B383" s="797" t="s">
        <v>2288</v>
      </c>
      <c r="C383" s="790"/>
      <c r="D383" s="790"/>
      <c r="E383" s="790"/>
      <c r="F383" s="790"/>
      <c r="G383" s="790"/>
      <c r="H383" s="790"/>
      <c r="I383" s="790"/>
      <c r="J383" s="834"/>
      <c r="K383" s="834"/>
      <c r="L383" s="2228">
        <f>L381-L382</f>
        <v>0</v>
      </c>
      <c r="M383" s="2228"/>
      <c r="N383" s="2227"/>
      <c r="O383" s="2227"/>
      <c r="P383" s="2227"/>
      <c r="Q383" s="2227"/>
    </row>
    <row r="384" spans="1:17">
      <c r="A384" s="816"/>
      <c r="B384" s="791"/>
      <c r="C384" s="795"/>
      <c r="D384" s="795"/>
      <c r="E384" s="795"/>
      <c r="F384" s="795"/>
      <c r="G384" s="795"/>
      <c r="H384" s="795"/>
      <c r="I384" s="795"/>
      <c r="J384" s="795"/>
      <c r="K384" s="795"/>
      <c r="L384" s="795"/>
      <c r="M384" s="794"/>
      <c r="N384" s="794"/>
      <c r="O384" s="795"/>
      <c r="P384" s="793"/>
      <c r="Q384" s="793"/>
    </row>
    <row r="385" spans="1:17">
      <c r="A385" s="793" t="s">
        <v>786</v>
      </c>
      <c r="B385" s="791" t="s">
        <v>848</v>
      </c>
      <c r="C385" s="795"/>
      <c r="D385" s="795"/>
      <c r="E385" s="795"/>
      <c r="F385" s="795"/>
      <c r="G385" s="795"/>
      <c r="H385" s="795"/>
      <c r="I385" s="795"/>
      <c r="J385" s="795"/>
      <c r="K385" s="795"/>
      <c r="L385" s="795"/>
      <c r="M385" s="794"/>
      <c r="N385" s="794"/>
      <c r="O385" s="795"/>
      <c r="P385" s="793"/>
      <c r="Q385" s="793"/>
    </row>
    <row r="386" spans="1:17">
      <c r="A386" s="790"/>
      <c r="B386" s="790"/>
      <c r="C386" s="790"/>
      <c r="D386" s="790"/>
      <c r="E386" s="790"/>
      <c r="F386" s="794"/>
      <c r="G386" s="794"/>
      <c r="H386" s="2193"/>
      <c r="I386" s="2193"/>
      <c r="J386" s="802" t="s">
        <v>2229</v>
      </c>
      <c r="K386" s="794" t="s">
        <v>1375</v>
      </c>
      <c r="L386" s="794" t="s">
        <v>1380</v>
      </c>
      <c r="M386" s="2229" t="s">
        <v>36</v>
      </c>
      <c r="N386" s="2229"/>
      <c r="O386" s="794"/>
      <c r="P386" s="794"/>
      <c r="Q386" s="2230" t="s">
        <v>2485</v>
      </c>
    </row>
    <row r="387" spans="1:17">
      <c r="A387" s="790"/>
      <c r="B387" s="797" t="s">
        <v>1993</v>
      </c>
      <c r="C387" s="790"/>
      <c r="D387" s="790"/>
      <c r="E387" s="2218" t="s">
        <v>1377</v>
      </c>
      <c r="F387" s="2218"/>
      <c r="G387" s="2218"/>
      <c r="H387" s="2193" t="s">
        <v>515</v>
      </c>
      <c r="I387" s="2193"/>
      <c r="J387" s="794" t="s">
        <v>1924</v>
      </c>
      <c r="K387" s="794" t="s">
        <v>2351</v>
      </c>
      <c r="L387" s="794" t="s">
        <v>2351</v>
      </c>
      <c r="M387" s="2229"/>
      <c r="N387" s="2229"/>
      <c r="O387" s="2193" t="s">
        <v>77</v>
      </c>
      <c r="P387" s="2193"/>
      <c r="Q387" s="2230"/>
    </row>
    <row r="388" spans="1:17">
      <c r="A388" s="790"/>
      <c r="B388" s="2218" t="s">
        <v>2788</v>
      </c>
      <c r="C388" s="2218"/>
      <c r="D388" s="2218"/>
      <c r="E388" s="2204" t="str">
        <f>'Part III-Sources of Funds'!E32</f>
        <v>Conventional Permanent Loan</v>
      </c>
      <c r="F388" s="2218"/>
      <c r="G388" s="2218"/>
      <c r="H388" s="2219">
        <f>'Part III-Sources of Funds'!H32</f>
        <v>1110000</v>
      </c>
      <c r="I388" s="2218"/>
      <c r="J388" s="841">
        <f>'Part III-Sources of Funds'!J32</f>
        <v>5.5E-2</v>
      </c>
      <c r="K388" s="794">
        <f>'Part III-Sources of Funds'!K32</f>
        <v>17</v>
      </c>
      <c r="L388" s="794">
        <f>'Part III-Sources of Funds'!L32</f>
        <v>35</v>
      </c>
      <c r="M388" s="2225">
        <f>'Part III-Sources of Funds'!M32</f>
        <v>71530.568392451387</v>
      </c>
      <c r="N388" s="2225"/>
      <c r="O388" s="2193" t="str">
        <f>'Part III-Sources of Funds'!O32</f>
        <v>Amortizing</v>
      </c>
      <c r="P388" s="2193"/>
      <c r="Q388" s="842">
        <f>'Part III-Sources of Funds'!Q32</f>
        <v>1.2</v>
      </c>
    </row>
    <row r="389" spans="1:17">
      <c r="A389" s="790"/>
      <c r="B389" s="2218" t="s">
        <v>2789</v>
      </c>
      <c r="C389" s="2218"/>
      <c r="D389" s="2218"/>
      <c r="E389" s="2204">
        <f>'Part III-Sources of Funds'!E33</f>
        <v>0</v>
      </c>
      <c r="F389" s="2218"/>
      <c r="G389" s="2218"/>
      <c r="H389" s="2219">
        <f>'Part III-Sources of Funds'!H33</f>
        <v>0</v>
      </c>
      <c r="I389" s="2218"/>
      <c r="J389" s="841">
        <f>'Part III-Sources of Funds'!J33</f>
        <v>0</v>
      </c>
      <c r="K389" s="794">
        <f>'Part III-Sources of Funds'!K33</f>
        <v>0</v>
      </c>
      <c r="L389" s="794">
        <f>'Part III-Sources of Funds'!L33</f>
        <v>0</v>
      </c>
      <c r="M389" s="2225" t="str">
        <f>'Part III-Sources of Funds'!M33</f>
        <v/>
      </c>
      <c r="N389" s="2225"/>
      <c r="O389" s="2193">
        <f>'Part III-Sources of Funds'!O33</f>
        <v>0</v>
      </c>
      <c r="P389" s="2193"/>
      <c r="Q389" s="842">
        <f>'Part III-Sources of Funds'!Q33</f>
        <v>0</v>
      </c>
    </row>
    <row r="390" spans="1:17">
      <c r="A390" s="790"/>
      <c r="B390" s="2218" t="s">
        <v>2790</v>
      </c>
      <c r="C390" s="2218"/>
      <c r="D390" s="2218"/>
      <c r="E390" s="2204">
        <f>'Part III-Sources of Funds'!E34</f>
        <v>0</v>
      </c>
      <c r="F390" s="2218"/>
      <c r="G390" s="2218"/>
      <c r="H390" s="2219">
        <f>'Part III-Sources of Funds'!H34</f>
        <v>0</v>
      </c>
      <c r="I390" s="2218"/>
      <c r="J390" s="841">
        <f>'Part III-Sources of Funds'!J34</f>
        <v>0</v>
      </c>
      <c r="K390" s="794">
        <f>'Part III-Sources of Funds'!K34</f>
        <v>0</v>
      </c>
      <c r="L390" s="794">
        <f>'Part III-Sources of Funds'!L34</f>
        <v>0</v>
      </c>
      <c r="M390" s="2225" t="str">
        <f>'Part III-Sources of Funds'!M34</f>
        <v/>
      </c>
      <c r="N390" s="2225"/>
      <c r="O390" s="2193">
        <f>'Part III-Sources of Funds'!O34</f>
        <v>0</v>
      </c>
      <c r="P390" s="2193"/>
      <c r="Q390" s="842">
        <f>'Part III-Sources of Funds'!Q34</f>
        <v>0</v>
      </c>
    </row>
    <row r="391" spans="1:17">
      <c r="A391" s="790"/>
      <c r="B391" s="790" t="s">
        <v>785</v>
      </c>
      <c r="C391" s="2204">
        <f>'Part III-Sources of Funds'!C35</f>
        <v>0</v>
      </c>
      <c r="D391" s="2204"/>
      <c r="E391" s="2204">
        <f>'Part III-Sources of Funds'!E35</f>
        <v>0</v>
      </c>
      <c r="F391" s="2218"/>
      <c r="G391" s="2218"/>
      <c r="H391" s="2219">
        <f>'Part III-Sources of Funds'!H35</f>
        <v>0</v>
      </c>
      <c r="I391" s="2218"/>
      <c r="J391" s="841">
        <f>'Part III-Sources of Funds'!J35</f>
        <v>0</v>
      </c>
      <c r="K391" s="794">
        <f>'Part III-Sources of Funds'!K35</f>
        <v>0</v>
      </c>
      <c r="L391" s="794">
        <f>'Part III-Sources of Funds'!L35</f>
        <v>0</v>
      </c>
      <c r="M391" s="2225" t="str">
        <f>'Part III-Sources of Funds'!M35</f>
        <v/>
      </c>
      <c r="N391" s="2225"/>
      <c r="O391" s="2193">
        <f>'Part III-Sources of Funds'!O35</f>
        <v>0</v>
      </c>
      <c r="P391" s="2193"/>
      <c r="Q391" s="842">
        <f>'Part III-Sources of Funds'!Q35</f>
        <v>0</v>
      </c>
    </row>
    <row r="392" spans="1:17">
      <c r="A392" s="790"/>
      <c r="B392" s="790" t="s">
        <v>3004</v>
      </c>
      <c r="C392" s="790"/>
      <c r="D392" s="790"/>
      <c r="E392" s="2204">
        <f>'Part III-Sources of Funds'!E36</f>
        <v>0</v>
      </c>
      <c r="F392" s="2218"/>
      <c r="G392" s="2218"/>
      <c r="H392" s="2219">
        <f>'Part III-Sources of Funds'!H36</f>
        <v>0</v>
      </c>
      <c r="I392" s="2218"/>
      <c r="J392" s="841"/>
      <c r="K392" s="794"/>
      <c r="L392" s="794"/>
      <c r="M392" s="2225" t="str">
        <f>IF(OR(H392&lt;=0,H392=""),"",IF(O392="Amortizing",-PMT(J392/12,L392*12,H392,0,0)*12,""))</f>
        <v/>
      </c>
      <c r="N392" s="2225"/>
      <c r="O392" s="2193"/>
      <c r="P392" s="2193"/>
      <c r="Q392" s="842"/>
    </row>
    <row r="393" spans="1:17">
      <c r="A393" s="790"/>
      <c r="B393" s="790" t="s">
        <v>239</v>
      </c>
      <c r="C393" s="790"/>
      <c r="D393" s="843">
        <f>IF(OR(H393="",H393=0,'Part IV-Uses of Funds'!$G$116="",'Part IV-Uses of Funds'!$G$116=0),"",H393/'Part IV-Uses of Funds'!$G$116)</f>
        <v>8.2640418345963251E-2</v>
      </c>
      <c r="E393" s="2204" t="str">
        <f>'Part III-Sources of Funds'!E37</f>
        <v>Gateway Development Corporation</v>
      </c>
      <c r="F393" s="2218"/>
      <c r="G393" s="2218"/>
      <c r="H393" s="2219">
        <f>'Part III-Sources of Funds'!H37</f>
        <v>123787</v>
      </c>
      <c r="I393" s="2218"/>
      <c r="J393" s="841">
        <f>'Part III-Sources of Funds'!J37</f>
        <v>0</v>
      </c>
      <c r="K393" s="794">
        <f>'Part III-Sources of Funds'!K37</f>
        <v>0</v>
      </c>
      <c r="L393" s="794">
        <f>'Part III-Sources of Funds'!L37</f>
        <v>0</v>
      </c>
      <c r="M393" s="2225" t="str">
        <f>'Part III-Sources of Funds'!M37</f>
        <v/>
      </c>
      <c r="N393" s="2225"/>
      <c r="O393" s="2193">
        <f>'Part III-Sources of Funds'!O37</f>
        <v>0</v>
      </c>
      <c r="P393" s="2193"/>
      <c r="Q393" s="842">
        <f>'Part III-Sources of Funds'!Q37</f>
        <v>0</v>
      </c>
    </row>
    <row r="394" spans="1:17" ht="13.5">
      <c r="A394" s="790"/>
      <c r="B394" s="2218" t="s">
        <v>2352</v>
      </c>
      <c r="C394" s="2218"/>
      <c r="D394" s="2218"/>
      <c r="E394" s="2204">
        <f>'Part III-Sources of Funds'!E38</f>
        <v>0</v>
      </c>
      <c r="F394" s="2218"/>
      <c r="G394" s="2218"/>
      <c r="H394" s="2219">
        <f>'Part III-Sources of Funds'!H38</f>
        <v>0</v>
      </c>
      <c r="I394" s="2218"/>
      <c r="J394" s="834"/>
      <c r="K394" s="790"/>
      <c r="L394" s="790"/>
      <c r="M394" s="790"/>
      <c r="N394" s="790"/>
      <c r="O394" s="790"/>
      <c r="P394" s="790"/>
      <c r="Q394" s="790"/>
    </row>
    <row r="395" spans="1:17" ht="13.5">
      <c r="A395" s="790"/>
      <c r="B395" s="2218" t="s">
        <v>849</v>
      </c>
      <c r="C395" s="2218"/>
      <c r="D395" s="2218"/>
      <c r="E395" s="2204">
        <f>'Part III-Sources of Funds'!E39</f>
        <v>0</v>
      </c>
      <c r="F395" s="2218"/>
      <c r="G395" s="2218"/>
      <c r="H395" s="2219">
        <f>'Part III-Sources of Funds'!H39</f>
        <v>0</v>
      </c>
      <c r="I395" s="2218"/>
      <c r="J395" s="2223" t="s">
        <v>545</v>
      </c>
      <c r="K395" s="2223"/>
      <c r="L395" s="2224" t="s">
        <v>546</v>
      </c>
      <c r="M395" s="2224"/>
      <c r="N395" s="834"/>
      <c r="O395" s="794" t="s">
        <v>544</v>
      </c>
      <c r="P395" s="844"/>
      <c r="Q395" s="790"/>
    </row>
    <row r="396" spans="1:17" ht="13.5">
      <c r="A396" s="790"/>
      <c r="B396" s="2218" t="s">
        <v>850</v>
      </c>
      <c r="C396" s="2218"/>
      <c r="D396" s="2218"/>
      <c r="E396" s="2204" t="str">
        <f>'Part III-Sources of Funds'!E40</f>
        <v>Affordable Equity Partners, Inc.</v>
      </c>
      <c r="F396" s="2218"/>
      <c r="G396" s="2218"/>
      <c r="H396" s="2219">
        <f>'Part III-Sources of Funds'!H40</f>
        <v>8500000</v>
      </c>
      <c r="I396" s="2218"/>
      <c r="J396" s="2221">
        <f>'Part IV-Uses of Funds'!$J$173*10*'Part IV-Uses of Funds'!$N$166</f>
        <v>8500000</v>
      </c>
      <c r="K396" s="2221"/>
      <c r="L396" s="2222">
        <f>H396-J396</f>
        <v>0</v>
      </c>
      <c r="M396" s="2222"/>
      <c r="N396" s="834"/>
      <c r="O396" s="845" t="s">
        <v>2733</v>
      </c>
      <c r="P396" s="844"/>
      <c r="Q396" s="790"/>
    </row>
    <row r="397" spans="1:17" ht="13.5">
      <c r="A397" s="790"/>
      <c r="B397" s="2218" t="s">
        <v>851</v>
      </c>
      <c r="C397" s="2218"/>
      <c r="D397" s="2218"/>
      <c r="E397" s="2204" t="str">
        <f>'Part III-Sources of Funds'!E41</f>
        <v>Affordable Equity Partners, Inc.</v>
      </c>
      <c r="F397" s="2218"/>
      <c r="G397" s="2218"/>
      <c r="H397" s="2219">
        <f>'Part III-Sources of Funds'!H41</f>
        <v>2500000</v>
      </c>
      <c r="I397" s="2218"/>
      <c r="J397" s="2221">
        <f>'Part IV-Uses of Funds'!$J$173*10*'Part IV-Uses of Funds'!$Q$166</f>
        <v>2500000</v>
      </c>
      <c r="K397" s="2221"/>
      <c r="L397" s="2222">
        <f>H397-J397</f>
        <v>0</v>
      </c>
      <c r="M397" s="2222"/>
      <c r="N397" s="834"/>
      <c r="O397" s="846">
        <f>H396/H406</f>
        <v>0.69479087489456548</v>
      </c>
      <c r="P397" s="844"/>
      <c r="Q397" s="790"/>
    </row>
    <row r="398" spans="1:17" ht="13.5">
      <c r="A398" s="790"/>
      <c r="B398" s="2218" t="s">
        <v>1496</v>
      </c>
      <c r="C398" s="2218"/>
      <c r="D398" s="2218"/>
      <c r="E398" s="2204">
        <f>'Part III-Sources of Funds'!E42</f>
        <v>0</v>
      </c>
      <c r="F398" s="2218"/>
      <c r="G398" s="2218"/>
      <c r="H398" s="2219">
        <f>'Part III-Sources of Funds'!H42</f>
        <v>0</v>
      </c>
      <c r="I398" s="2218"/>
      <c r="J398" s="834"/>
      <c r="K398" s="834"/>
      <c r="L398" s="834"/>
      <c r="M398" s="844"/>
      <c r="N398" s="834"/>
      <c r="O398" s="846">
        <f>H397/H406</f>
        <v>0.20435025732193102</v>
      </c>
      <c r="P398" s="844"/>
      <c r="Q398" s="790"/>
    </row>
    <row r="399" spans="1:17" ht="13.5">
      <c r="A399" s="790"/>
      <c r="B399" s="790" t="s">
        <v>559</v>
      </c>
      <c r="C399" s="790"/>
      <c r="D399" s="790"/>
      <c r="E399" s="2204">
        <f>'Part III-Sources of Funds'!E43</f>
        <v>0</v>
      </c>
      <c r="F399" s="2218"/>
      <c r="G399" s="2218"/>
      <c r="H399" s="2219">
        <f>'Part III-Sources of Funds'!H43</f>
        <v>0</v>
      </c>
      <c r="I399" s="2218"/>
      <c r="J399" s="834"/>
      <c r="K399" s="790"/>
      <c r="L399" s="790"/>
      <c r="M399" s="844"/>
      <c r="N399" s="834"/>
      <c r="O399" s="846">
        <f>SUM(O397:O398)</f>
        <v>0.8991411322164965</v>
      </c>
      <c r="P399" s="844"/>
      <c r="Q399" s="790"/>
    </row>
    <row r="400" spans="1:17" ht="13.5">
      <c r="A400" s="790"/>
      <c r="B400" s="790" t="s">
        <v>1991</v>
      </c>
      <c r="C400" s="790"/>
      <c r="D400" s="790"/>
      <c r="E400" s="2204">
        <f>'Part III-Sources of Funds'!E44</f>
        <v>0</v>
      </c>
      <c r="F400" s="2218"/>
      <c r="G400" s="2218"/>
      <c r="H400" s="2219">
        <f>'Part III-Sources of Funds'!H44</f>
        <v>0</v>
      </c>
      <c r="I400" s="2218"/>
      <c r="J400" s="790"/>
      <c r="K400" s="834"/>
      <c r="L400" s="834"/>
      <c r="M400" s="844"/>
      <c r="N400" s="844"/>
      <c r="O400" s="844"/>
      <c r="P400" s="844"/>
      <c r="Q400" s="790"/>
    </row>
    <row r="401" spans="1:20" ht="13.5">
      <c r="A401" s="790"/>
      <c r="B401" s="790" t="s">
        <v>1992</v>
      </c>
      <c r="C401" s="790"/>
      <c r="D401" s="790"/>
      <c r="E401" s="2204">
        <f>'Part III-Sources of Funds'!E45</f>
        <v>0</v>
      </c>
      <c r="F401" s="2218"/>
      <c r="G401" s="2218"/>
      <c r="H401" s="2219">
        <f>'Part III-Sources of Funds'!H45</f>
        <v>0</v>
      </c>
      <c r="I401" s="2218"/>
      <c r="J401" s="790"/>
      <c r="K401" s="834"/>
      <c r="L401" s="834"/>
      <c r="M401" s="844"/>
      <c r="N401" s="844"/>
      <c r="O401" s="844"/>
      <c r="P401" s="844"/>
      <c r="Q401" s="790"/>
    </row>
    <row r="402" spans="1:20" ht="13.5">
      <c r="A402" s="790"/>
      <c r="B402" s="790" t="s">
        <v>785</v>
      </c>
      <c r="C402" s="2204" t="str">
        <f>'Part III-Sources of Funds'!C46</f>
        <v>Partner Equity</v>
      </c>
      <c r="D402" s="2204"/>
      <c r="E402" s="2204">
        <f>'Part III-Sources of Funds'!E46</f>
        <v>0</v>
      </c>
      <c r="F402" s="2218"/>
      <c r="G402" s="2218"/>
      <c r="H402" s="2219">
        <f>'Part III-Sources of Funds'!H46</f>
        <v>110</v>
      </c>
      <c r="I402" s="2218"/>
      <c r="J402" s="790"/>
      <c r="K402" s="834"/>
      <c r="L402" s="834"/>
      <c r="M402" s="844"/>
      <c r="N402" s="844"/>
      <c r="O402" s="844"/>
      <c r="P402" s="844"/>
      <c r="Q402" s="790"/>
    </row>
    <row r="403" spans="1:20">
      <c r="A403" s="790"/>
      <c r="B403" s="790" t="s">
        <v>785</v>
      </c>
      <c r="C403" s="2204">
        <f>'Part III-Sources of Funds'!C47</f>
        <v>0</v>
      </c>
      <c r="D403" s="2204"/>
      <c r="E403" s="2204">
        <f>'Part III-Sources of Funds'!E47</f>
        <v>0</v>
      </c>
      <c r="F403" s="2218"/>
      <c r="G403" s="2218"/>
      <c r="H403" s="2219">
        <f>'Part III-Sources of Funds'!H47</f>
        <v>0</v>
      </c>
      <c r="I403" s="2218"/>
      <c r="J403" s="790"/>
      <c r="K403" s="790"/>
      <c r="L403" s="794"/>
      <c r="M403" s="844"/>
      <c r="N403" s="844"/>
      <c r="O403" s="844"/>
      <c r="P403" s="844"/>
      <c r="Q403" s="790"/>
    </row>
    <row r="404" spans="1:20">
      <c r="A404" s="790"/>
      <c r="B404" s="790" t="s">
        <v>785</v>
      </c>
      <c r="C404" s="2204">
        <f>'Part III-Sources of Funds'!C48</f>
        <v>0</v>
      </c>
      <c r="D404" s="2204"/>
      <c r="E404" s="2204">
        <f>'Part III-Sources of Funds'!E48</f>
        <v>0</v>
      </c>
      <c r="F404" s="2218"/>
      <c r="G404" s="2218"/>
      <c r="H404" s="2219">
        <f>'Part III-Sources of Funds'!H48</f>
        <v>0</v>
      </c>
      <c r="I404" s="2218"/>
      <c r="J404" s="790"/>
      <c r="K404" s="790"/>
      <c r="L404" s="794"/>
      <c r="M404" s="844"/>
      <c r="N404" s="844"/>
      <c r="O404" s="844"/>
      <c r="P404" s="844"/>
      <c r="Q404" s="790"/>
    </row>
    <row r="405" spans="1:20">
      <c r="A405" s="790"/>
      <c r="B405" s="797" t="s">
        <v>2353</v>
      </c>
      <c r="C405" s="790"/>
      <c r="D405" s="790"/>
      <c r="E405" s="790"/>
      <c r="F405" s="790"/>
      <c r="G405" s="790"/>
      <c r="H405" s="2220">
        <f>SUM(H388:I404)</f>
        <v>12233897</v>
      </c>
      <c r="I405" s="2220"/>
      <c r="J405" s="795"/>
      <c r="K405" s="790"/>
      <c r="L405" s="794"/>
      <c r="M405" s="844"/>
      <c r="N405" s="844"/>
      <c r="O405" s="844"/>
      <c r="P405" s="844"/>
      <c r="Q405" s="790"/>
    </row>
    <row r="406" spans="1:20">
      <c r="A406" s="790"/>
      <c r="B406" s="797" t="s">
        <v>2354</v>
      </c>
      <c r="C406" s="790"/>
      <c r="D406" s="790"/>
      <c r="E406" s="790"/>
      <c r="F406" s="790"/>
      <c r="G406" s="790"/>
      <c r="H406" s="2220">
        <f>'Part IV-Uses of Funds'!$G$130</f>
        <v>12233897</v>
      </c>
      <c r="I406" s="2220"/>
      <c r="J406" s="795"/>
      <c r="K406" s="790"/>
      <c r="L406" s="794"/>
      <c r="M406" s="844"/>
      <c r="N406" s="844"/>
      <c r="O406" s="844"/>
      <c r="P406" s="844"/>
      <c r="Q406" s="790"/>
    </row>
    <row r="407" spans="1:20">
      <c r="A407" s="790"/>
      <c r="B407" s="797" t="s">
        <v>1623</v>
      </c>
      <c r="C407" s="790"/>
      <c r="D407" s="790"/>
      <c r="E407" s="790"/>
      <c r="F407" s="790"/>
      <c r="G407" s="790"/>
      <c r="H407" s="2191">
        <f>H405-H406</f>
        <v>0</v>
      </c>
      <c r="I407" s="2191"/>
      <c r="J407" s="795"/>
      <c r="K407" s="790"/>
      <c r="L407" s="794"/>
      <c r="M407" s="844"/>
      <c r="N407" s="844"/>
      <c r="O407" s="844"/>
      <c r="P407" s="844"/>
      <c r="Q407" s="790"/>
    </row>
    <row r="408" spans="1:20">
      <c r="A408" s="790" t="s">
        <v>3005</v>
      </c>
      <c r="B408" s="797"/>
      <c r="C408" s="790"/>
      <c r="D408" s="790"/>
      <c r="E408" s="790"/>
      <c r="F408" s="790"/>
      <c r="G408" s="790"/>
      <c r="H408" s="847"/>
      <c r="I408" s="847"/>
      <c r="J408" s="795"/>
      <c r="K408" s="790"/>
      <c r="L408" s="794"/>
      <c r="M408" s="844"/>
      <c r="N408" s="844"/>
      <c r="O408" s="844"/>
      <c r="P408" s="844"/>
      <c r="Q408" s="790"/>
    </row>
    <row r="409" spans="1:20">
      <c r="A409" s="795"/>
      <c r="B409" s="795"/>
      <c r="C409" s="795"/>
      <c r="D409" s="795"/>
      <c r="E409" s="795"/>
      <c r="F409" s="795"/>
      <c r="G409" s="795"/>
      <c r="H409" s="795"/>
      <c r="I409" s="795"/>
      <c r="J409" s="795"/>
      <c r="K409" s="795"/>
      <c r="L409" s="795"/>
      <c r="M409" s="795"/>
      <c r="N409" s="795"/>
      <c r="O409" s="795"/>
      <c r="P409" s="795"/>
      <c r="Q409" s="795"/>
    </row>
    <row r="410" spans="1:20">
      <c r="A410" s="793" t="s">
        <v>1907</v>
      </c>
      <c r="B410" s="793" t="s">
        <v>603</v>
      </c>
      <c r="C410" s="795"/>
      <c r="D410" s="795"/>
      <c r="E410" s="795"/>
      <c r="F410" s="795"/>
      <c r="G410" s="795"/>
      <c r="H410" s="795"/>
      <c r="I410" s="795"/>
      <c r="J410" s="795"/>
      <c r="K410" s="793" t="s">
        <v>1907</v>
      </c>
      <c r="L410" s="793" t="s">
        <v>82</v>
      </c>
      <c r="M410" s="795"/>
      <c r="N410" s="795"/>
      <c r="O410" s="795"/>
      <c r="P410" s="795"/>
      <c r="Q410" s="795"/>
    </row>
    <row r="411" spans="1:20" ht="13.5">
      <c r="A411" s="848"/>
      <c r="B411" s="849"/>
      <c r="C411" s="848"/>
      <c r="D411" s="848"/>
      <c r="E411" s="848"/>
      <c r="F411" s="848"/>
      <c r="G411" s="848"/>
      <c r="H411" s="848"/>
      <c r="I411" s="848"/>
      <c r="J411" s="848"/>
      <c r="K411" s="848"/>
      <c r="L411" s="848"/>
      <c r="M411" s="848"/>
      <c r="N411" s="848"/>
      <c r="O411" s="848"/>
      <c r="P411" s="848"/>
      <c r="Q411" s="848"/>
    </row>
    <row r="412" spans="1:20">
      <c r="A412" s="2171" t="str">
        <f>'Part III-Sources of Funds'!A56</f>
        <v xml:space="preserve">This multi family project is within an area that qualifies for 4 points under the stable communities. The project is requesting the 130% State Basis Boost in order to make the senior development feasible. 
</v>
      </c>
      <c r="B412" s="2130"/>
      <c r="C412" s="2130"/>
      <c r="D412" s="2130"/>
      <c r="E412" s="2130"/>
      <c r="F412" s="2130"/>
      <c r="G412" s="2130"/>
      <c r="H412" s="2130"/>
      <c r="I412" s="2130"/>
      <c r="J412" s="2130"/>
      <c r="K412" s="2171">
        <f>'Part III-Sources of Funds'!K56</f>
        <v>0</v>
      </c>
      <c r="L412" s="2130"/>
      <c r="M412" s="2130"/>
      <c r="N412" s="2130"/>
      <c r="O412" s="2130"/>
      <c r="P412" s="2130"/>
      <c r="Q412" s="2130"/>
    </row>
    <row r="415" spans="1:20">
      <c r="A415" s="2211" t="str">
        <f>CONCATENATE("PART FOUR -  USES OF FUNDS","  -  ",'Part I-Project Information'!$O$4," ",'Part I-Project Information'!$F$23,", ",'Part I-Project Information'!F441,", ",'Part I-Project Information'!J442," County")</f>
        <v>PART FOUR -  USES OF FUNDS  -  2014-028 Highland Estates, , Fitzgerald/Ben Hill County Development Authority County</v>
      </c>
      <c r="B415" s="2211"/>
      <c r="C415" s="2211"/>
      <c r="D415" s="2211"/>
      <c r="E415" s="2211"/>
      <c r="F415" s="2211"/>
      <c r="G415" s="2211"/>
      <c r="H415" s="2211"/>
      <c r="I415" s="2211"/>
      <c r="J415" s="2211"/>
      <c r="K415" s="2211"/>
      <c r="L415" s="2211"/>
      <c r="M415" s="2211"/>
      <c r="N415" s="2211"/>
      <c r="O415" s="2211"/>
      <c r="P415" s="2211"/>
      <c r="Q415" s="2211"/>
      <c r="R415" s="2211"/>
      <c r="S415" s="2211"/>
      <c r="T415" s="2211"/>
    </row>
    <row r="416" spans="1:20">
      <c r="A416" s="795"/>
      <c r="B416" s="795"/>
      <c r="C416" s="795"/>
      <c r="D416" s="795"/>
      <c r="E416" s="795"/>
      <c r="F416" s="795"/>
      <c r="G416" s="795"/>
      <c r="H416" s="795"/>
      <c r="I416" s="795"/>
      <c r="J416" s="795"/>
      <c r="K416" s="795"/>
      <c r="L416" s="795"/>
      <c r="M416" s="795"/>
      <c r="N416" s="795"/>
      <c r="O416" s="795"/>
      <c r="P416" s="795"/>
      <c r="Q416" s="795"/>
      <c r="R416" s="795"/>
      <c r="S416" s="795"/>
      <c r="T416" s="795"/>
    </row>
    <row r="417" spans="1:20">
      <c r="A417" s="793"/>
      <c r="B417" s="793"/>
      <c r="C417" s="793"/>
      <c r="D417" s="793"/>
      <c r="E417" s="793"/>
      <c r="F417" s="793"/>
      <c r="G417" s="793"/>
      <c r="H417" s="793"/>
      <c r="I417" s="793"/>
      <c r="J417" s="793"/>
      <c r="K417" s="793"/>
      <c r="L417" s="793"/>
      <c r="M417" s="793"/>
      <c r="N417" s="793"/>
      <c r="O417" s="793"/>
      <c r="P417" s="793"/>
      <c r="Q417" s="793"/>
      <c r="R417" s="793"/>
      <c r="S417" s="793"/>
      <c r="T417" s="793"/>
    </row>
    <row r="418" spans="1:20" ht="16.5">
      <c r="A418" s="789"/>
      <c r="B418" s="789"/>
      <c r="C418" s="789"/>
      <c r="D418" s="850"/>
      <c r="E418" s="850"/>
      <c r="F418" s="850"/>
      <c r="G418" s="850"/>
      <c r="H418" s="850"/>
      <c r="I418" s="793"/>
      <c r="J418" s="789"/>
      <c r="K418" s="789"/>
      <c r="L418" s="789"/>
      <c r="M418" s="789"/>
      <c r="N418" s="789"/>
      <c r="O418" s="789"/>
      <c r="P418" s="789"/>
      <c r="Q418" s="789"/>
      <c r="R418" s="789"/>
      <c r="S418" s="789"/>
      <c r="T418" s="789"/>
    </row>
    <row r="419" spans="1:20" ht="16.5">
      <c r="A419" s="850" t="s">
        <v>652</v>
      </c>
      <c r="B419" s="850" t="s">
        <v>950</v>
      </c>
      <c r="C419" s="790"/>
      <c r="D419" s="850"/>
      <c r="E419" s="850"/>
      <c r="F419" s="850"/>
      <c r="G419" s="850"/>
      <c r="H419" s="850"/>
      <c r="I419" s="850"/>
      <c r="J419" s="2206" t="s">
        <v>285</v>
      </c>
      <c r="K419" s="2206"/>
      <c r="L419" s="851"/>
      <c r="M419" s="2210" t="s">
        <v>516</v>
      </c>
      <c r="N419" s="2210"/>
      <c r="O419" s="790"/>
      <c r="P419" s="2206" t="s">
        <v>286</v>
      </c>
      <c r="Q419" s="2206"/>
      <c r="R419" s="790"/>
      <c r="S419" s="2206" t="s">
        <v>287</v>
      </c>
      <c r="T419" s="2206"/>
    </row>
    <row r="420" spans="1:20">
      <c r="A420" s="790"/>
      <c r="B420" s="790"/>
      <c r="C420" s="790"/>
      <c r="D420" s="790"/>
      <c r="E420" s="790"/>
      <c r="F420" s="790"/>
      <c r="G420" s="2211" t="s">
        <v>104</v>
      </c>
      <c r="H420" s="2211"/>
      <c r="I420" s="790"/>
      <c r="J420" s="2206"/>
      <c r="K420" s="2206"/>
      <c r="L420" s="851"/>
      <c r="M420" s="2210"/>
      <c r="N420" s="2210"/>
      <c r="O420" s="790"/>
      <c r="P420" s="2206"/>
      <c r="Q420" s="2206"/>
      <c r="R420" s="790"/>
      <c r="S420" s="2206"/>
      <c r="T420" s="2206"/>
    </row>
    <row r="421" spans="1:20">
      <c r="A421" s="790"/>
      <c r="B421" s="793" t="s">
        <v>105</v>
      </c>
      <c r="C421" s="790"/>
      <c r="D421" s="790"/>
      <c r="E421" s="790"/>
      <c r="F421" s="790"/>
      <c r="G421" s="790"/>
      <c r="H421" s="790"/>
      <c r="I421" s="790"/>
      <c r="J421" s="790"/>
      <c r="K421" s="790"/>
      <c r="L421" s="790"/>
      <c r="M421" s="790"/>
      <c r="N421" s="790"/>
      <c r="O421" s="789" t="str">
        <f>B421</f>
        <v>PRE-DEVELOPMENT COSTS</v>
      </c>
      <c r="P421" s="790"/>
      <c r="Q421" s="790"/>
      <c r="R421" s="790"/>
      <c r="S421" s="790"/>
      <c r="T421" s="790"/>
    </row>
    <row r="422" spans="1:20">
      <c r="A422" s="790"/>
      <c r="B422" s="790" t="s">
        <v>2128</v>
      </c>
      <c r="C422" s="790"/>
      <c r="D422" s="790"/>
      <c r="E422" s="790"/>
      <c r="F422" s="790"/>
      <c r="G422" s="2203">
        <f>'Part IV-Uses of Funds'!G8</f>
        <v>6000</v>
      </c>
      <c r="H422" s="2203"/>
      <c r="I422" s="790"/>
      <c r="J422" s="2203">
        <f>'Part IV-Uses of Funds'!J8</f>
        <v>6000</v>
      </c>
      <c r="K422" s="2203"/>
      <c r="L422" s="805"/>
      <c r="M422" s="2203">
        <f>'Part IV-Uses of Funds'!M8</f>
        <v>0</v>
      </c>
      <c r="N422" s="2203"/>
      <c r="O422" s="790"/>
      <c r="P422" s="2203">
        <f>'Part IV-Uses of Funds'!P8</f>
        <v>0</v>
      </c>
      <c r="Q422" s="2203"/>
      <c r="R422" s="790"/>
      <c r="S422" s="2203">
        <f>'Part IV-Uses of Funds'!S8</f>
        <v>0</v>
      </c>
      <c r="T422" s="2203"/>
    </row>
    <row r="423" spans="1:20">
      <c r="A423" s="790"/>
      <c r="B423" s="790" t="s">
        <v>479</v>
      </c>
      <c r="C423" s="790"/>
      <c r="D423" s="790"/>
      <c r="E423" s="790"/>
      <c r="F423" s="790"/>
      <c r="G423" s="2203">
        <f>'Part IV-Uses of Funds'!G9</f>
        <v>5000</v>
      </c>
      <c r="H423" s="2203"/>
      <c r="I423" s="790"/>
      <c r="J423" s="2203">
        <f>'Part IV-Uses of Funds'!J9</f>
        <v>5000</v>
      </c>
      <c r="K423" s="2203"/>
      <c r="L423" s="805"/>
      <c r="M423" s="2203">
        <f>'Part IV-Uses of Funds'!M9</f>
        <v>0</v>
      </c>
      <c r="N423" s="2203"/>
      <c r="O423" s="790"/>
      <c r="P423" s="2203">
        <f>'Part IV-Uses of Funds'!P9</f>
        <v>0</v>
      </c>
      <c r="Q423" s="2203"/>
      <c r="R423" s="790"/>
      <c r="S423" s="2203">
        <f>'Part IV-Uses of Funds'!S9</f>
        <v>0</v>
      </c>
      <c r="T423" s="2203"/>
    </row>
    <row r="424" spans="1:20">
      <c r="A424" s="790"/>
      <c r="B424" s="790" t="s">
        <v>513</v>
      </c>
      <c r="C424" s="790"/>
      <c r="D424" s="790"/>
      <c r="E424" s="790"/>
      <c r="F424" s="790"/>
      <c r="G424" s="2203">
        <f>'Part IV-Uses of Funds'!G10</f>
        <v>4000</v>
      </c>
      <c r="H424" s="2203"/>
      <c r="I424" s="790"/>
      <c r="J424" s="2203">
        <f>'Part IV-Uses of Funds'!J10</f>
        <v>4000</v>
      </c>
      <c r="K424" s="2203"/>
      <c r="L424" s="805"/>
      <c r="M424" s="2203">
        <f>'Part IV-Uses of Funds'!M10</f>
        <v>0</v>
      </c>
      <c r="N424" s="2203"/>
      <c r="O424" s="790"/>
      <c r="P424" s="2203">
        <f>'Part IV-Uses of Funds'!P10</f>
        <v>0</v>
      </c>
      <c r="Q424" s="2203"/>
      <c r="R424" s="790"/>
      <c r="S424" s="2203">
        <f>'Part IV-Uses of Funds'!S10</f>
        <v>0</v>
      </c>
      <c r="T424" s="2203"/>
    </row>
    <row r="425" spans="1:20">
      <c r="A425" s="790"/>
      <c r="B425" s="790" t="s">
        <v>514</v>
      </c>
      <c r="C425" s="790"/>
      <c r="D425" s="790"/>
      <c r="E425" s="790"/>
      <c r="F425" s="790"/>
      <c r="G425" s="2203">
        <f>'Part IV-Uses of Funds'!G11</f>
        <v>6000</v>
      </c>
      <c r="H425" s="2203"/>
      <c r="I425" s="790"/>
      <c r="J425" s="2203">
        <f>'Part IV-Uses of Funds'!J11</f>
        <v>6000</v>
      </c>
      <c r="K425" s="2203"/>
      <c r="L425" s="805"/>
      <c r="M425" s="2203">
        <f>'Part IV-Uses of Funds'!M11</f>
        <v>0</v>
      </c>
      <c r="N425" s="2203"/>
      <c r="O425" s="790"/>
      <c r="P425" s="2203">
        <f>'Part IV-Uses of Funds'!P11</f>
        <v>0</v>
      </c>
      <c r="Q425" s="2203"/>
      <c r="R425" s="790"/>
      <c r="S425" s="2203">
        <f>'Part IV-Uses of Funds'!S11</f>
        <v>0</v>
      </c>
      <c r="T425" s="2203"/>
    </row>
    <row r="426" spans="1:20">
      <c r="A426" s="790"/>
      <c r="B426" s="790" t="s">
        <v>2659</v>
      </c>
      <c r="C426" s="790"/>
      <c r="D426" s="790"/>
      <c r="E426" s="790"/>
      <c r="F426" s="790"/>
      <c r="G426" s="2203">
        <f>'Part IV-Uses of Funds'!G12</f>
        <v>15000</v>
      </c>
      <c r="H426" s="2203"/>
      <c r="I426" s="790"/>
      <c r="J426" s="2203">
        <f>'Part IV-Uses of Funds'!J12</f>
        <v>15000</v>
      </c>
      <c r="K426" s="2203"/>
      <c r="L426" s="805"/>
      <c r="M426" s="2203">
        <f>'Part IV-Uses of Funds'!M12</f>
        <v>0</v>
      </c>
      <c r="N426" s="2203"/>
      <c r="O426" s="790"/>
      <c r="P426" s="2203">
        <f>'Part IV-Uses of Funds'!P12</f>
        <v>0</v>
      </c>
      <c r="Q426" s="2203"/>
      <c r="R426" s="790"/>
      <c r="S426" s="2203">
        <f>'Part IV-Uses of Funds'!S12</f>
        <v>0</v>
      </c>
      <c r="T426" s="2203"/>
    </row>
    <row r="427" spans="1:20">
      <c r="A427" s="790"/>
      <c r="B427" s="790" t="s">
        <v>198</v>
      </c>
      <c r="C427" s="790"/>
      <c r="D427" s="790"/>
      <c r="E427" s="790"/>
      <c r="F427" s="790"/>
      <c r="G427" s="2203">
        <f>'Part IV-Uses of Funds'!G13</f>
        <v>0</v>
      </c>
      <c r="H427" s="2203"/>
      <c r="I427" s="790"/>
      <c r="J427" s="2203">
        <f>'Part IV-Uses of Funds'!J13</f>
        <v>0</v>
      </c>
      <c r="K427" s="2203"/>
      <c r="L427" s="805"/>
      <c r="M427" s="2203">
        <f>'Part IV-Uses of Funds'!M13</f>
        <v>0</v>
      </c>
      <c r="N427" s="2203"/>
      <c r="O427" s="790"/>
      <c r="P427" s="2203">
        <f>'Part IV-Uses of Funds'!P13</f>
        <v>0</v>
      </c>
      <c r="Q427" s="2203"/>
      <c r="R427" s="790"/>
      <c r="S427" s="2203">
        <f>'Part IV-Uses of Funds'!S13</f>
        <v>0</v>
      </c>
      <c r="T427" s="2203"/>
    </row>
    <row r="428" spans="1:20" ht="12.75" customHeight="1">
      <c r="A428" s="852" t="str">
        <f>IF(AND(G428&gt;0,OR(C428="",C428="&lt;Enter detailed description here; use Comments section if needed&gt;")),"X","")</f>
        <v/>
      </c>
      <c r="B428" s="790" t="s">
        <v>785</v>
      </c>
      <c r="C428" s="2204" t="str">
        <f>'Part IV-Uses of Funds'!C14</f>
        <v>&lt;Enter detailed description here; use Comments section if needed&gt;</v>
      </c>
      <c r="D428" s="2204"/>
      <c r="E428" s="2204"/>
      <c r="F428" s="2204"/>
      <c r="G428" s="2203">
        <f>'Part IV-Uses of Funds'!G14</f>
        <v>0</v>
      </c>
      <c r="H428" s="2203"/>
      <c r="I428" s="790"/>
      <c r="J428" s="2203">
        <f>'Part IV-Uses of Funds'!J14</f>
        <v>0</v>
      </c>
      <c r="K428" s="2203"/>
      <c r="L428" s="805"/>
      <c r="M428" s="2203">
        <f>'Part IV-Uses of Funds'!M14</f>
        <v>0</v>
      </c>
      <c r="N428" s="2203"/>
      <c r="O428" s="790"/>
      <c r="P428" s="2203">
        <f>'Part IV-Uses of Funds'!P14</f>
        <v>0</v>
      </c>
      <c r="Q428" s="2203"/>
      <c r="R428" s="790"/>
      <c r="S428" s="2203">
        <f>'Part IV-Uses of Funds'!S14</f>
        <v>0</v>
      </c>
      <c r="T428" s="2203"/>
    </row>
    <row r="429" spans="1:20" ht="12.75" customHeight="1">
      <c r="A429" s="852" t="str">
        <f>IF(AND(G429&gt;0,OR(C429="",C429="&lt;Enter detailed description here; use Comments section if needed&gt;")),"X","")</f>
        <v/>
      </c>
      <c r="B429" s="790" t="s">
        <v>785</v>
      </c>
      <c r="C429" s="2204" t="str">
        <f>'Part IV-Uses of Funds'!C15</f>
        <v>&lt;Enter detailed description here; use Comments section if needed&gt;</v>
      </c>
      <c r="D429" s="2204"/>
      <c r="E429" s="2204"/>
      <c r="F429" s="2204"/>
      <c r="G429" s="2203">
        <f>'Part IV-Uses of Funds'!G15</f>
        <v>0</v>
      </c>
      <c r="H429" s="2203"/>
      <c r="I429" s="790"/>
      <c r="J429" s="2203">
        <f>'Part IV-Uses of Funds'!J15</f>
        <v>0</v>
      </c>
      <c r="K429" s="2203"/>
      <c r="L429" s="805"/>
      <c r="M429" s="2203">
        <f>'Part IV-Uses of Funds'!M15</f>
        <v>0</v>
      </c>
      <c r="N429" s="2203"/>
      <c r="O429" s="790"/>
      <c r="P429" s="2203">
        <f>'Part IV-Uses of Funds'!P15</f>
        <v>0</v>
      </c>
      <c r="Q429" s="2203"/>
      <c r="R429" s="790"/>
      <c r="S429" s="2203">
        <f>'Part IV-Uses of Funds'!S15</f>
        <v>0</v>
      </c>
      <c r="T429" s="2203"/>
    </row>
    <row r="430" spans="1:20" ht="12.75" customHeight="1">
      <c r="A430" s="852" t="str">
        <f>IF(AND(G430&gt;0,OR(C430="",C430="&lt;Enter detailed description here; use Comments section if needed&gt;")),"X","")</f>
        <v/>
      </c>
      <c r="B430" s="790" t="s">
        <v>785</v>
      </c>
      <c r="C430" s="2204" t="str">
        <f>'Part IV-Uses of Funds'!C16</f>
        <v>&lt;Enter detailed description here; use Comments section if needed&gt;</v>
      </c>
      <c r="D430" s="2204"/>
      <c r="E430" s="2204"/>
      <c r="F430" s="2204"/>
      <c r="G430" s="2203">
        <f>'Part IV-Uses of Funds'!G16</f>
        <v>0</v>
      </c>
      <c r="H430" s="2203"/>
      <c r="I430" s="790"/>
      <c r="J430" s="2203">
        <f>'Part IV-Uses of Funds'!J16</f>
        <v>0</v>
      </c>
      <c r="K430" s="2203"/>
      <c r="L430" s="805"/>
      <c r="M430" s="2203">
        <f>'Part IV-Uses of Funds'!M16</f>
        <v>0</v>
      </c>
      <c r="N430" s="2203"/>
      <c r="O430" s="790"/>
      <c r="P430" s="2203">
        <f>'Part IV-Uses of Funds'!P16</f>
        <v>0</v>
      </c>
      <c r="Q430" s="2203"/>
      <c r="R430" s="790"/>
      <c r="S430" s="2203">
        <f>'Part IV-Uses of Funds'!S16</f>
        <v>0</v>
      </c>
      <c r="T430" s="2203"/>
    </row>
    <row r="431" spans="1:20">
      <c r="A431" s="790"/>
      <c r="B431" s="790"/>
      <c r="C431" s="790"/>
      <c r="D431" s="790"/>
      <c r="E431" s="790"/>
      <c r="F431" s="853" t="s">
        <v>199</v>
      </c>
      <c r="G431" s="2203">
        <f>SUM(G422:H430)</f>
        <v>36000</v>
      </c>
      <c r="H431" s="2203"/>
      <c r="I431" s="790"/>
      <c r="J431" s="2203">
        <f>SUM(J422:K430)</f>
        <v>36000</v>
      </c>
      <c r="K431" s="2217"/>
      <c r="L431" s="805"/>
      <c r="M431" s="2203">
        <f>SUM(M422:N430)</f>
        <v>0</v>
      </c>
      <c r="N431" s="2203"/>
      <c r="O431" s="790"/>
      <c r="P431" s="2203">
        <f>SUM(P422:Q430)</f>
        <v>0</v>
      </c>
      <c r="Q431" s="2203"/>
      <c r="R431" s="790"/>
      <c r="S431" s="2203">
        <f>SUM(S422:T430)</f>
        <v>0</v>
      </c>
      <c r="T431" s="2203"/>
    </row>
    <row r="432" spans="1:20">
      <c r="A432" s="790"/>
      <c r="B432" s="793" t="s">
        <v>2330</v>
      </c>
      <c r="C432" s="790"/>
      <c r="D432" s="790"/>
      <c r="E432" s="790"/>
      <c r="F432" s="790"/>
      <c r="G432" s="790"/>
      <c r="H432" s="790"/>
      <c r="I432" s="790"/>
      <c r="J432" s="851"/>
      <c r="K432" s="851"/>
      <c r="L432" s="790"/>
      <c r="M432" s="851"/>
      <c r="N432" s="851"/>
      <c r="O432" s="854" t="str">
        <f>B432</f>
        <v>ACQUISITION</v>
      </c>
      <c r="P432" s="851"/>
      <c r="Q432" s="851"/>
      <c r="R432" s="790"/>
      <c r="S432" s="851"/>
      <c r="T432" s="851"/>
    </row>
    <row r="433" spans="1:20">
      <c r="A433" s="790"/>
      <c r="B433" s="790" t="s">
        <v>2331</v>
      </c>
      <c r="C433" s="790"/>
      <c r="D433" s="790"/>
      <c r="E433" s="790"/>
      <c r="F433" s="790"/>
      <c r="G433" s="2203">
        <f>'Part IV-Uses of Funds'!G19</f>
        <v>750000</v>
      </c>
      <c r="H433" s="2203"/>
      <c r="I433" s="790"/>
      <c r="J433" s="805"/>
      <c r="K433" s="851"/>
      <c r="L433" s="805"/>
      <c r="M433" s="805"/>
      <c r="N433" s="851"/>
      <c r="O433" s="790"/>
      <c r="P433" s="805"/>
      <c r="Q433" s="851"/>
      <c r="R433" s="790"/>
      <c r="S433" s="2203">
        <f>'Part IV-Uses of Funds'!S19</f>
        <v>0</v>
      </c>
      <c r="T433" s="2203"/>
    </row>
    <row r="434" spans="1:20">
      <c r="A434" s="790"/>
      <c r="B434" s="790" t="s">
        <v>1178</v>
      </c>
      <c r="C434" s="790"/>
      <c r="D434" s="790"/>
      <c r="E434" s="790"/>
      <c r="F434" s="790"/>
      <c r="G434" s="2203">
        <f>'Part IV-Uses of Funds'!G20</f>
        <v>0</v>
      </c>
      <c r="H434" s="2203"/>
      <c r="I434" s="790"/>
      <c r="J434" s="805"/>
      <c r="K434" s="851"/>
      <c r="L434" s="805"/>
      <c r="M434" s="805"/>
      <c r="N434" s="851"/>
      <c r="O434" s="790"/>
      <c r="P434" s="805"/>
      <c r="Q434" s="851"/>
      <c r="R434" s="790"/>
      <c r="S434" s="2203">
        <f>'Part IV-Uses of Funds'!S20</f>
        <v>0</v>
      </c>
      <c r="T434" s="2203"/>
    </row>
    <row r="435" spans="1:20">
      <c r="A435" s="790"/>
      <c r="B435" s="790" t="s">
        <v>480</v>
      </c>
      <c r="C435" s="790"/>
      <c r="D435" s="790"/>
      <c r="E435" s="790"/>
      <c r="F435" s="790"/>
      <c r="G435" s="2203">
        <f>'Part IV-Uses of Funds'!G21</f>
        <v>0</v>
      </c>
      <c r="H435" s="2203"/>
      <c r="I435" s="790"/>
      <c r="J435" s="805"/>
      <c r="K435" s="851"/>
      <c r="L435" s="805"/>
      <c r="M435" s="2203">
        <f>'Part IV-Uses of Funds'!M21</f>
        <v>0</v>
      </c>
      <c r="N435" s="2203"/>
      <c r="O435" s="790"/>
      <c r="P435" s="805"/>
      <c r="Q435" s="851"/>
      <c r="R435" s="790"/>
      <c r="S435" s="2203">
        <f>'Part IV-Uses of Funds'!S21</f>
        <v>0</v>
      </c>
      <c r="T435" s="2203"/>
    </row>
    <row r="436" spans="1:20">
      <c r="A436" s="790"/>
      <c r="B436" s="790" t="s">
        <v>450</v>
      </c>
      <c r="C436" s="790"/>
      <c r="D436" s="790"/>
      <c r="E436" s="790"/>
      <c r="F436" s="790"/>
      <c r="G436" s="2203">
        <f>'Part IV-Uses of Funds'!G22</f>
        <v>0</v>
      </c>
      <c r="H436" s="2203"/>
      <c r="I436" s="790"/>
      <c r="J436" s="805"/>
      <c r="K436" s="851"/>
      <c r="L436" s="805"/>
      <c r="M436" s="2203">
        <f>'Part IV-Uses of Funds'!M22</f>
        <v>0</v>
      </c>
      <c r="N436" s="2203"/>
      <c r="O436" s="790"/>
      <c r="P436" s="805"/>
      <c r="Q436" s="851"/>
      <c r="R436" s="790"/>
      <c r="S436" s="2203">
        <f>'Part IV-Uses of Funds'!S22</f>
        <v>0</v>
      </c>
      <c r="T436" s="2203"/>
    </row>
    <row r="437" spans="1:20">
      <c r="A437" s="790"/>
      <c r="B437" s="790"/>
      <c r="C437" s="790"/>
      <c r="D437" s="790"/>
      <c r="E437" s="790"/>
      <c r="F437" s="853" t="s">
        <v>199</v>
      </c>
      <c r="G437" s="2203">
        <f>SUM(G433:H436)</f>
        <v>750000</v>
      </c>
      <c r="H437" s="2203"/>
      <c r="I437" s="790"/>
      <c r="J437" s="805"/>
      <c r="K437" s="851"/>
      <c r="L437" s="805"/>
      <c r="M437" s="2203">
        <f>SUM(M435:N436)</f>
        <v>0</v>
      </c>
      <c r="N437" s="2203"/>
      <c r="O437" s="790"/>
      <c r="P437" s="805"/>
      <c r="Q437" s="851"/>
      <c r="R437" s="790"/>
      <c r="S437" s="2203">
        <f>SUM(S433:T436)</f>
        <v>0</v>
      </c>
      <c r="T437" s="2203"/>
    </row>
    <row r="438" spans="1:20">
      <c r="A438" s="790"/>
      <c r="B438" s="793" t="s">
        <v>1179</v>
      </c>
      <c r="C438" s="790"/>
      <c r="D438" s="790"/>
      <c r="E438" s="790"/>
      <c r="F438" s="790"/>
      <c r="G438" s="790"/>
      <c r="H438" s="790"/>
      <c r="I438" s="790"/>
      <c r="J438" s="805"/>
      <c r="K438" s="851"/>
      <c r="L438" s="790"/>
      <c r="M438" s="805"/>
      <c r="N438" s="851"/>
      <c r="O438" s="854" t="str">
        <f>B438</f>
        <v>LAND IMPROVEMENTS</v>
      </c>
      <c r="P438" s="805"/>
      <c r="Q438" s="851"/>
      <c r="R438" s="790"/>
      <c r="S438" s="805"/>
      <c r="T438" s="851"/>
    </row>
    <row r="439" spans="1:20">
      <c r="A439" s="790"/>
      <c r="B439" s="790" t="s">
        <v>1180</v>
      </c>
      <c r="C439" s="790"/>
      <c r="D439" s="790"/>
      <c r="E439" s="790"/>
      <c r="F439" s="790"/>
      <c r="G439" s="2203">
        <f>'Part IV-Uses of Funds'!G25</f>
        <v>1200000</v>
      </c>
      <c r="H439" s="2203"/>
      <c r="I439" s="790"/>
      <c r="J439" s="2203">
        <f>'Part IV-Uses of Funds'!J25</f>
        <v>1140000</v>
      </c>
      <c r="K439" s="2203"/>
      <c r="L439" s="805"/>
      <c r="M439" s="2203">
        <f>'Part IV-Uses of Funds'!M25</f>
        <v>0</v>
      </c>
      <c r="N439" s="2203"/>
      <c r="O439" s="790"/>
      <c r="P439" s="2203">
        <f>'Part IV-Uses of Funds'!P25</f>
        <v>0</v>
      </c>
      <c r="Q439" s="2203"/>
      <c r="R439" s="790"/>
      <c r="S439" s="2203">
        <f>'Part IV-Uses of Funds'!S25</f>
        <v>60000</v>
      </c>
      <c r="T439" s="2203"/>
    </row>
    <row r="440" spans="1:20">
      <c r="A440" s="790"/>
      <c r="B440" s="790" t="s">
        <v>1181</v>
      </c>
      <c r="C440" s="790"/>
      <c r="D440" s="790"/>
      <c r="E440" s="790"/>
      <c r="F440" s="790"/>
      <c r="G440" s="2203">
        <f>'Part IV-Uses of Funds'!G26</f>
        <v>0</v>
      </c>
      <c r="H440" s="2203"/>
      <c r="I440" s="790"/>
      <c r="J440" s="2203">
        <f>'Part IV-Uses of Funds'!J26</f>
        <v>0</v>
      </c>
      <c r="K440" s="2203"/>
      <c r="L440" s="855"/>
      <c r="M440" s="2203"/>
      <c r="N440" s="2203"/>
      <c r="O440" s="790"/>
      <c r="P440" s="2203"/>
      <c r="Q440" s="2203"/>
      <c r="R440" s="790"/>
      <c r="S440" s="2203">
        <f>'Part IV-Uses of Funds'!S26</f>
        <v>0</v>
      </c>
      <c r="T440" s="2203"/>
    </row>
    <row r="441" spans="1:20">
      <c r="A441" s="790"/>
      <c r="B441" s="790"/>
      <c r="C441" s="790"/>
      <c r="D441" s="790"/>
      <c r="E441" s="790"/>
      <c r="F441" s="853" t="s">
        <v>199</v>
      </c>
      <c r="G441" s="2203">
        <f>SUM(G439:H440)</f>
        <v>1200000</v>
      </c>
      <c r="H441" s="2203"/>
      <c r="I441" s="790"/>
      <c r="J441" s="2203">
        <f>SUM(J439:K440)</f>
        <v>1140000</v>
      </c>
      <c r="K441" s="2203"/>
      <c r="L441" s="805"/>
      <c r="M441" s="2203">
        <f>M439</f>
        <v>0</v>
      </c>
      <c r="N441" s="2203"/>
      <c r="O441" s="790"/>
      <c r="P441" s="2203">
        <f>P439</f>
        <v>0</v>
      </c>
      <c r="Q441" s="2203"/>
      <c r="R441" s="790"/>
      <c r="S441" s="2203">
        <f>SUM(S439:T440)</f>
        <v>60000</v>
      </c>
      <c r="T441" s="2203"/>
    </row>
    <row r="442" spans="1:20">
      <c r="A442" s="790"/>
      <c r="B442" s="793" t="s">
        <v>1182</v>
      </c>
      <c r="C442" s="790"/>
      <c r="D442" s="790"/>
      <c r="E442" s="790"/>
      <c r="F442" s="790"/>
      <c r="G442" s="790"/>
      <c r="H442" s="790"/>
      <c r="I442" s="790"/>
      <c r="J442" s="805"/>
      <c r="K442" s="851"/>
      <c r="L442" s="790"/>
      <c r="M442" s="805"/>
      <c r="N442" s="851"/>
      <c r="O442" s="854" t="str">
        <f>B442</f>
        <v>STRUCTURES</v>
      </c>
      <c r="P442" s="805"/>
      <c r="Q442" s="851"/>
      <c r="R442" s="790"/>
      <c r="S442" s="805"/>
      <c r="T442" s="851"/>
    </row>
    <row r="443" spans="1:20">
      <c r="A443" s="790"/>
      <c r="B443" s="790" t="s">
        <v>1183</v>
      </c>
      <c r="C443" s="790"/>
      <c r="D443" s="790"/>
      <c r="E443" s="790"/>
      <c r="F443" s="790"/>
      <c r="G443" s="2203">
        <f>'Part IV-Uses of Funds'!G29</f>
        <v>5606400</v>
      </c>
      <c r="H443" s="2203"/>
      <c r="I443" s="790"/>
      <c r="J443" s="2203">
        <f>'Part IV-Uses of Funds'!J29</f>
        <v>5606400</v>
      </c>
      <c r="K443" s="2203"/>
      <c r="L443" s="805"/>
      <c r="M443" s="2203">
        <f>'Part IV-Uses of Funds'!M29</f>
        <v>0</v>
      </c>
      <c r="N443" s="2203"/>
      <c r="O443" s="790"/>
      <c r="P443" s="2203">
        <f>'Part IV-Uses of Funds'!P29</f>
        <v>0</v>
      </c>
      <c r="Q443" s="2203"/>
      <c r="R443" s="790"/>
      <c r="S443" s="2203">
        <f>'Part IV-Uses of Funds'!S29</f>
        <v>0</v>
      </c>
      <c r="T443" s="2203"/>
    </row>
    <row r="444" spans="1:20">
      <c r="A444" s="790"/>
      <c r="B444" s="790" t="s">
        <v>1184</v>
      </c>
      <c r="C444" s="790"/>
      <c r="D444" s="790"/>
      <c r="E444" s="790"/>
      <c r="F444" s="790"/>
      <c r="G444" s="2203">
        <f>'Part IV-Uses of Funds'!G30</f>
        <v>0</v>
      </c>
      <c r="H444" s="2203"/>
      <c r="I444" s="790"/>
      <c r="J444" s="2203">
        <f>'Part IV-Uses of Funds'!J30</f>
        <v>0</v>
      </c>
      <c r="K444" s="2203"/>
      <c r="L444" s="805"/>
      <c r="M444" s="2203">
        <f>'Part IV-Uses of Funds'!M30</f>
        <v>0</v>
      </c>
      <c r="N444" s="2203"/>
      <c r="O444" s="790"/>
      <c r="P444" s="2203">
        <f>'Part IV-Uses of Funds'!P30</f>
        <v>0</v>
      </c>
      <c r="Q444" s="2203"/>
      <c r="R444" s="790"/>
      <c r="S444" s="2203">
        <f>'Part IV-Uses of Funds'!S30</f>
        <v>0</v>
      </c>
      <c r="T444" s="2203"/>
    </row>
    <row r="445" spans="1:20">
      <c r="A445" s="790"/>
      <c r="B445" s="790" t="s">
        <v>3054</v>
      </c>
      <c r="C445" s="790"/>
      <c r="D445" s="790"/>
      <c r="E445" s="790"/>
      <c r="F445" s="790"/>
      <c r="G445" s="2203">
        <f>'Part IV-Uses of Funds'!G31</f>
        <v>0</v>
      </c>
      <c r="H445" s="2203"/>
      <c r="I445" s="790"/>
      <c r="J445" s="2203">
        <f>'Part IV-Uses of Funds'!J31</f>
        <v>0</v>
      </c>
      <c r="K445" s="2203"/>
      <c r="L445" s="805"/>
      <c r="M445" s="2203">
        <f>'Part IV-Uses of Funds'!M31</f>
        <v>0</v>
      </c>
      <c r="N445" s="2203"/>
      <c r="O445" s="790"/>
      <c r="P445" s="2203">
        <f>'Part IV-Uses of Funds'!P31</f>
        <v>0</v>
      </c>
      <c r="Q445" s="2203"/>
      <c r="R445" s="790"/>
      <c r="S445" s="2203">
        <f>'Part IV-Uses of Funds'!S31</f>
        <v>0</v>
      </c>
      <c r="T445" s="2203"/>
    </row>
    <row r="446" spans="1:20">
      <c r="A446" s="795"/>
      <c r="B446" s="790" t="s">
        <v>3053</v>
      </c>
      <c r="C446" s="795"/>
      <c r="D446" s="795"/>
      <c r="E446" s="795"/>
      <c r="F446" s="795"/>
      <c r="G446" s="2203">
        <f>'Part IV-Uses of Funds'!G32</f>
        <v>0</v>
      </c>
      <c r="H446" s="2203"/>
      <c r="I446" s="790"/>
      <c r="J446" s="2203">
        <f>'Part IV-Uses of Funds'!J32</f>
        <v>0</v>
      </c>
      <c r="K446" s="2203"/>
      <c r="L446" s="805"/>
      <c r="M446" s="2203">
        <f>'Part IV-Uses of Funds'!M32</f>
        <v>0</v>
      </c>
      <c r="N446" s="2203"/>
      <c r="O446" s="790"/>
      <c r="P446" s="2203">
        <f>'Part IV-Uses of Funds'!P32</f>
        <v>0</v>
      </c>
      <c r="Q446" s="2203"/>
      <c r="R446" s="790"/>
      <c r="S446" s="2203">
        <f>'Part IV-Uses of Funds'!S32</f>
        <v>0</v>
      </c>
      <c r="T446" s="2203"/>
    </row>
    <row r="447" spans="1:20">
      <c r="A447" s="790"/>
      <c r="B447" s="790"/>
      <c r="C447" s="2216"/>
      <c r="D447" s="2216"/>
      <c r="E447" s="856"/>
      <c r="F447" s="853" t="s">
        <v>199</v>
      </c>
      <c r="G447" s="2203">
        <f>SUM(G443:H446)</f>
        <v>5606400</v>
      </c>
      <c r="H447" s="2203"/>
      <c r="I447" s="790"/>
      <c r="J447" s="2203">
        <f>SUM(J443:K446)</f>
        <v>5606400</v>
      </c>
      <c r="K447" s="2203"/>
      <c r="L447" s="805"/>
      <c r="M447" s="2203">
        <f>SUM(M443:N446)</f>
        <v>0</v>
      </c>
      <c r="N447" s="2203"/>
      <c r="O447" s="790"/>
      <c r="P447" s="2203">
        <f>SUM(P443:Q446)</f>
        <v>0</v>
      </c>
      <c r="Q447" s="2203"/>
      <c r="R447" s="790"/>
      <c r="S447" s="2203">
        <f>SUM(S443:T446)</f>
        <v>0</v>
      </c>
      <c r="T447" s="2203"/>
    </row>
    <row r="448" spans="1:20">
      <c r="A448" s="790"/>
      <c r="B448" s="793" t="s">
        <v>2486</v>
      </c>
      <c r="C448" s="790"/>
      <c r="D448" s="790"/>
      <c r="E448" s="857">
        <f>SUM(E449:E451)</f>
        <v>0.14000000000000001</v>
      </c>
      <c r="F448" s="790"/>
      <c r="G448" s="793"/>
      <c r="H448" s="795"/>
      <c r="I448" s="795"/>
      <c r="J448" s="805"/>
      <c r="K448" s="851"/>
      <c r="L448" s="790"/>
      <c r="M448" s="805"/>
      <c r="N448" s="851"/>
      <c r="O448" s="854" t="str">
        <f>B448</f>
        <v>CONTRACTOR SERVICES</v>
      </c>
      <c r="P448" s="805"/>
      <c r="Q448" s="851"/>
      <c r="R448" s="790"/>
      <c r="S448" s="805"/>
      <c r="T448" s="851"/>
    </row>
    <row r="449" spans="1:20">
      <c r="A449" s="790"/>
      <c r="B449" s="790" t="s">
        <v>2487</v>
      </c>
      <c r="C449" s="790"/>
      <c r="D449" s="790"/>
      <c r="E449" s="858">
        <f>'Part IV-Uses of Funds'!E35</f>
        <v>0.06</v>
      </c>
      <c r="F449" s="859">
        <f>'Part IV-Uses of Funds'!F35</f>
        <v>408384</v>
      </c>
      <c r="G449" s="2203">
        <f>'Part IV-Uses of Funds'!G35</f>
        <v>408384</v>
      </c>
      <c r="H449" s="2203"/>
      <c r="I449" s="795"/>
      <c r="J449" s="2203">
        <f>'Part IV-Uses of Funds'!J35</f>
        <v>408384</v>
      </c>
      <c r="K449" s="2203"/>
      <c r="L449" s="805"/>
      <c r="M449" s="2203">
        <f>'Part IV-Uses of Funds'!M35</f>
        <v>0</v>
      </c>
      <c r="N449" s="2203"/>
      <c r="O449" s="790"/>
      <c r="P449" s="2203">
        <f>'Part IV-Uses of Funds'!P35</f>
        <v>0</v>
      </c>
      <c r="Q449" s="2203"/>
      <c r="R449" s="790"/>
      <c r="S449" s="2203">
        <f>'Part IV-Uses of Funds'!S35</f>
        <v>0</v>
      </c>
      <c r="T449" s="2203"/>
    </row>
    <row r="450" spans="1:20">
      <c r="A450" s="790"/>
      <c r="B450" s="790" t="s">
        <v>2989</v>
      </c>
      <c r="C450" s="790"/>
      <c r="D450" s="790"/>
      <c r="E450" s="858">
        <f>'Part IV-Uses of Funds'!E36</f>
        <v>0.02</v>
      </c>
      <c r="F450" s="859">
        <f>'Part IV-Uses of Funds'!F36</f>
        <v>136128</v>
      </c>
      <c r="G450" s="2203">
        <f>'Part IV-Uses of Funds'!G36</f>
        <v>136128</v>
      </c>
      <c r="H450" s="2203"/>
      <c r="I450" s="795"/>
      <c r="J450" s="2203">
        <f>'Part IV-Uses of Funds'!J36</f>
        <v>136128</v>
      </c>
      <c r="K450" s="2203"/>
      <c r="L450" s="805"/>
      <c r="M450" s="2203">
        <f>'Part IV-Uses of Funds'!M36</f>
        <v>0</v>
      </c>
      <c r="N450" s="2203"/>
      <c r="O450" s="790"/>
      <c r="P450" s="2203">
        <f>'Part IV-Uses of Funds'!P36</f>
        <v>0</v>
      </c>
      <c r="Q450" s="2203"/>
      <c r="R450" s="790"/>
      <c r="S450" s="2203">
        <f>'Part IV-Uses of Funds'!S36</f>
        <v>0</v>
      </c>
      <c r="T450" s="2203"/>
    </row>
    <row r="451" spans="1:20">
      <c r="A451" s="790"/>
      <c r="B451" s="790" t="s">
        <v>2990</v>
      </c>
      <c r="C451" s="790"/>
      <c r="D451" s="790"/>
      <c r="E451" s="858">
        <f>'Part IV-Uses of Funds'!E37</f>
        <v>0.06</v>
      </c>
      <c r="F451" s="859">
        <f>'Part IV-Uses of Funds'!F37</f>
        <v>408384</v>
      </c>
      <c r="G451" s="2203">
        <f>'Part IV-Uses of Funds'!G37</f>
        <v>408384</v>
      </c>
      <c r="H451" s="2203"/>
      <c r="I451" s="795"/>
      <c r="J451" s="2203">
        <f>'Part IV-Uses of Funds'!J37</f>
        <v>408384</v>
      </c>
      <c r="K451" s="2203"/>
      <c r="L451" s="805"/>
      <c r="M451" s="2203">
        <f>'Part IV-Uses of Funds'!M37</f>
        <v>0</v>
      </c>
      <c r="N451" s="2203"/>
      <c r="O451" s="790"/>
      <c r="P451" s="2203">
        <f>'Part IV-Uses of Funds'!P37</f>
        <v>0</v>
      </c>
      <c r="Q451" s="2203"/>
      <c r="R451" s="790"/>
      <c r="S451" s="2203">
        <f>'Part IV-Uses of Funds'!S37</f>
        <v>0</v>
      </c>
      <c r="T451" s="2203"/>
    </row>
    <row r="452" spans="1:20">
      <c r="A452" s="790"/>
      <c r="B452" s="790" t="s">
        <v>2169</v>
      </c>
      <c r="C452" s="790"/>
      <c r="D452" s="860"/>
      <c r="E452" s="790"/>
      <c r="F452" s="853" t="s">
        <v>199</v>
      </c>
      <c r="G452" s="2203">
        <f>SUM(G449:H451)</f>
        <v>952896</v>
      </c>
      <c r="H452" s="2203"/>
      <c r="I452" s="790"/>
      <c r="J452" s="2203">
        <f>SUM(J449:K451)</f>
        <v>952896</v>
      </c>
      <c r="K452" s="2203"/>
      <c r="L452" s="805"/>
      <c r="M452" s="2203">
        <f>SUM(M449:N451)</f>
        <v>0</v>
      </c>
      <c r="N452" s="2203"/>
      <c r="O452" s="790"/>
      <c r="P452" s="2203">
        <f>SUM(P449:Q451)</f>
        <v>0</v>
      </c>
      <c r="Q452" s="2203"/>
      <c r="R452" s="790"/>
      <c r="S452" s="2203">
        <f>SUM(S449:T451)</f>
        <v>0</v>
      </c>
      <c r="T452" s="2203"/>
    </row>
    <row r="453" spans="1:20">
      <c r="A453" s="789"/>
      <c r="B453" s="789"/>
      <c r="C453" s="789"/>
      <c r="D453" s="789"/>
      <c r="E453" s="789"/>
      <c r="F453" s="789"/>
      <c r="G453" s="789"/>
      <c r="H453" s="789"/>
      <c r="I453" s="789"/>
      <c r="J453" s="789"/>
      <c r="K453" s="789"/>
      <c r="L453" s="789"/>
      <c r="M453" s="789"/>
      <c r="N453" s="789"/>
      <c r="O453" s="789"/>
      <c r="P453" s="789"/>
      <c r="Q453" s="789"/>
      <c r="R453" s="789"/>
      <c r="S453" s="789"/>
      <c r="T453" s="789"/>
    </row>
    <row r="454" spans="1:20">
      <c r="A454" s="790"/>
      <c r="B454" s="793" t="s">
        <v>3379</v>
      </c>
      <c r="C454" s="790"/>
      <c r="D454" s="790"/>
      <c r="E454" s="790"/>
      <c r="F454" s="790"/>
      <c r="G454" s="790"/>
      <c r="H454" s="790"/>
      <c r="I454" s="790"/>
      <c r="J454" s="805"/>
      <c r="K454" s="851"/>
      <c r="L454" s="790"/>
      <c r="M454" s="805"/>
      <c r="N454" s="851"/>
      <c r="O454" s="854" t="str">
        <f>B454</f>
        <v>OTHER CONSTRUCTION HARD COSTS (Non-GC work scope items done by Owner)</v>
      </c>
      <c r="P454" s="805"/>
      <c r="Q454" s="851"/>
      <c r="R454" s="790"/>
      <c r="S454" s="805"/>
      <c r="T454" s="851"/>
    </row>
    <row r="455" spans="1:20">
      <c r="A455" s="795"/>
      <c r="B455" s="790" t="s">
        <v>785</v>
      </c>
      <c r="C455" s="2204" t="str">
        <f>'Part IV-Uses of Funds'!C41</f>
        <v>&lt;Enter detailed description here; use Comments section if needed&gt;</v>
      </c>
      <c r="D455" s="2204"/>
      <c r="E455" s="2204"/>
      <c r="F455" s="2204"/>
      <c r="G455" s="2203">
        <f>'Part IV-Uses of Funds'!G41</f>
        <v>0</v>
      </c>
      <c r="H455" s="2203"/>
      <c r="I455" s="790"/>
      <c r="J455" s="2203">
        <f>'Part IV-Uses of Funds'!J41</f>
        <v>0</v>
      </c>
      <c r="K455" s="2203"/>
      <c r="L455" s="805"/>
      <c r="M455" s="2203">
        <f>'Part IV-Uses of Funds'!M41</f>
        <v>0</v>
      </c>
      <c r="N455" s="2203"/>
      <c r="O455" s="790"/>
      <c r="P455" s="2203">
        <f>'Part IV-Uses of Funds'!P41</f>
        <v>0</v>
      </c>
      <c r="Q455" s="2203"/>
      <c r="R455" s="790"/>
      <c r="S455" s="2203">
        <f>'Part IV-Uses of Funds'!S41</f>
        <v>0</v>
      </c>
      <c r="T455" s="2203"/>
    </row>
    <row r="456" spans="1:20">
      <c r="A456" s="789"/>
      <c r="B456" s="789"/>
      <c r="C456" s="789"/>
      <c r="D456" s="789"/>
      <c r="E456" s="789"/>
      <c r="F456" s="789"/>
      <c r="G456" s="789"/>
      <c r="H456" s="789"/>
      <c r="I456" s="789"/>
      <c r="J456" s="789"/>
      <c r="K456" s="789"/>
      <c r="L456" s="789"/>
      <c r="M456" s="789"/>
      <c r="N456" s="789"/>
      <c r="O456" s="789"/>
      <c r="P456" s="789"/>
      <c r="Q456" s="789"/>
      <c r="R456" s="789"/>
      <c r="S456" s="789"/>
      <c r="T456" s="789"/>
    </row>
    <row r="457" spans="1:20">
      <c r="A457" s="790"/>
      <c r="B457" s="861" t="s">
        <v>3380</v>
      </c>
      <c r="C457" s="862"/>
      <c r="D457" s="790"/>
      <c r="E457" s="2206" t="s">
        <v>2999</v>
      </c>
      <c r="F457" s="863">
        <f>B458/'Part VI-Revenues &amp; Expenses'!$M$60</f>
        <v>92372.571428571435</v>
      </c>
      <c r="G457" s="864" t="s">
        <v>3381</v>
      </c>
      <c r="H457" s="790"/>
      <c r="I457" s="790"/>
      <c r="J457" s="2212">
        <f>B458/'Part VI-Revenues &amp; Expenses'!$M$62</f>
        <v>92372.571428571435</v>
      </c>
      <c r="K457" s="2212"/>
      <c r="L457" s="790"/>
      <c r="M457" s="2213" t="s">
        <v>1486</v>
      </c>
      <c r="N457" s="2213"/>
      <c r="O457" s="790"/>
      <c r="P457" s="2212">
        <f>B458/'Part I-Project Information'!$P$59</f>
        <v>88.576438356164388</v>
      </c>
      <c r="Q457" s="2212"/>
      <c r="R457" s="790"/>
      <c r="S457" s="2214" t="s">
        <v>3052</v>
      </c>
      <c r="T457" s="2214"/>
    </row>
    <row r="458" spans="1:20">
      <c r="A458" s="790"/>
      <c r="B458" s="2215">
        <f>G441+G447+G452+G455</f>
        <v>7759296</v>
      </c>
      <c r="C458" s="2215"/>
      <c r="D458" s="790"/>
      <c r="E458" s="2206"/>
      <c r="F458" s="863">
        <f>B458/'Part VI-Revenues &amp; Expenses'!$M$98</f>
        <v>111.48413793103448</v>
      </c>
      <c r="G458" s="810" t="s">
        <v>3382</v>
      </c>
      <c r="H458" s="790"/>
      <c r="I458" s="790"/>
      <c r="J458" s="2212">
        <f>B458/'Part VI-Revenues &amp; Expenses'!$M$100</f>
        <v>111.48413793103448</v>
      </c>
      <c r="K458" s="2212"/>
      <c r="L458" s="790"/>
      <c r="M458" s="2214" t="s">
        <v>3051</v>
      </c>
      <c r="N458" s="2214"/>
      <c r="O458" s="790"/>
      <c r="P458" s="790"/>
      <c r="Q458" s="790"/>
      <c r="R458" s="790"/>
      <c r="S458" s="790"/>
      <c r="T458" s="790"/>
    </row>
    <row r="459" spans="1:20">
      <c r="A459" s="789"/>
      <c r="B459" s="789"/>
      <c r="C459" s="789"/>
      <c r="D459" s="789"/>
      <c r="E459" s="789"/>
      <c r="F459" s="789"/>
      <c r="G459" s="789"/>
      <c r="H459" s="789"/>
      <c r="I459" s="789"/>
      <c r="J459" s="789"/>
      <c r="K459" s="789"/>
      <c r="L459" s="789"/>
      <c r="M459" s="789"/>
      <c r="N459" s="789"/>
      <c r="O459" s="789"/>
      <c r="P459" s="789"/>
      <c r="Q459" s="789"/>
      <c r="R459" s="789"/>
      <c r="S459" s="789"/>
      <c r="T459" s="789"/>
    </row>
    <row r="460" spans="1:20">
      <c r="A460" s="790"/>
      <c r="B460" s="793" t="s">
        <v>1185</v>
      </c>
      <c r="C460" s="790"/>
      <c r="D460" s="790"/>
      <c r="E460" s="790"/>
      <c r="F460" s="790"/>
      <c r="G460" s="790"/>
      <c r="H460" s="790"/>
      <c r="I460" s="790"/>
      <c r="J460" s="805"/>
      <c r="K460" s="851"/>
      <c r="L460" s="790"/>
      <c r="M460" s="805"/>
      <c r="N460" s="851"/>
      <c r="O460" s="854" t="str">
        <f>B460</f>
        <v>CONSTRUCTION CONTINGENCY</v>
      </c>
      <c r="P460" s="805"/>
      <c r="Q460" s="851"/>
      <c r="R460" s="790"/>
      <c r="S460" s="805"/>
      <c r="T460" s="851"/>
    </row>
    <row r="461" spans="1:20">
      <c r="A461" s="795"/>
      <c r="B461" s="790" t="s">
        <v>2088</v>
      </c>
      <c r="C461" s="795"/>
      <c r="D461" s="795"/>
      <c r="E461" s="795"/>
      <c r="F461" s="865" t="e">
        <f>G461/$B$44</f>
        <v>#DIV/0!</v>
      </c>
      <c r="G461" s="2203">
        <f>'Part IV-Uses of Funds'!G47</f>
        <v>387964</v>
      </c>
      <c r="H461" s="2203"/>
      <c r="I461" s="790"/>
      <c r="J461" s="2203">
        <f>'Part IV-Uses of Funds'!J47</f>
        <v>387964</v>
      </c>
      <c r="K461" s="2203"/>
      <c r="L461" s="805"/>
      <c r="M461" s="2203">
        <f>'Part IV-Uses of Funds'!M47</f>
        <v>0</v>
      </c>
      <c r="N461" s="2203"/>
      <c r="O461" s="790"/>
      <c r="P461" s="2203">
        <f>'Part IV-Uses of Funds'!P47</f>
        <v>0</v>
      </c>
      <c r="Q461" s="2203"/>
      <c r="R461" s="790"/>
      <c r="S461" s="2203">
        <f>'Part IV-Uses of Funds'!S47</f>
        <v>0</v>
      </c>
      <c r="T461" s="2203"/>
    </row>
    <row r="462" spans="1:20">
      <c r="A462" s="789"/>
      <c r="B462" s="789"/>
      <c r="C462" s="789"/>
      <c r="D462" s="789"/>
      <c r="E462" s="789"/>
      <c r="F462" s="789"/>
      <c r="G462" s="789"/>
      <c r="H462" s="789"/>
      <c r="I462" s="789"/>
      <c r="J462" s="789"/>
      <c r="K462" s="789"/>
      <c r="L462" s="789"/>
      <c r="M462" s="789"/>
      <c r="N462" s="789"/>
      <c r="O462" s="789"/>
      <c r="P462" s="789"/>
      <c r="Q462" s="789"/>
      <c r="R462" s="789"/>
      <c r="S462" s="789"/>
      <c r="T462" s="789"/>
    </row>
    <row r="463" spans="1:20">
      <c r="A463" s="789"/>
      <c r="B463" s="789"/>
      <c r="C463" s="789"/>
      <c r="D463" s="789"/>
      <c r="E463" s="789"/>
      <c r="F463" s="789"/>
      <c r="G463" s="789"/>
      <c r="H463" s="789"/>
      <c r="I463" s="789"/>
      <c r="J463" s="789"/>
      <c r="K463" s="789"/>
      <c r="L463" s="789"/>
      <c r="M463" s="789"/>
      <c r="N463" s="789"/>
      <c r="O463" s="789"/>
      <c r="P463" s="789"/>
      <c r="Q463" s="789"/>
      <c r="R463" s="789"/>
      <c r="S463" s="789"/>
      <c r="T463" s="789"/>
    </row>
    <row r="464" spans="1:20" ht="16.5">
      <c r="A464" s="850" t="s">
        <v>652</v>
      </c>
      <c r="B464" s="850" t="s">
        <v>3383</v>
      </c>
      <c r="C464" s="790"/>
      <c r="D464" s="790"/>
      <c r="E464" s="790"/>
      <c r="F464" s="790"/>
      <c r="G464" s="790"/>
      <c r="H464" s="790"/>
      <c r="I464" s="790"/>
      <c r="J464" s="2206" t="s">
        <v>285</v>
      </c>
      <c r="K464" s="2206"/>
      <c r="L464" s="851"/>
      <c r="M464" s="2210" t="s">
        <v>516</v>
      </c>
      <c r="N464" s="2210"/>
      <c r="O464" s="790"/>
      <c r="P464" s="2206" t="s">
        <v>286</v>
      </c>
      <c r="Q464" s="2206"/>
      <c r="R464" s="790"/>
      <c r="S464" s="2206" t="s">
        <v>287</v>
      </c>
      <c r="T464" s="2206"/>
    </row>
    <row r="465" spans="1:20">
      <c r="A465" s="790"/>
      <c r="B465" s="790"/>
      <c r="C465" s="790"/>
      <c r="D465" s="790"/>
      <c r="E465" s="790"/>
      <c r="F465" s="790"/>
      <c r="G465" s="2211" t="s">
        <v>104</v>
      </c>
      <c r="H465" s="2211"/>
      <c r="I465" s="790"/>
      <c r="J465" s="2206"/>
      <c r="K465" s="2206"/>
      <c r="L465" s="851"/>
      <c r="M465" s="2210"/>
      <c r="N465" s="2210"/>
      <c r="O465" s="790"/>
      <c r="P465" s="2206"/>
      <c r="Q465" s="2206"/>
      <c r="R465" s="790"/>
      <c r="S465" s="2206"/>
      <c r="T465" s="2206"/>
    </row>
    <row r="466" spans="1:20">
      <c r="A466" s="790"/>
      <c r="B466" s="793" t="s">
        <v>766</v>
      </c>
      <c r="C466" s="790"/>
      <c r="D466" s="790"/>
      <c r="E466" s="790"/>
      <c r="F466" s="790"/>
      <c r="G466" s="790"/>
      <c r="H466" s="790"/>
      <c r="I466" s="790"/>
      <c r="J466" s="805"/>
      <c r="K466" s="851"/>
      <c r="L466" s="790"/>
      <c r="M466" s="805"/>
      <c r="N466" s="851"/>
      <c r="O466" s="854" t="str">
        <f>B466</f>
        <v>CONSTRUCTION PERIOD FINANCING</v>
      </c>
      <c r="P466" s="805"/>
      <c r="Q466" s="851"/>
      <c r="R466" s="790"/>
      <c r="S466" s="805"/>
      <c r="T466" s="851"/>
    </row>
    <row r="467" spans="1:20">
      <c r="A467" s="790"/>
      <c r="B467" s="790" t="s">
        <v>2489</v>
      </c>
      <c r="C467" s="790"/>
      <c r="D467" s="790"/>
      <c r="E467" s="790"/>
      <c r="F467" s="790"/>
      <c r="G467" s="2203">
        <f>'Part IV-Uses of Funds'!G53</f>
        <v>83653</v>
      </c>
      <c r="H467" s="2203"/>
      <c r="I467" s="790"/>
      <c r="J467" s="2203">
        <f>'Part IV-Uses of Funds'!J53</f>
        <v>83653</v>
      </c>
      <c r="K467" s="2203"/>
      <c r="L467" s="805"/>
      <c r="M467" s="2203">
        <f>'Part IV-Uses of Funds'!M53</f>
        <v>0</v>
      </c>
      <c r="N467" s="2203"/>
      <c r="O467" s="790"/>
      <c r="P467" s="2203">
        <f>'Part IV-Uses of Funds'!P53</f>
        <v>0</v>
      </c>
      <c r="Q467" s="2203"/>
      <c r="R467" s="790"/>
      <c r="S467" s="2203">
        <f>'Part IV-Uses of Funds'!S53</f>
        <v>0</v>
      </c>
      <c r="T467" s="2203"/>
    </row>
    <row r="468" spans="1:20">
      <c r="A468" s="790"/>
      <c r="B468" s="790" t="s">
        <v>2490</v>
      </c>
      <c r="C468" s="790"/>
      <c r="D468" s="790"/>
      <c r="E468" s="790"/>
      <c r="F468" s="790"/>
      <c r="G468" s="2203">
        <f>'Part IV-Uses of Funds'!G54</f>
        <v>328185</v>
      </c>
      <c r="H468" s="2203"/>
      <c r="I468" s="790"/>
      <c r="J468" s="2203">
        <f>'Part IV-Uses of Funds'!J54</f>
        <v>235744</v>
      </c>
      <c r="K468" s="2203"/>
      <c r="L468" s="805"/>
      <c r="M468" s="2203">
        <f>'Part IV-Uses of Funds'!M54</f>
        <v>0</v>
      </c>
      <c r="N468" s="2203"/>
      <c r="O468" s="790"/>
      <c r="P468" s="2203">
        <f>'Part IV-Uses of Funds'!P54</f>
        <v>0</v>
      </c>
      <c r="Q468" s="2203"/>
      <c r="R468" s="790"/>
      <c r="S468" s="2203">
        <f>'Part IV-Uses of Funds'!S54</f>
        <v>92441</v>
      </c>
      <c r="T468" s="2203"/>
    </row>
    <row r="469" spans="1:20">
      <c r="A469" s="790"/>
      <c r="B469" s="790" t="s">
        <v>2491</v>
      </c>
      <c r="C469" s="790"/>
      <c r="D469" s="790"/>
      <c r="E469" s="790"/>
      <c r="F469" s="790"/>
      <c r="G469" s="2203">
        <f>'Part IV-Uses of Funds'!G55</f>
        <v>0</v>
      </c>
      <c r="H469" s="2203"/>
      <c r="I469" s="790"/>
      <c r="J469" s="2203">
        <f>'Part IV-Uses of Funds'!J55</f>
        <v>0</v>
      </c>
      <c r="K469" s="2203"/>
      <c r="L469" s="805"/>
      <c r="M469" s="2203">
        <f>'Part IV-Uses of Funds'!M55</f>
        <v>0</v>
      </c>
      <c r="N469" s="2203"/>
      <c r="O469" s="790"/>
      <c r="P469" s="2203">
        <f>'Part IV-Uses of Funds'!P55</f>
        <v>0</v>
      </c>
      <c r="Q469" s="2203"/>
      <c r="R469" s="790"/>
      <c r="S469" s="2203">
        <f>'Part IV-Uses of Funds'!S55</f>
        <v>0</v>
      </c>
      <c r="T469" s="2203"/>
    </row>
    <row r="470" spans="1:20">
      <c r="A470" s="790"/>
      <c r="B470" s="790" t="s">
        <v>2903</v>
      </c>
      <c r="C470" s="790"/>
      <c r="D470" s="790"/>
      <c r="E470" s="790"/>
      <c r="F470" s="790"/>
      <c r="G470" s="2203">
        <f>'Part IV-Uses of Funds'!G56</f>
        <v>0</v>
      </c>
      <c r="H470" s="2203"/>
      <c r="I470" s="790"/>
      <c r="J470" s="2203">
        <f>'Part IV-Uses of Funds'!J56</f>
        <v>0</v>
      </c>
      <c r="K470" s="2203"/>
      <c r="L470" s="805"/>
      <c r="M470" s="2203">
        <f>'Part IV-Uses of Funds'!M56</f>
        <v>0</v>
      </c>
      <c r="N470" s="2203"/>
      <c r="O470" s="790"/>
      <c r="P470" s="2203">
        <f>'Part IV-Uses of Funds'!P56</f>
        <v>0</v>
      </c>
      <c r="Q470" s="2203"/>
      <c r="R470" s="790"/>
      <c r="S470" s="2203">
        <f>'Part IV-Uses of Funds'!S56</f>
        <v>0</v>
      </c>
      <c r="T470" s="2203"/>
    </row>
    <row r="471" spans="1:20">
      <c r="A471" s="790"/>
      <c r="B471" s="790" t="s">
        <v>767</v>
      </c>
      <c r="C471" s="790"/>
      <c r="D471" s="790"/>
      <c r="E471" s="790"/>
      <c r="F471" s="790"/>
      <c r="G471" s="2203">
        <f>'Part IV-Uses of Funds'!G57</f>
        <v>2500</v>
      </c>
      <c r="H471" s="2203"/>
      <c r="I471" s="790"/>
      <c r="J471" s="2203">
        <f>'Part IV-Uses of Funds'!J57</f>
        <v>2500</v>
      </c>
      <c r="K471" s="2203"/>
      <c r="L471" s="805"/>
      <c r="M471" s="2203">
        <f>'Part IV-Uses of Funds'!M57</f>
        <v>0</v>
      </c>
      <c r="N471" s="2203"/>
      <c r="O471" s="790"/>
      <c r="P471" s="2203">
        <f>'Part IV-Uses of Funds'!P57</f>
        <v>0</v>
      </c>
      <c r="Q471" s="2203"/>
      <c r="R471" s="790"/>
      <c r="S471" s="2203">
        <f>'Part IV-Uses of Funds'!S57</f>
        <v>0</v>
      </c>
      <c r="T471" s="2203"/>
    </row>
    <row r="472" spans="1:20">
      <c r="A472" s="790"/>
      <c r="B472" s="790" t="s">
        <v>2492</v>
      </c>
      <c r="C472" s="790"/>
      <c r="D472" s="790"/>
      <c r="E472" s="790"/>
      <c r="F472" s="790"/>
      <c r="G472" s="2203">
        <f>'Part IV-Uses of Funds'!G58</f>
        <v>10000</v>
      </c>
      <c r="H472" s="2203"/>
      <c r="I472" s="790"/>
      <c r="J472" s="2203">
        <f>'Part IV-Uses of Funds'!J58</f>
        <v>10000</v>
      </c>
      <c r="K472" s="2203"/>
      <c r="L472" s="805"/>
      <c r="M472" s="2203">
        <f>'Part IV-Uses of Funds'!M58</f>
        <v>0</v>
      </c>
      <c r="N472" s="2203"/>
      <c r="O472" s="790"/>
      <c r="P472" s="2203">
        <f>'Part IV-Uses of Funds'!P58</f>
        <v>0</v>
      </c>
      <c r="Q472" s="2203"/>
      <c r="R472" s="790"/>
      <c r="S472" s="2203">
        <f>'Part IV-Uses of Funds'!S58</f>
        <v>0</v>
      </c>
      <c r="T472" s="2203"/>
    </row>
    <row r="473" spans="1:20">
      <c r="A473" s="790"/>
      <c r="B473" s="790" t="s">
        <v>1350</v>
      </c>
      <c r="C473" s="790"/>
      <c r="D473" s="790"/>
      <c r="E473" s="790"/>
      <c r="F473" s="790"/>
      <c r="G473" s="2203">
        <f>'Part IV-Uses of Funds'!G59</f>
        <v>35000</v>
      </c>
      <c r="H473" s="2203"/>
      <c r="I473" s="790"/>
      <c r="J473" s="2203">
        <f>'Part IV-Uses of Funds'!J59</f>
        <v>35000</v>
      </c>
      <c r="K473" s="2203"/>
      <c r="L473" s="805"/>
      <c r="M473" s="2203">
        <f>'Part IV-Uses of Funds'!M59</f>
        <v>0</v>
      </c>
      <c r="N473" s="2203"/>
      <c r="O473" s="790"/>
      <c r="P473" s="2203">
        <f>'Part IV-Uses of Funds'!P59</f>
        <v>0</v>
      </c>
      <c r="Q473" s="2203"/>
      <c r="R473" s="790"/>
      <c r="S473" s="2203">
        <f>'Part IV-Uses of Funds'!S59</f>
        <v>0</v>
      </c>
      <c r="T473" s="2203"/>
    </row>
    <row r="474" spans="1:20">
      <c r="A474" s="790"/>
      <c r="B474" s="790" t="s">
        <v>295</v>
      </c>
      <c r="C474" s="790"/>
      <c r="D474" s="790"/>
      <c r="E474" s="790"/>
      <c r="F474" s="790"/>
      <c r="G474" s="2203">
        <f>'Part IV-Uses of Funds'!G60</f>
        <v>0</v>
      </c>
      <c r="H474" s="2203"/>
      <c r="I474" s="790"/>
      <c r="J474" s="2203">
        <f>'Part IV-Uses of Funds'!J60</f>
        <v>0</v>
      </c>
      <c r="K474" s="2203"/>
      <c r="L474" s="805"/>
      <c r="M474" s="2203">
        <f>'Part IV-Uses of Funds'!M60</f>
        <v>0</v>
      </c>
      <c r="N474" s="2203"/>
      <c r="O474" s="790"/>
      <c r="P474" s="2203">
        <f>'Part IV-Uses of Funds'!P60</f>
        <v>0</v>
      </c>
      <c r="Q474" s="2203"/>
      <c r="R474" s="790"/>
      <c r="S474" s="2203">
        <f>'Part IV-Uses of Funds'!S60</f>
        <v>0</v>
      </c>
      <c r="T474" s="2203"/>
    </row>
    <row r="475" spans="1:20">
      <c r="A475" s="790"/>
      <c r="B475" s="860" t="s">
        <v>1216</v>
      </c>
      <c r="C475" s="790"/>
      <c r="D475" s="858"/>
      <c r="E475" s="858"/>
      <c r="F475" s="859"/>
      <c r="G475" s="2203">
        <f>'Part IV-Uses of Funds'!G61</f>
        <v>0</v>
      </c>
      <c r="H475" s="2203"/>
      <c r="I475" s="795"/>
      <c r="J475" s="2203">
        <f>'Part IV-Uses of Funds'!J61</f>
        <v>0</v>
      </c>
      <c r="K475" s="2203"/>
      <c r="L475" s="805"/>
      <c r="M475" s="2203">
        <f>'Part IV-Uses of Funds'!M61</f>
        <v>0</v>
      </c>
      <c r="N475" s="2203"/>
      <c r="O475" s="790"/>
      <c r="P475" s="2203">
        <f>'Part IV-Uses of Funds'!P61</f>
        <v>0</v>
      </c>
      <c r="Q475" s="2203"/>
      <c r="R475" s="790"/>
      <c r="S475" s="2203">
        <f>'Part IV-Uses of Funds'!S61</f>
        <v>0</v>
      </c>
      <c r="T475" s="2203"/>
    </row>
    <row r="476" spans="1:20" ht="12.75" customHeight="1">
      <c r="A476" s="852" t="str">
        <f>IF(AND(G476&gt;0,OR(C476="",C476="&lt;Enter detailed description here; use Comments section if needed&gt;")),"X","")</f>
        <v/>
      </c>
      <c r="B476" s="790" t="s">
        <v>785</v>
      </c>
      <c r="C476" s="2204" t="str">
        <f>'Part IV-Uses of Funds'!C62</f>
        <v>&lt;Enter detailed description here; use Comments section if needed&gt;</v>
      </c>
      <c r="D476" s="2204"/>
      <c r="E476" s="2204"/>
      <c r="F476" s="2204"/>
      <c r="G476" s="2203">
        <f>'Part IV-Uses of Funds'!G62</f>
        <v>0</v>
      </c>
      <c r="H476" s="2203"/>
      <c r="I476" s="790"/>
      <c r="J476" s="2203">
        <f>'Part IV-Uses of Funds'!J62</f>
        <v>0</v>
      </c>
      <c r="K476" s="2203"/>
      <c r="L476" s="805"/>
      <c r="M476" s="2203">
        <f>'Part IV-Uses of Funds'!M62</f>
        <v>0</v>
      </c>
      <c r="N476" s="2203"/>
      <c r="O476" s="790"/>
      <c r="P476" s="2203">
        <f>'Part IV-Uses of Funds'!P62</f>
        <v>0</v>
      </c>
      <c r="Q476" s="2203"/>
      <c r="R476" s="790"/>
      <c r="S476" s="2203">
        <f>'Part IV-Uses of Funds'!S62</f>
        <v>0</v>
      </c>
      <c r="T476" s="2203"/>
    </row>
    <row r="477" spans="1:20" ht="12.75" customHeight="1">
      <c r="A477" s="852" t="str">
        <f>IF(AND(G477&gt;0,OR(C477="",C477="&lt;Enter detailed description here; use Comments section if needed&gt;")),"X","")</f>
        <v/>
      </c>
      <c r="B477" s="790" t="s">
        <v>785</v>
      </c>
      <c r="C477" s="2204" t="str">
        <f>'Part IV-Uses of Funds'!C63</f>
        <v>&lt;Enter detailed description here; use Comments section if needed&gt;</v>
      </c>
      <c r="D477" s="2204"/>
      <c r="E477" s="2204"/>
      <c r="F477" s="2204"/>
      <c r="G477" s="2203">
        <f>'Part IV-Uses of Funds'!G63</f>
        <v>0</v>
      </c>
      <c r="H477" s="2203"/>
      <c r="I477" s="790"/>
      <c r="J477" s="2203">
        <f>'Part IV-Uses of Funds'!J63</f>
        <v>0</v>
      </c>
      <c r="K477" s="2203"/>
      <c r="L477" s="805"/>
      <c r="M477" s="2203">
        <f>'Part IV-Uses of Funds'!M63</f>
        <v>0</v>
      </c>
      <c r="N477" s="2203"/>
      <c r="O477" s="790"/>
      <c r="P477" s="2203">
        <f>'Part IV-Uses of Funds'!P63</f>
        <v>0</v>
      </c>
      <c r="Q477" s="2203"/>
      <c r="R477" s="790"/>
      <c r="S477" s="2203">
        <f>'Part IV-Uses of Funds'!S63</f>
        <v>0</v>
      </c>
      <c r="T477" s="2203"/>
    </row>
    <row r="478" spans="1:20">
      <c r="A478" s="790"/>
      <c r="B478" s="790"/>
      <c r="C478" s="790"/>
      <c r="D478" s="790"/>
      <c r="E478" s="790"/>
      <c r="F478" s="853" t="s">
        <v>199</v>
      </c>
      <c r="G478" s="2203">
        <f>SUM(G467:H477)</f>
        <v>459338</v>
      </c>
      <c r="H478" s="2203"/>
      <c r="I478" s="790"/>
      <c r="J478" s="2203">
        <f>SUM(J467:K477)</f>
        <v>366897</v>
      </c>
      <c r="K478" s="2203"/>
      <c r="L478" s="805"/>
      <c r="M478" s="2203">
        <f>SUM(M467:N477)</f>
        <v>0</v>
      </c>
      <c r="N478" s="2203"/>
      <c r="O478" s="790"/>
      <c r="P478" s="2203">
        <f>SUM(P467:Q477)</f>
        <v>0</v>
      </c>
      <c r="Q478" s="2203"/>
      <c r="R478" s="790"/>
      <c r="S478" s="2203">
        <f>SUM(S467:T477)</f>
        <v>92441</v>
      </c>
      <c r="T478" s="2203"/>
    </row>
    <row r="479" spans="1:20">
      <c r="A479" s="790"/>
      <c r="B479" s="793" t="s">
        <v>501</v>
      </c>
      <c r="C479" s="790"/>
      <c r="D479" s="790"/>
      <c r="E479" s="790"/>
      <c r="F479" s="790"/>
      <c r="G479" s="851"/>
      <c r="H479" s="851"/>
      <c r="I479" s="790"/>
      <c r="J479" s="851"/>
      <c r="K479" s="851"/>
      <c r="L479" s="790"/>
      <c r="M479" s="851"/>
      <c r="N479" s="851"/>
      <c r="O479" s="854" t="str">
        <f>B479</f>
        <v>PROFESSIONAL SERVICES</v>
      </c>
      <c r="P479" s="851"/>
      <c r="Q479" s="851"/>
      <c r="R479" s="790"/>
      <c r="S479" s="851"/>
      <c r="T479" s="851"/>
    </row>
    <row r="480" spans="1:20">
      <c r="A480" s="790"/>
      <c r="B480" s="790" t="s">
        <v>502</v>
      </c>
      <c r="C480" s="790"/>
      <c r="D480" s="790"/>
      <c r="E480" s="790"/>
      <c r="F480" s="790"/>
      <c r="G480" s="2203">
        <f>'Part IV-Uses of Funds'!G66</f>
        <v>336000</v>
      </c>
      <c r="H480" s="2203"/>
      <c r="I480" s="790"/>
      <c r="J480" s="2203">
        <f>'Part IV-Uses of Funds'!J66</f>
        <v>336000</v>
      </c>
      <c r="K480" s="2203"/>
      <c r="L480" s="805"/>
      <c r="M480" s="2203">
        <f>'Part IV-Uses of Funds'!M66</f>
        <v>0</v>
      </c>
      <c r="N480" s="2203"/>
      <c r="O480" s="790"/>
      <c r="P480" s="2203">
        <f>'Part IV-Uses of Funds'!P66</f>
        <v>0</v>
      </c>
      <c r="Q480" s="2203"/>
      <c r="R480" s="790"/>
      <c r="S480" s="2203">
        <f>'Part IV-Uses of Funds'!S66</f>
        <v>0</v>
      </c>
      <c r="T480" s="2203"/>
    </row>
    <row r="481" spans="1:20">
      <c r="A481" s="790"/>
      <c r="B481" s="790" t="s">
        <v>503</v>
      </c>
      <c r="C481" s="790"/>
      <c r="D481" s="790"/>
      <c r="E481" s="790"/>
      <c r="F481" s="790"/>
      <c r="G481" s="2203">
        <f>'Part IV-Uses of Funds'!G67</f>
        <v>0</v>
      </c>
      <c r="H481" s="2203"/>
      <c r="I481" s="790"/>
      <c r="J481" s="2203">
        <f>'Part IV-Uses of Funds'!J67</f>
        <v>0</v>
      </c>
      <c r="K481" s="2203"/>
      <c r="L481" s="805"/>
      <c r="M481" s="2203">
        <f>'Part IV-Uses of Funds'!M67</f>
        <v>0</v>
      </c>
      <c r="N481" s="2203"/>
      <c r="O481" s="790"/>
      <c r="P481" s="2203">
        <f>'Part IV-Uses of Funds'!P67</f>
        <v>0</v>
      </c>
      <c r="Q481" s="2203"/>
      <c r="R481" s="790"/>
      <c r="S481" s="2203">
        <f>'Part IV-Uses of Funds'!S67</f>
        <v>0</v>
      </c>
      <c r="T481" s="2203"/>
    </row>
    <row r="482" spans="1:20">
      <c r="A482" s="790"/>
      <c r="B482" s="790" t="s">
        <v>1187</v>
      </c>
      <c r="C482" s="790"/>
      <c r="D482" s="790"/>
      <c r="E482" s="790"/>
      <c r="F482" s="790" t="s">
        <v>3024</v>
      </c>
      <c r="G482" s="2203">
        <f>'Part IV-Uses of Funds'!G68</f>
        <v>20000</v>
      </c>
      <c r="H482" s="2203"/>
      <c r="I482" s="790"/>
      <c r="J482" s="2203">
        <f>'Part IV-Uses of Funds'!J68</f>
        <v>20000</v>
      </c>
      <c r="K482" s="2203"/>
      <c r="L482" s="805"/>
      <c r="M482" s="2203">
        <f>'Part IV-Uses of Funds'!M68</f>
        <v>0</v>
      </c>
      <c r="N482" s="2203"/>
      <c r="O482" s="790"/>
      <c r="P482" s="2203">
        <f>'Part IV-Uses of Funds'!P68</f>
        <v>0</v>
      </c>
      <c r="Q482" s="2203"/>
      <c r="R482" s="790"/>
      <c r="S482" s="2203">
        <f>'Part IV-Uses of Funds'!S68</f>
        <v>0</v>
      </c>
      <c r="T482" s="2203"/>
    </row>
    <row r="483" spans="1:20">
      <c r="A483" s="790"/>
      <c r="B483" s="790" t="s">
        <v>1188</v>
      </c>
      <c r="C483" s="790"/>
      <c r="D483" s="790"/>
      <c r="E483" s="790"/>
      <c r="F483" s="790"/>
      <c r="G483" s="2203">
        <f>'Part IV-Uses of Funds'!G69</f>
        <v>20000</v>
      </c>
      <c r="H483" s="2203"/>
      <c r="I483" s="790"/>
      <c r="J483" s="2203">
        <f>'Part IV-Uses of Funds'!J69</f>
        <v>20000</v>
      </c>
      <c r="K483" s="2203"/>
      <c r="L483" s="805"/>
      <c r="M483" s="2203">
        <f>'Part IV-Uses of Funds'!M69</f>
        <v>0</v>
      </c>
      <c r="N483" s="2203"/>
      <c r="O483" s="790"/>
      <c r="P483" s="2203">
        <f>'Part IV-Uses of Funds'!P69</f>
        <v>0</v>
      </c>
      <c r="Q483" s="2203"/>
      <c r="R483" s="790"/>
      <c r="S483" s="2203">
        <f>'Part IV-Uses of Funds'!S69</f>
        <v>0</v>
      </c>
      <c r="T483" s="2203"/>
    </row>
    <row r="484" spans="1:20">
      <c r="A484" s="790"/>
      <c r="B484" s="790" t="s">
        <v>1189</v>
      </c>
      <c r="C484" s="790"/>
      <c r="D484" s="790"/>
      <c r="E484" s="790"/>
      <c r="F484" s="790"/>
      <c r="G484" s="2203">
        <f>'Part IV-Uses of Funds'!G70</f>
        <v>25000</v>
      </c>
      <c r="H484" s="2203"/>
      <c r="I484" s="790"/>
      <c r="J484" s="2203">
        <f>'Part IV-Uses of Funds'!J70</f>
        <v>25000</v>
      </c>
      <c r="K484" s="2203"/>
      <c r="L484" s="805"/>
      <c r="M484" s="2203">
        <f>'Part IV-Uses of Funds'!M70</f>
        <v>0</v>
      </c>
      <c r="N484" s="2203"/>
      <c r="O484" s="790"/>
      <c r="P484" s="2203">
        <f>'Part IV-Uses of Funds'!P70</f>
        <v>0</v>
      </c>
      <c r="Q484" s="2203"/>
      <c r="R484" s="790"/>
      <c r="S484" s="2203">
        <f>'Part IV-Uses of Funds'!S70</f>
        <v>0</v>
      </c>
      <c r="T484" s="2203"/>
    </row>
    <row r="485" spans="1:20">
      <c r="A485" s="790"/>
      <c r="B485" s="790" t="s">
        <v>1190</v>
      </c>
      <c r="C485" s="790"/>
      <c r="D485" s="790"/>
      <c r="E485" s="790"/>
      <c r="F485" s="790"/>
      <c r="G485" s="2203">
        <f>'Part IV-Uses of Funds'!G71</f>
        <v>25000</v>
      </c>
      <c r="H485" s="2203"/>
      <c r="I485" s="790"/>
      <c r="J485" s="2203">
        <f>'Part IV-Uses of Funds'!J71</f>
        <v>25000</v>
      </c>
      <c r="K485" s="2203"/>
      <c r="L485" s="805"/>
      <c r="M485" s="2203">
        <f>'Part IV-Uses of Funds'!M71</f>
        <v>0</v>
      </c>
      <c r="N485" s="2203"/>
      <c r="O485" s="790"/>
      <c r="P485" s="2203">
        <f>'Part IV-Uses of Funds'!P71</f>
        <v>0</v>
      </c>
      <c r="Q485" s="2203"/>
      <c r="R485" s="790"/>
      <c r="S485" s="2203">
        <f>'Part IV-Uses of Funds'!S71</f>
        <v>0</v>
      </c>
      <c r="T485" s="2203"/>
    </row>
    <row r="486" spans="1:20">
      <c r="A486" s="790"/>
      <c r="B486" s="790" t="s">
        <v>504</v>
      </c>
      <c r="C486" s="790"/>
      <c r="D486" s="790"/>
      <c r="E486" s="790"/>
      <c r="F486" s="790"/>
      <c r="G486" s="2203">
        <f>'Part IV-Uses of Funds'!G72</f>
        <v>60000</v>
      </c>
      <c r="H486" s="2203"/>
      <c r="I486" s="790"/>
      <c r="J486" s="2203">
        <f>'Part IV-Uses of Funds'!J72</f>
        <v>60000</v>
      </c>
      <c r="K486" s="2203"/>
      <c r="L486" s="805"/>
      <c r="M486" s="2203">
        <f>'Part IV-Uses of Funds'!M72</f>
        <v>0</v>
      </c>
      <c r="N486" s="2203"/>
      <c r="O486" s="790"/>
      <c r="P486" s="2203">
        <f>'Part IV-Uses of Funds'!P72</f>
        <v>0</v>
      </c>
      <c r="Q486" s="2203"/>
      <c r="R486" s="790"/>
      <c r="S486" s="2203">
        <f>'Part IV-Uses of Funds'!S72</f>
        <v>0</v>
      </c>
      <c r="T486" s="2203"/>
    </row>
    <row r="487" spans="1:20">
      <c r="A487" s="790"/>
      <c r="B487" s="790" t="s">
        <v>505</v>
      </c>
      <c r="C487" s="790"/>
      <c r="D487" s="790"/>
      <c r="E487" s="790"/>
      <c r="F487" s="790"/>
      <c r="G487" s="2203">
        <f>'Part IV-Uses of Funds'!G73</f>
        <v>90000</v>
      </c>
      <c r="H487" s="2203"/>
      <c r="I487" s="790"/>
      <c r="J487" s="2203">
        <f>'Part IV-Uses of Funds'!J73</f>
        <v>67500</v>
      </c>
      <c r="K487" s="2203"/>
      <c r="L487" s="805"/>
      <c r="M487" s="2203">
        <f>'Part IV-Uses of Funds'!M73</f>
        <v>0</v>
      </c>
      <c r="N487" s="2203"/>
      <c r="O487" s="790"/>
      <c r="P487" s="2203">
        <f>'Part IV-Uses of Funds'!P73</f>
        <v>0</v>
      </c>
      <c r="Q487" s="2203"/>
      <c r="R487" s="790"/>
      <c r="S487" s="2203">
        <f>'Part IV-Uses of Funds'!S73</f>
        <v>22500</v>
      </c>
      <c r="T487" s="2203"/>
    </row>
    <row r="488" spans="1:20">
      <c r="A488" s="790"/>
      <c r="B488" s="790" t="s">
        <v>2179</v>
      </c>
      <c r="C488" s="790"/>
      <c r="D488" s="790"/>
      <c r="E488" s="790"/>
      <c r="F488" s="790"/>
      <c r="G488" s="2203">
        <f>'Part IV-Uses of Funds'!G74</f>
        <v>15000</v>
      </c>
      <c r="H488" s="2203"/>
      <c r="I488" s="790"/>
      <c r="J488" s="2203">
        <f>'Part IV-Uses of Funds'!J74</f>
        <v>15000</v>
      </c>
      <c r="K488" s="2203"/>
      <c r="L488" s="805"/>
      <c r="M488" s="2203">
        <f>'Part IV-Uses of Funds'!M74</f>
        <v>0</v>
      </c>
      <c r="N488" s="2203"/>
      <c r="O488" s="790"/>
      <c r="P488" s="2203">
        <f>'Part IV-Uses of Funds'!P74</f>
        <v>0</v>
      </c>
      <c r="Q488" s="2203"/>
      <c r="R488" s="790"/>
      <c r="S488" s="2203">
        <f>'Part IV-Uses of Funds'!S74</f>
        <v>0</v>
      </c>
      <c r="T488" s="2203"/>
    </row>
    <row r="489" spans="1:20">
      <c r="A489" s="790"/>
      <c r="B489" s="790" t="s">
        <v>1351</v>
      </c>
      <c r="C489" s="790"/>
      <c r="D489" s="790"/>
      <c r="E489" s="790"/>
      <c r="F489" s="790"/>
      <c r="G489" s="2203">
        <f>'Part IV-Uses of Funds'!G75</f>
        <v>10000</v>
      </c>
      <c r="H489" s="2203"/>
      <c r="I489" s="790"/>
      <c r="J489" s="2203">
        <f>'Part IV-Uses of Funds'!J75</f>
        <v>10000</v>
      </c>
      <c r="K489" s="2203"/>
      <c r="L489" s="805"/>
      <c r="M489" s="2203">
        <f>'Part IV-Uses of Funds'!M75</f>
        <v>0</v>
      </c>
      <c r="N489" s="2203"/>
      <c r="O489" s="790"/>
      <c r="P489" s="2203">
        <f>'Part IV-Uses of Funds'!P75</f>
        <v>0</v>
      </c>
      <c r="Q489" s="2203"/>
      <c r="R489" s="790"/>
      <c r="S489" s="2203">
        <f>'Part IV-Uses of Funds'!S75</f>
        <v>0</v>
      </c>
      <c r="T489" s="2203"/>
    </row>
    <row r="490" spans="1:20" ht="12.75" customHeight="1">
      <c r="A490" s="852" t="str">
        <f>IF(AND(G490&gt;0,OR(C490="",C490="&lt;Enter detailed description here; use Comments section if needed&gt;")),"X","")</f>
        <v/>
      </c>
      <c r="B490" s="790" t="s">
        <v>785</v>
      </c>
      <c r="C490" s="2204" t="str">
        <f>'Part IV-Uses of Funds'!C76</f>
        <v>&lt;Enter detailed description here; use Comments section if needed&gt;</v>
      </c>
      <c r="D490" s="2204"/>
      <c r="E490" s="2204"/>
      <c r="F490" s="2204"/>
      <c r="G490" s="2203">
        <f>'Part IV-Uses of Funds'!G76</f>
        <v>0</v>
      </c>
      <c r="H490" s="2203"/>
      <c r="I490" s="790"/>
      <c r="J490" s="2203">
        <f>'Part IV-Uses of Funds'!J76</f>
        <v>0</v>
      </c>
      <c r="K490" s="2203"/>
      <c r="L490" s="805"/>
      <c r="M490" s="2203">
        <f>'Part IV-Uses of Funds'!M76</f>
        <v>0</v>
      </c>
      <c r="N490" s="2203"/>
      <c r="O490" s="790"/>
      <c r="P490" s="2203">
        <f>'Part IV-Uses of Funds'!P76</f>
        <v>0</v>
      </c>
      <c r="Q490" s="2203"/>
      <c r="R490" s="790"/>
      <c r="S490" s="2203">
        <f>'Part IV-Uses of Funds'!S76</f>
        <v>0</v>
      </c>
      <c r="T490" s="2203"/>
    </row>
    <row r="491" spans="1:20">
      <c r="A491" s="790"/>
      <c r="B491" s="790"/>
      <c r="C491" s="790"/>
      <c r="D491" s="790"/>
      <c r="E491" s="790"/>
      <c r="F491" s="853" t="s">
        <v>199</v>
      </c>
      <c r="G491" s="2203">
        <f>SUM(G480:H490)</f>
        <v>601000</v>
      </c>
      <c r="H491" s="2203"/>
      <c r="I491" s="790"/>
      <c r="J491" s="2203">
        <f>SUM(J480:K490)</f>
        <v>578500</v>
      </c>
      <c r="K491" s="2203"/>
      <c r="L491" s="805"/>
      <c r="M491" s="2203">
        <f>SUM(M480:N490)</f>
        <v>0</v>
      </c>
      <c r="N491" s="2203"/>
      <c r="O491" s="790"/>
      <c r="P491" s="2203">
        <f>SUM(P480:Q490)</f>
        <v>0</v>
      </c>
      <c r="Q491" s="2203"/>
      <c r="R491" s="790"/>
      <c r="S491" s="2203">
        <f>SUM(S480:T490)</f>
        <v>22500</v>
      </c>
      <c r="T491" s="2203"/>
    </row>
    <row r="492" spans="1:20">
      <c r="A492" s="790"/>
      <c r="B492" s="793" t="s">
        <v>1343</v>
      </c>
      <c r="C492" s="790"/>
      <c r="D492" s="790"/>
      <c r="E492" s="790"/>
      <c r="F492" s="790"/>
      <c r="G492" s="790"/>
      <c r="H492" s="790"/>
      <c r="I492" s="790"/>
      <c r="J492" s="805"/>
      <c r="K492" s="805"/>
      <c r="L492" s="795"/>
      <c r="M492" s="805"/>
      <c r="N492" s="805"/>
      <c r="O492" s="854" t="str">
        <f>B492</f>
        <v>LOCAL GOVERNMENT FEES</v>
      </c>
      <c r="P492" s="805"/>
      <c r="Q492" s="805"/>
      <c r="R492" s="795"/>
      <c r="S492" s="805"/>
      <c r="T492" s="805"/>
    </row>
    <row r="493" spans="1:20">
      <c r="A493" s="790"/>
      <c r="B493" s="790" t="s">
        <v>1344</v>
      </c>
      <c r="C493" s="790"/>
      <c r="D493" s="790"/>
      <c r="E493" s="790"/>
      <c r="F493" s="790"/>
      <c r="G493" s="2203">
        <f>'Part IV-Uses of Funds'!G79</f>
        <v>44235</v>
      </c>
      <c r="H493" s="2203"/>
      <c r="I493" s="790"/>
      <c r="J493" s="2203">
        <f>'Part IV-Uses of Funds'!J79</f>
        <v>44235</v>
      </c>
      <c r="K493" s="2203"/>
      <c r="L493" s="805"/>
      <c r="M493" s="2203">
        <f>'Part IV-Uses of Funds'!M79</f>
        <v>0</v>
      </c>
      <c r="N493" s="2203"/>
      <c r="O493" s="790"/>
      <c r="P493" s="2203">
        <f>'Part IV-Uses of Funds'!P79</f>
        <v>0</v>
      </c>
      <c r="Q493" s="2203"/>
      <c r="R493" s="790"/>
      <c r="S493" s="2203">
        <f>'Part IV-Uses of Funds'!S79</f>
        <v>0</v>
      </c>
      <c r="T493" s="2203"/>
    </row>
    <row r="494" spans="1:20">
      <c r="A494" s="790"/>
      <c r="B494" s="790" t="s">
        <v>1345</v>
      </c>
      <c r="C494" s="790"/>
      <c r="D494" s="790"/>
      <c r="E494" s="790"/>
      <c r="F494" s="790"/>
      <c r="G494" s="2203">
        <f>'Part IV-Uses of Funds'!G80</f>
        <v>0</v>
      </c>
      <c r="H494" s="2203"/>
      <c r="I494" s="790"/>
      <c r="J494" s="2203">
        <f>'Part IV-Uses of Funds'!J80</f>
        <v>0</v>
      </c>
      <c r="K494" s="2203"/>
      <c r="L494" s="805"/>
      <c r="M494" s="2203">
        <f>'Part IV-Uses of Funds'!M80</f>
        <v>0</v>
      </c>
      <c r="N494" s="2203"/>
      <c r="O494" s="790"/>
      <c r="P494" s="2203">
        <f>'Part IV-Uses of Funds'!P80</f>
        <v>0</v>
      </c>
      <c r="Q494" s="2203"/>
      <c r="R494" s="790"/>
      <c r="S494" s="2203">
        <f>'Part IV-Uses of Funds'!S80</f>
        <v>0</v>
      </c>
      <c r="T494" s="2203"/>
    </row>
    <row r="495" spans="1:20">
      <c r="A495" s="790"/>
      <c r="B495" s="790" t="s">
        <v>1346</v>
      </c>
      <c r="C495" s="790"/>
      <c r="D495" s="866" t="s">
        <v>1487</v>
      </c>
      <c r="E495" s="874" t="str">
        <f>'Part IV-Uses of Funds'!E81</f>
        <v>No</v>
      </c>
      <c r="F495" s="790"/>
      <c r="G495" s="2203">
        <f>'Part IV-Uses of Funds'!G81</f>
        <v>160500</v>
      </c>
      <c r="H495" s="2203"/>
      <c r="I495" s="795"/>
      <c r="J495" s="2203">
        <f>'Part IV-Uses of Funds'!J81</f>
        <v>160500</v>
      </c>
      <c r="K495" s="2203"/>
      <c r="L495" s="805"/>
      <c r="M495" s="2203">
        <f>'Part IV-Uses of Funds'!M81</f>
        <v>0</v>
      </c>
      <c r="N495" s="2203"/>
      <c r="O495" s="790"/>
      <c r="P495" s="2203">
        <f>'Part IV-Uses of Funds'!P81</f>
        <v>0</v>
      </c>
      <c r="Q495" s="2203"/>
      <c r="R495" s="790"/>
      <c r="S495" s="2203">
        <f>'Part IV-Uses of Funds'!S81</f>
        <v>0</v>
      </c>
      <c r="T495" s="2203"/>
    </row>
    <row r="496" spans="1:20">
      <c r="A496" s="790"/>
      <c r="B496" s="790" t="s">
        <v>1347</v>
      </c>
      <c r="C496" s="790"/>
      <c r="D496" s="866" t="s">
        <v>1487</v>
      </c>
      <c r="E496" s="874" t="str">
        <f>'Part IV-Uses of Funds'!E82</f>
        <v>No</v>
      </c>
      <c r="F496" s="790"/>
      <c r="G496" s="2203">
        <f>'Part IV-Uses of Funds'!G82</f>
        <v>3600</v>
      </c>
      <c r="H496" s="2203"/>
      <c r="I496" s="795"/>
      <c r="J496" s="2203">
        <f>'Part IV-Uses of Funds'!J82</f>
        <v>3600</v>
      </c>
      <c r="K496" s="2203"/>
      <c r="L496" s="805"/>
      <c r="M496" s="2203">
        <f>'Part IV-Uses of Funds'!M82</f>
        <v>0</v>
      </c>
      <c r="N496" s="2203"/>
      <c r="O496" s="790"/>
      <c r="P496" s="2203">
        <f>'Part IV-Uses of Funds'!P82</f>
        <v>0</v>
      </c>
      <c r="Q496" s="2203"/>
      <c r="R496" s="790"/>
      <c r="S496" s="2203">
        <f>'Part IV-Uses of Funds'!S82</f>
        <v>0</v>
      </c>
      <c r="T496" s="2203"/>
    </row>
    <row r="497" spans="1:20">
      <c r="A497" s="790"/>
      <c r="B497" s="790"/>
      <c r="C497" s="790"/>
      <c r="D497" s="790"/>
      <c r="E497" s="790"/>
      <c r="F497" s="853" t="s">
        <v>199</v>
      </c>
      <c r="G497" s="2203">
        <f>SUM(G493:H496)</f>
        <v>208335</v>
      </c>
      <c r="H497" s="2203"/>
      <c r="I497" s="790"/>
      <c r="J497" s="2203">
        <f>SUM(J493:K496)</f>
        <v>208335</v>
      </c>
      <c r="K497" s="2203"/>
      <c r="L497" s="805"/>
      <c r="M497" s="2203">
        <f>SUM(M493:N496)</f>
        <v>0</v>
      </c>
      <c r="N497" s="2203"/>
      <c r="O497" s="790"/>
      <c r="P497" s="2203">
        <f>SUM(P493:Q496)</f>
        <v>0</v>
      </c>
      <c r="Q497" s="2203"/>
      <c r="R497" s="790"/>
      <c r="S497" s="2203">
        <f>SUM(S493:T496)</f>
        <v>0</v>
      </c>
      <c r="T497" s="2203"/>
    </row>
    <row r="498" spans="1:20">
      <c r="A498" s="790"/>
      <c r="B498" s="793" t="s">
        <v>768</v>
      </c>
      <c r="C498" s="790"/>
      <c r="D498" s="790"/>
      <c r="E498" s="790"/>
      <c r="F498" s="790"/>
      <c r="G498" s="790"/>
      <c r="H498" s="790"/>
      <c r="I498" s="790"/>
      <c r="J498" s="805"/>
      <c r="K498" s="805"/>
      <c r="L498" s="790"/>
      <c r="M498" s="805"/>
      <c r="N498" s="805"/>
      <c r="O498" s="854" t="str">
        <f>B498</f>
        <v>PERMANENT FINANCING FEES</v>
      </c>
      <c r="P498" s="805"/>
      <c r="Q498" s="805"/>
      <c r="R498" s="790"/>
      <c r="S498" s="805"/>
      <c r="T498" s="805"/>
    </row>
    <row r="499" spans="1:20">
      <c r="A499" s="790"/>
      <c r="B499" s="790" t="s">
        <v>1348</v>
      </c>
      <c r="C499" s="790"/>
      <c r="D499" s="790"/>
      <c r="E499" s="790"/>
      <c r="F499" s="790"/>
      <c r="G499" s="2203">
        <f>'Part IV-Uses of Funds'!G85</f>
        <v>11100</v>
      </c>
      <c r="H499" s="2203"/>
      <c r="I499" s="790"/>
      <c r="J499" s="2208"/>
      <c r="K499" s="2208"/>
      <c r="L499" s="805"/>
      <c r="M499" s="2208"/>
      <c r="N499" s="2208"/>
      <c r="O499" s="790"/>
      <c r="P499" s="2208"/>
      <c r="Q499" s="2208"/>
      <c r="R499" s="790"/>
      <c r="S499" s="2203">
        <f>'Part IV-Uses of Funds'!S85</f>
        <v>11100</v>
      </c>
      <c r="T499" s="2203"/>
    </row>
    <row r="500" spans="1:20">
      <c r="A500" s="790"/>
      <c r="B500" s="790" t="s">
        <v>1349</v>
      </c>
      <c r="C500" s="790"/>
      <c r="D500" s="790"/>
      <c r="E500" s="790"/>
      <c r="F500" s="790"/>
      <c r="G500" s="2203">
        <f>'Part IV-Uses of Funds'!G86</f>
        <v>0</v>
      </c>
      <c r="H500" s="2203"/>
      <c r="I500" s="790"/>
      <c r="J500" s="2208"/>
      <c r="K500" s="2208"/>
      <c r="L500" s="805"/>
      <c r="M500" s="2208"/>
      <c r="N500" s="2208"/>
      <c r="O500" s="790"/>
      <c r="P500" s="2208"/>
      <c r="Q500" s="2208"/>
      <c r="R500" s="790"/>
      <c r="S500" s="2203">
        <f>'Part IV-Uses of Funds'!S86</f>
        <v>0</v>
      </c>
      <c r="T500" s="2203"/>
    </row>
    <row r="501" spans="1:20">
      <c r="A501" s="790"/>
      <c r="B501" s="790" t="s">
        <v>1350</v>
      </c>
      <c r="C501" s="790"/>
      <c r="D501" s="790"/>
      <c r="E501" s="790"/>
      <c r="F501" s="790"/>
      <c r="G501" s="2203">
        <f>'Part IV-Uses of Funds'!G87</f>
        <v>0</v>
      </c>
      <c r="H501" s="2203"/>
      <c r="I501" s="790"/>
      <c r="J501" s="2208"/>
      <c r="K501" s="2208"/>
      <c r="L501" s="805"/>
      <c r="M501" s="2208"/>
      <c r="N501" s="2208"/>
      <c r="O501" s="790"/>
      <c r="P501" s="2208"/>
      <c r="Q501" s="2208"/>
      <c r="R501" s="790"/>
      <c r="S501" s="2203">
        <f>'Part IV-Uses of Funds'!S87</f>
        <v>0</v>
      </c>
      <c r="T501" s="2203"/>
    </row>
    <row r="502" spans="1:20">
      <c r="A502" s="790"/>
      <c r="B502" s="790" t="s">
        <v>1352</v>
      </c>
      <c r="C502" s="790"/>
      <c r="D502" s="790"/>
      <c r="E502" s="790"/>
      <c r="F502" s="790"/>
      <c r="G502" s="2203">
        <f>'Part IV-Uses of Funds'!G88</f>
        <v>0</v>
      </c>
      <c r="H502" s="2203"/>
      <c r="I502" s="790"/>
      <c r="J502" s="2208"/>
      <c r="K502" s="2208"/>
      <c r="L502" s="805"/>
      <c r="M502" s="2208"/>
      <c r="N502" s="2208"/>
      <c r="O502" s="790"/>
      <c r="P502" s="2208"/>
      <c r="Q502" s="2208"/>
      <c r="R502" s="790"/>
      <c r="S502" s="2203">
        <f>'Part IV-Uses of Funds'!S88</f>
        <v>0</v>
      </c>
      <c r="T502" s="2203"/>
    </row>
    <row r="503" spans="1:20">
      <c r="A503" s="790"/>
      <c r="B503" s="790" t="s">
        <v>2439</v>
      </c>
      <c r="C503" s="790"/>
      <c r="D503" s="790"/>
      <c r="E503" s="790"/>
      <c r="F503" s="790"/>
      <c r="G503" s="2203">
        <f>'Part IV-Uses of Funds'!G89</f>
        <v>0</v>
      </c>
      <c r="H503" s="2203"/>
      <c r="I503" s="790"/>
      <c r="J503" s="2208"/>
      <c r="K503" s="2208"/>
      <c r="L503" s="805"/>
      <c r="M503" s="2208"/>
      <c r="N503" s="2208"/>
      <c r="O503" s="790"/>
      <c r="P503" s="2208"/>
      <c r="Q503" s="2208"/>
      <c r="R503" s="790"/>
      <c r="S503" s="2203">
        <f>'Part IV-Uses of Funds'!S89</f>
        <v>0</v>
      </c>
      <c r="T503" s="2203"/>
    </row>
    <row r="504" spans="1:20" ht="15.75">
      <c r="A504" s="852" t="str">
        <f>IF(AND(G504&gt;0,OR(C504="",C504="&lt;Enter detailed description here; use Comments section if needed&gt;")),"X","")</f>
        <v/>
      </c>
      <c r="B504" s="790" t="s">
        <v>785</v>
      </c>
      <c r="C504" s="2204" t="str">
        <f>'Part IV-Uses of Funds'!C90</f>
        <v>&lt;Enter detailed description here; use Comments section if needed&gt;</v>
      </c>
      <c r="D504" s="2204"/>
      <c r="E504" s="2204"/>
      <c r="F504" s="2204"/>
      <c r="G504" s="2203">
        <f>'Part IV-Uses of Funds'!G90</f>
        <v>0</v>
      </c>
      <c r="H504" s="2203"/>
      <c r="I504" s="790"/>
      <c r="J504" s="2208"/>
      <c r="K504" s="2208"/>
      <c r="L504" s="805"/>
      <c r="M504" s="2208"/>
      <c r="N504" s="2208"/>
      <c r="O504" s="790"/>
      <c r="P504" s="2208"/>
      <c r="Q504" s="2208"/>
      <c r="R504" s="790"/>
      <c r="S504" s="2203">
        <f>'Part IV-Uses of Funds'!S90</f>
        <v>0</v>
      </c>
      <c r="T504" s="2203"/>
    </row>
    <row r="505" spans="1:20">
      <c r="A505" s="790"/>
      <c r="B505" s="790"/>
      <c r="C505" s="790"/>
      <c r="D505" s="790"/>
      <c r="E505" s="790"/>
      <c r="F505" s="853" t="s">
        <v>199</v>
      </c>
      <c r="G505" s="2203">
        <f>SUM(G499:H504)</f>
        <v>11100</v>
      </c>
      <c r="H505" s="2203"/>
      <c r="I505" s="790"/>
      <c r="J505" s="2208"/>
      <c r="K505" s="2208"/>
      <c r="L505" s="805"/>
      <c r="M505" s="2208"/>
      <c r="N505" s="2208"/>
      <c r="O505" s="790"/>
      <c r="P505" s="2208"/>
      <c r="Q505" s="2208"/>
      <c r="R505" s="790"/>
      <c r="S505" s="2203">
        <f>SUM(S499:T504)</f>
        <v>11100</v>
      </c>
      <c r="T505" s="2203"/>
    </row>
    <row r="506" spans="1:20">
      <c r="A506" s="789"/>
      <c r="B506" s="789"/>
      <c r="C506" s="789"/>
      <c r="D506" s="789"/>
      <c r="E506" s="789"/>
      <c r="F506" s="789"/>
      <c r="G506" s="789"/>
      <c r="H506" s="789"/>
      <c r="I506" s="789"/>
      <c r="J506" s="789"/>
      <c r="K506" s="789"/>
      <c r="L506" s="789"/>
      <c r="M506" s="789"/>
      <c r="N506" s="789"/>
      <c r="O506" s="789"/>
      <c r="P506" s="789"/>
      <c r="Q506" s="789"/>
      <c r="R506" s="789"/>
      <c r="S506" s="789"/>
      <c r="T506" s="789"/>
    </row>
    <row r="507" spans="1:20" ht="16.5">
      <c r="A507" s="850" t="s">
        <v>652</v>
      </c>
      <c r="B507" s="850" t="s">
        <v>3384</v>
      </c>
      <c r="C507" s="790"/>
      <c r="D507" s="790"/>
      <c r="E507" s="790"/>
      <c r="F507" s="790"/>
      <c r="G507" s="790"/>
      <c r="H507" s="790"/>
      <c r="I507" s="790"/>
      <c r="J507" s="2206" t="s">
        <v>285</v>
      </c>
      <c r="K507" s="2206"/>
      <c r="L507" s="851"/>
      <c r="M507" s="2210" t="s">
        <v>516</v>
      </c>
      <c r="N507" s="2210"/>
      <c r="O507" s="790"/>
      <c r="P507" s="2206" t="s">
        <v>286</v>
      </c>
      <c r="Q507" s="2206"/>
      <c r="R507" s="790"/>
      <c r="S507" s="2206" t="s">
        <v>287</v>
      </c>
      <c r="T507" s="2206"/>
    </row>
    <row r="508" spans="1:20">
      <c r="A508" s="790"/>
      <c r="B508" s="790"/>
      <c r="C508" s="790"/>
      <c r="D508" s="790"/>
      <c r="E508" s="790"/>
      <c r="F508" s="790"/>
      <c r="G508" s="2211" t="s">
        <v>104</v>
      </c>
      <c r="H508" s="2211"/>
      <c r="I508" s="790"/>
      <c r="J508" s="2206"/>
      <c r="K508" s="2206"/>
      <c r="L508" s="851"/>
      <c r="M508" s="2210"/>
      <c r="N508" s="2210"/>
      <c r="O508" s="790"/>
      <c r="P508" s="2206"/>
      <c r="Q508" s="2206"/>
      <c r="R508" s="790"/>
      <c r="S508" s="2206"/>
      <c r="T508" s="2206"/>
    </row>
    <row r="509" spans="1:20">
      <c r="A509" s="790"/>
      <c r="B509" s="793" t="s">
        <v>769</v>
      </c>
      <c r="C509" s="790"/>
      <c r="D509" s="790"/>
      <c r="E509" s="790"/>
      <c r="F509" s="790"/>
      <c r="G509" s="790"/>
      <c r="H509" s="790"/>
      <c r="I509" s="790"/>
      <c r="J509" s="805"/>
      <c r="K509" s="805"/>
      <c r="L509" s="790"/>
      <c r="M509" s="805"/>
      <c r="N509" s="805"/>
      <c r="O509" s="854" t="str">
        <f>B509</f>
        <v>DCA-RELATED COSTS</v>
      </c>
      <c r="P509" s="805"/>
      <c r="Q509" s="805"/>
      <c r="R509" s="790"/>
      <c r="S509" s="805"/>
      <c r="T509" s="805"/>
    </row>
    <row r="510" spans="1:20">
      <c r="A510" s="790"/>
      <c r="B510" s="790" t="s">
        <v>1635</v>
      </c>
      <c r="C510" s="790"/>
      <c r="D510" s="790"/>
      <c r="E510" s="790"/>
      <c r="F510" s="790"/>
      <c r="G510" s="2203">
        <f>'Part IV-Uses of Funds'!G96</f>
        <v>0</v>
      </c>
      <c r="H510" s="2203"/>
      <c r="I510" s="790"/>
      <c r="J510" s="805"/>
      <c r="K510" s="805"/>
      <c r="L510" s="805"/>
      <c r="M510" s="805"/>
      <c r="N510" s="805"/>
      <c r="O510" s="790"/>
      <c r="P510" s="805"/>
      <c r="Q510" s="805"/>
      <c r="R510" s="790"/>
      <c r="S510" s="2203">
        <f>'Part IV-Uses of Funds'!S96</f>
        <v>0</v>
      </c>
      <c r="T510" s="2203"/>
    </row>
    <row r="511" spans="1:20">
      <c r="A511" s="790"/>
      <c r="B511" s="790" t="s">
        <v>1268</v>
      </c>
      <c r="C511" s="790"/>
      <c r="D511" s="790"/>
      <c r="E511" s="790"/>
      <c r="F511" s="790"/>
      <c r="G511" s="2203">
        <f>'Part IV-Uses of Funds'!G97</f>
        <v>6500</v>
      </c>
      <c r="H511" s="2203"/>
      <c r="I511" s="790"/>
      <c r="J511" s="805"/>
      <c r="K511" s="805"/>
      <c r="L511" s="867"/>
      <c r="M511" s="805"/>
      <c r="N511" s="805"/>
      <c r="O511" s="790"/>
      <c r="P511" s="805"/>
      <c r="Q511" s="805"/>
      <c r="R511" s="790"/>
      <c r="S511" s="2203">
        <f>'Part IV-Uses of Funds'!S97</f>
        <v>6500</v>
      </c>
      <c r="T511" s="2203"/>
    </row>
    <row r="512" spans="1:20">
      <c r="A512" s="790"/>
      <c r="B512" s="790" t="s">
        <v>2908</v>
      </c>
      <c r="C512" s="790"/>
      <c r="D512" s="790"/>
      <c r="E512" s="790"/>
      <c r="F512" s="790"/>
      <c r="G512" s="2203">
        <f>'Part IV-Uses of Funds'!G98</f>
        <v>0</v>
      </c>
      <c r="H512" s="2203"/>
      <c r="I512" s="790"/>
      <c r="J512" s="805"/>
      <c r="K512" s="805"/>
      <c r="L512" s="867"/>
      <c r="M512" s="805"/>
      <c r="N512" s="805"/>
      <c r="O512" s="790"/>
      <c r="P512" s="805"/>
      <c r="Q512" s="805"/>
      <c r="R512" s="790"/>
      <c r="S512" s="2203">
        <f>'Part IV-Uses of Funds'!S98</f>
        <v>0</v>
      </c>
      <c r="T512" s="2203"/>
    </row>
    <row r="513" spans="1:20">
      <c r="A513" s="790"/>
      <c r="B513" s="790" t="s">
        <v>547</v>
      </c>
      <c r="C513" s="790"/>
      <c r="D513" s="790"/>
      <c r="E513" s="2209">
        <f>'DCA Underwriting Assumptions'!$Q$40*$J$173</f>
        <v>0</v>
      </c>
      <c r="F513" s="2209"/>
      <c r="G513" s="2203">
        <f>'Part IV-Uses of Funds'!G99</f>
        <v>80000</v>
      </c>
      <c r="H513" s="2203"/>
      <c r="I513" s="790"/>
      <c r="J513" s="805"/>
      <c r="K513" s="805"/>
      <c r="L513" s="805"/>
      <c r="M513" s="805"/>
      <c r="N513" s="805"/>
      <c r="O513" s="790"/>
      <c r="P513" s="805"/>
      <c r="Q513" s="805"/>
      <c r="R513" s="790"/>
      <c r="S513" s="2203">
        <f>'Part IV-Uses of Funds'!S99</f>
        <v>80000</v>
      </c>
      <c r="T513" s="2203"/>
    </row>
    <row r="514" spans="1:20">
      <c r="A514" s="790"/>
      <c r="B514" s="790" t="s">
        <v>797</v>
      </c>
      <c r="C514" s="790"/>
      <c r="D514" s="790"/>
      <c r="E514" s="2209">
        <f>IF('Part VI-Revenues &amp; Expenses'!$M$89&gt;0,('Part VI-Revenues &amp; Expenses'!$M$89*'DCA Underwriting Assumptions'!$Q$46)+('Part VI-Revenues &amp; Expenses'!$M$62-'Part VI-Revenues &amp; Expenses'!$M$89)*'DCA Underwriting Assumptions'!$Q$44,IF('Part III-Sources of Funds'!$B$8="Yes",'Part VI-Revenues &amp; Expenses'!$M$62*'DCA Underwriting Assumptions'!$Q$45,'Part VI-Revenues &amp; Expenses'!$M$62*'DCA Underwriting Assumptions'!$Q$44))</f>
        <v>67200</v>
      </c>
      <c r="F514" s="2209"/>
      <c r="G514" s="2203">
        <f>'Part IV-Uses of Funds'!G100</f>
        <v>67200</v>
      </c>
      <c r="H514" s="2203"/>
      <c r="I514" s="790"/>
      <c r="J514" s="795"/>
      <c r="K514" s="795"/>
      <c r="L514" s="795"/>
      <c r="M514" s="795"/>
      <c r="N514" s="795"/>
      <c r="O514" s="795"/>
      <c r="P514" s="795"/>
      <c r="Q514" s="795"/>
      <c r="R514" s="790"/>
      <c r="S514" s="2203">
        <f>'Part IV-Uses of Funds'!S100</f>
        <v>67200</v>
      </c>
      <c r="T514" s="2203"/>
    </row>
    <row r="515" spans="1:20">
      <c r="A515" s="790"/>
      <c r="B515" s="790" t="s">
        <v>511</v>
      </c>
      <c r="C515" s="790"/>
      <c r="D515" s="790"/>
      <c r="E515" s="790"/>
      <c r="F515" s="790"/>
      <c r="G515" s="2203">
        <f>'Part IV-Uses of Funds'!G101</f>
        <v>0</v>
      </c>
      <c r="H515" s="2203"/>
      <c r="I515" s="790"/>
      <c r="J515" s="795"/>
      <c r="K515" s="795"/>
      <c r="L515" s="795"/>
      <c r="M515" s="795"/>
      <c r="N515" s="795"/>
      <c r="O515" s="795"/>
      <c r="P515" s="795"/>
      <c r="Q515" s="795"/>
      <c r="R515" s="790"/>
      <c r="S515" s="2203">
        <f>'Part IV-Uses of Funds'!S101</f>
        <v>0</v>
      </c>
      <c r="T515" s="2203"/>
    </row>
    <row r="516" spans="1:20">
      <c r="A516" s="790"/>
      <c r="B516" s="790" t="s">
        <v>2496</v>
      </c>
      <c r="C516" s="790"/>
      <c r="D516" s="790"/>
      <c r="E516" s="790"/>
      <c r="F516" s="790"/>
      <c r="G516" s="2203">
        <f>'Part IV-Uses of Funds'!G102</f>
        <v>3000</v>
      </c>
      <c r="H516" s="2203"/>
      <c r="I516" s="790"/>
      <c r="J516" s="795"/>
      <c r="K516" s="795"/>
      <c r="L516" s="795"/>
      <c r="M516" s="795"/>
      <c r="N516" s="795"/>
      <c r="O516" s="795"/>
      <c r="P516" s="795"/>
      <c r="Q516" s="795"/>
      <c r="R516" s="790"/>
      <c r="S516" s="2203">
        <f>'Part IV-Uses of Funds'!S102</f>
        <v>3000</v>
      </c>
      <c r="T516" s="2203"/>
    </row>
    <row r="517" spans="1:20" ht="15.75">
      <c r="A517" s="852" t="str">
        <f>IF(AND(G517&gt;0,OR(C517="",C517="&lt;Enter detailed description here; use Comments section if needed&gt;")),"X","")</f>
        <v/>
      </c>
      <c r="B517" s="790" t="s">
        <v>785</v>
      </c>
      <c r="C517" s="2204" t="str">
        <f>'Part IV-Uses of Funds'!C103</f>
        <v>Qualification Determination</v>
      </c>
      <c r="D517" s="2204"/>
      <c r="E517" s="2204"/>
      <c r="F517" s="2204"/>
      <c r="G517" s="2203">
        <f>'Part IV-Uses of Funds'!G103</f>
        <v>1000</v>
      </c>
      <c r="H517" s="2203"/>
      <c r="I517" s="790"/>
      <c r="J517" s="795"/>
      <c r="K517" s="795"/>
      <c r="L517" s="795"/>
      <c r="M517" s="795"/>
      <c r="N517" s="795"/>
      <c r="O517" s="795"/>
      <c r="P517" s="795"/>
      <c r="Q517" s="795"/>
      <c r="R517" s="790"/>
      <c r="S517" s="2203">
        <f>'Part IV-Uses of Funds'!S103</f>
        <v>1000</v>
      </c>
      <c r="T517" s="2203"/>
    </row>
    <row r="518" spans="1:20" ht="15.75">
      <c r="A518" s="852" t="str">
        <f>IF(AND(G518&gt;0,OR(C518="",C518="&lt;Enter detailed description here; use Comments section if needed&gt;")),"X","")</f>
        <v/>
      </c>
      <c r="B518" s="790" t="s">
        <v>785</v>
      </c>
      <c r="C518" s="2204" t="str">
        <f>'Part IV-Uses of Funds'!C104</f>
        <v>&lt;Enter detailed description here; use Comments section if needed&gt;</v>
      </c>
      <c r="D518" s="2204"/>
      <c r="E518" s="2204"/>
      <c r="F518" s="2204"/>
      <c r="G518" s="2203">
        <f>'Part IV-Uses of Funds'!G104</f>
        <v>0</v>
      </c>
      <c r="H518" s="2203"/>
      <c r="I518" s="790"/>
      <c r="J518" s="795"/>
      <c r="K518" s="795"/>
      <c r="L518" s="795"/>
      <c r="M518" s="795"/>
      <c r="N518" s="795"/>
      <c r="O518" s="795"/>
      <c r="P518" s="795"/>
      <c r="Q518" s="795"/>
      <c r="R518" s="790"/>
      <c r="S518" s="2203">
        <f>'Part IV-Uses of Funds'!S104</f>
        <v>0</v>
      </c>
      <c r="T518" s="2203"/>
    </row>
    <row r="519" spans="1:20">
      <c r="A519" s="790"/>
      <c r="B519" s="790"/>
      <c r="C519" s="790"/>
      <c r="D519" s="790"/>
      <c r="E519" s="790"/>
      <c r="F519" s="853" t="s">
        <v>199</v>
      </c>
      <c r="G519" s="2203">
        <f>SUM(G510:H518)</f>
        <v>157700</v>
      </c>
      <c r="H519" s="2203"/>
      <c r="I519" s="790"/>
      <c r="J519" s="805"/>
      <c r="K519" s="805"/>
      <c r="L519" s="805"/>
      <c r="M519" s="805"/>
      <c r="N519" s="805"/>
      <c r="O519" s="790"/>
      <c r="P519" s="805"/>
      <c r="Q519" s="805"/>
      <c r="R519" s="790"/>
      <c r="S519" s="2203">
        <f>SUM(S510:T518)</f>
        <v>157700</v>
      </c>
      <c r="T519" s="2203"/>
    </row>
    <row r="520" spans="1:20">
      <c r="A520" s="790"/>
      <c r="B520" s="793" t="s">
        <v>2440</v>
      </c>
      <c r="C520" s="790"/>
      <c r="D520" s="790"/>
      <c r="E520" s="790"/>
      <c r="F520" s="790"/>
      <c r="G520" s="790"/>
      <c r="H520" s="790"/>
      <c r="I520" s="790"/>
      <c r="J520" s="805"/>
      <c r="K520" s="805"/>
      <c r="L520" s="790"/>
      <c r="M520" s="805"/>
      <c r="N520" s="805"/>
      <c r="O520" s="854" t="str">
        <f>B520</f>
        <v>EQUITY COSTS</v>
      </c>
      <c r="P520" s="805"/>
      <c r="Q520" s="805"/>
      <c r="R520" s="790"/>
      <c r="S520" s="805"/>
      <c r="T520" s="805"/>
    </row>
    <row r="521" spans="1:20">
      <c r="A521" s="790"/>
      <c r="B521" s="790" t="s">
        <v>294</v>
      </c>
      <c r="C521" s="790"/>
      <c r="D521" s="790"/>
      <c r="E521" s="790"/>
      <c r="F521" s="790"/>
      <c r="G521" s="2203">
        <f>'Part IV-Uses of Funds'!G107</f>
        <v>2500</v>
      </c>
      <c r="H521" s="2203"/>
      <c r="I521" s="790"/>
      <c r="J521" s="2208"/>
      <c r="K521" s="2208"/>
      <c r="L521" s="805"/>
      <c r="M521" s="2208"/>
      <c r="N521" s="2208"/>
      <c r="O521" s="790"/>
      <c r="P521" s="2208"/>
      <c r="Q521" s="2208"/>
      <c r="R521" s="790"/>
      <c r="S521" s="2203">
        <f>'Part IV-Uses of Funds'!S107</f>
        <v>2500</v>
      </c>
      <c r="T521" s="2203"/>
    </row>
    <row r="522" spans="1:20">
      <c r="A522" s="790"/>
      <c r="B522" s="790" t="s">
        <v>296</v>
      </c>
      <c r="C522" s="790"/>
      <c r="D522" s="790"/>
      <c r="E522" s="790"/>
      <c r="F522" s="790"/>
      <c r="G522" s="2203">
        <f>'Part IV-Uses of Funds'!G108</f>
        <v>0</v>
      </c>
      <c r="H522" s="2203"/>
      <c r="I522" s="790"/>
      <c r="J522" s="2208"/>
      <c r="K522" s="2208"/>
      <c r="L522" s="805"/>
      <c r="M522" s="2208"/>
      <c r="N522" s="2208"/>
      <c r="O522" s="790"/>
      <c r="P522" s="2208"/>
      <c r="Q522" s="2208"/>
      <c r="R522" s="790"/>
      <c r="S522" s="2203">
        <f>'Part IV-Uses of Funds'!S108</f>
        <v>0</v>
      </c>
      <c r="T522" s="2203"/>
    </row>
    <row r="523" spans="1:20">
      <c r="A523" s="790"/>
      <c r="B523" s="790" t="s">
        <v>2534</v>
      </c>
      <c r="C523" s="790"/>
      <c r="D523" s="790"/>
      <c r="E523" s="790"/>
      <c r="F523" s="790"/>
      <c r="G523" s="2203">
        <f>'Part IV-Uses of Funds'!G109</f>
        <v>0</v>
      </c>
      <c r="H523" s="2203"/>
      <c r="I523" s="790"/>
      <c r="J523" s="2208"/>
      <c r="K523" s="2208"/>
      <c r="L523" s="805"/>
      <c r="M523" s="2208"/>
      <c r="N523" s="2208"/>
      <c r="O523" s="790"/>
      <c r="P523" s="2208"/>
      <c r="Q523" s="2208"/>
      <c r="R523" s="790"/>
      <c r="S523" s="2203">
        <f>'Part IV-Uses of Funds'!S109</f>
        <v>0</v>
      </c>
      <c r="T523" s="2203"/>
    </row>
    <row r="524" spans="1:20" ht="15.75">
      <c r="A524" s="852" t="str">
        <f>IF(AND(G524&gt;0,OR(C524="",C524="&lt;Enter detailed description here; use Comments section if needed&gt;")),"X","")</f>
        <v/>
      </c>
      <c r="B524" s="790" t="s">
        <v>785</v>
      </c>
      <c r="C524" s="2204" t="str">
        <f>'Part IV-Uses of Funds'!C110</f>
        <v>&lt;Enter detailed description here; use Comments section if needed&gt;</v>
      </c>
      <c r="D524" s="2204"/>
      <c r="E524" s="2204"/>
      <c r="F524" s="2204"/>
      <c r="G524" s="2203">
        <f>'Part IV-Uses of Funds'!G110</f>
        <v>0</v>
      </c>
      <c r="H524" s="2203"/>
      <c r="I524" s="790"/>
      <c r="J524" s="2208"/>
      <c r="K524" s="2208"/>
      <c r="L524" s="805"/>
      <c r="M524" s="2208"/>
      <c r="N524" s="2208"/>
      <c r="O524" s="790"/>
      <c r="P524" s="2208"/>
      <c r="Q524" s="2208"/>
      <c r="R524" s="790"/>
      <c r="S524" s="2203">
        <f>'Part IV-Uses of Funds'!S110</f>
        <v>0</v>
      </c>
      <c r="T524" s="2203"/>
    </row>
    <row r="525" spans="1:20">
      <c r="A525" s="790"/>
      <c r="B525" s="790"/>
      <c r="C525" s="790"/>
      <c r="D525" s="790"/>
      <c r="E525" s="790"/>
      <c r="F525" s="853" t="s">
        <v>199</v>
      </c>
      <c r="G525" s="2203">
        <f>SUM(G521:H524)</f>
        <v>2500</v>
      </c>
      <c r="H525" s="2203"/>
      <c r="I525" s="790"/>
      <c r="J525" s="2208"/>
      <c r="K525" s="2208"/>
      <c r="L525" s="805"/>
      <c r="M525" s="2208"/>
      <c r="N525" s="2208"/>
      <c r="O525" s="790"/>
      <c r="P525" s="2208"/>
      <c r="Q525" s="2208"/>
      <c r="R525" s="790"/>
      <c r="S525" s="2203">
        <f>SUM(S521:T524)</f>
        <v>2500</v>
      </c>
      <c r="T525" s="2203"/>
    </row>
    <row r="526" spans="1:20">
      <c r="A526" s="790"/>
      <c r="B526" s="793" t="s">
        <v>297</v>
      </c>
      <c r="C526" s="790"/>
      <c r="D526" s="790"/>
      <c r="E526" s="790"/>
      <c r="F526" s="790"/>
      <c r="G526" s="790"/>
      <c r="H526" s="790"/>
      <c r="I526" s="790"/>
      <c r="J526" s="805"/>
      <c r="K526" s="851"/>
      <c r="L526" s="790"/>
      <c r="M526" s="805"/>
      <c r="N526" s="851"/>
      <c r="O526" s="854" t="str">
        <f>B526</f>
        <v>DEVELOPER'S FEE</v>
      </c>
      <c r="P526" s="805"/>
      <c r="Q526" s="851"/>
      <c r="R526" s="790"/>
      <c r="S526" s="805"/>
      <c r="T526" s="851"/>
    </row>
    <row r="527" spans="1:20">
      <c r="A527" s="790"/>
      <c r="B527" s="790" t="s">
        <v>1981</v>
      </c>
      <c r="C527" s="790"/>
      <c r="D527" s="790"/>
      <c r="E527" s="790"/>
      <c r="F527" s="841" t="e">
        <f>G527/$G$116</f>
        <v>#DIV/0!</v>
      </c>
      <c r="G527" s="2203">
        <f>'Part IV-Uses of Funds'!G113</f>
        <v>645564</v>
      </c>
      <c r="H527" s="2203"/>
      <c r="I527" s="790"/>
      <c r="J527" s="2203">
        <f>'Part IV-Uses of Funds'!J113</f>
        <v>645564</v>
      </c>
      <c r="K527" s="2203"/>
      <c r="L527" s="854"/>
      <c r="M527" s="2203">
        <f>'Part IV-Uses of Funds'!M113</f>
        <v>0</v>
      </c>
      <c r="N527" s="2203"/>
      <c r="O527" s="790"/>
      <c r="P527" s="2203">
        <f>'Part IV-Uses of Funds'!P113</f>
        <v>0</v>
      </c>
      <c r="Q527" s="2203"/>
      <c r="R527" s="790"/>
      <c r="S527" s="2203">
        <f>'Part IV-Uses of Funds'!S113</f>
        <v>0</v>
      </c>
      <c r="T527" s="2203"/>
    </row>
    <row r="528" spans="1:20">
      <c r="A528" s="790"/>
      <c r="B528" s="790" t="s">
        <v>1982</v>
      </c>
      <c r="C528" s="790"/>
      <c r="D528" s="790"/>
      <c r="E528" s="790"/>
      <c r="F528" s="841" t="e">
        <f>G528/$G$116</f>
        <v>#DIV/0!</v>
      </c>
      <c r="G528" s="2203">
        <f>'Part IV-Uses of Funds'!G114</f>
        <v>0</v>
      </c>
      <c r="H528" s="2203"/>
      <c r="I528" s="790"/>
      <c r="J528" s="2203">
        <f>'Part IV-Uses of Funds'!J114</f>
        <v>0</v>
      </c>
      <c r="K528" s="2203"/>
      <c r="L528" s="805"/>
      <c r="M528" s="2203">
        <f>'Part IV-Uses of Funds'!M114</f>
        <v>0</v>
      </c>
      <c r="N528" s="2203"/>
      <c r="O528" s="790"/>
      <c r="P528" s="2203">
        <f>'Part IV-Uses of Funds'!P114</f>
        <v>0</v>
      </c>
      <c r="Q528" s="2203"/>
      <c r="R528" s="790"/>
      <c r="S528" s="2203">
        <f>'Part IV-Uses of Funds'!S114</f>
        <v>0</v>
      </c>
      <c r="T528" s="2203"/>
    </row>
    <row r="529" spans="1:20">
      <c r="A529" s="790"/>
      <c r="B529" s="790" t="s">
        <v>1974</v>
      </c>
      <c r="C529" s="790"/>
      <c r="D529" s="790"/>
      <c r="E529" s="790"/>
      <c r="F529" s="841" t="e">
        <f>G529/$G$116</f>
        <v>#DIV/0!</v>
      </c>
      <c r="G529" s="2203">
        <f>'Part IV-Uses of Funds'!G115</f>
        <v>852335</v>
      </c>
      <c r="H529" s="2203"/>
      <c r="I529" s="790"/>
      <c r="J529" s="2203">
        <f>'Part IV-Uses of Funds'!J115</f>
        <v>852335</v>
      </c>
      <c r="K529" s="2203"/>
      <c r="L529" s="805"/>
      <c r="M529" s="2203">
        <f>'Part IV-Uses of Funds'!M115</f>
        <v>0</v>
      </c>
      <c r="N529" s="2203"/>
      <c r="O529" s="790"/>
      <c r="P529" s="2203">
        <f>'Part IV-Uses of Funds'!P115</f>
        <v>0</v>
      </c>
      <c r="Q529" s="2203"/>
      <c r="R529" s="790"/>
      <c r="S529" s="2203">
        <f>'Part IV-Uses of Funds'!S115</f>
        <v>0</v>
      </c>
      <c r="T529" s="2203"/>
    </row>
    <row r="530" spans="1:20">
      <c r="A530" s="790"/>
      <c r="B530" s="790"/>
      <c r="C530" s="791" t="str">
        <f>IF(G530&lt;='DCA Underwriting Assumptions'!$Q$48,"","Developer Fee exceeds DCA Program Maximum !!!")</f>
        <v/>
      </c>
      <c r="D530" s="790"/>
      <c r="E530" s="790"/>
      <c r="F530" s="853" t="s">
        <v>199</v>
      </c>
      <c r="G530" s="2203">
        <f>SUM(G527:H529)</f>
        <v>1497899</v>
      </c>
      <c r="H530" s="2203"/>
      <c r="I530" s="790"/>
      <c r="J530" s="2203">
        <f>SUM(J527:K529)</f>
        <v>1497899</v>
      </c>
      <c r="K530" s="2203"/>
      <c r="L530" s="805"/>
      <c r="M530" s="2203">
        <f>SUM(M527:N529)</f>
        <v>0</v>
      </c>
      <c r="N530" s="2203"/>
      <c r="O530" s="790"/>
      <c r="P530" s="2203">
        <f>SUM(P527:Q529)</f>
        <v>0</v>
      </c>
      <c r="Q530" s="2203"/>
      <c r="R530" s="790"/>
      <c r="S530" s="2203">
        <f>SUM(S527:T529)</f>
        <v>0</v>
      </c>
      <c r="T530" s="2203"/>
    </row>
    <row r="531" spans="1:20">
      <c r="A531" s="790"/>
      <c r="B531" s="793" t="s">
        <v>1389</v>
      </c>
      <c r="C531" s="790"/>
      <c r="D531" s="790"/>
      <c r="E531" s="790"/>
      <c r="F531" s="790"/>
      <c r="G531" s="790"/>
      <c r="H531" s="790"/>
      <c r="I531" s="790"/>
      <c r="J531" s="851"/>
      <c r="K531" s="851"/>
      <c r="L531" s="790"/>
      <c r="M531" s="851"/>
      <c r="N531" s="851"/>
      <c r="O531" s="854" t="str">
        <f>B531</f>
        <v>START-UP AND RESERVES</v>
      </c>
      <c r="P531" s="851"/>
      <c r="Q531" s="851"/>
      <c r="R531" s="790"/>
      <c r="S531" s="851"/>
      <c r="T531" s="851"/>
    </row>
    <row r="532" spans="1:20">
      <c r="A532" s="790"/>
      <c r="B532" s="790" t="s">
        <v>264</v>
      </c>
      <c r="C532" s="790"/>
      <c r="D532" s="790"/>
      <c r="E532" s="790"/>
      <c r="F532" s="790"/>
      <c r="G532" s="2203">
        <f>'Part IV-Uses of Funds'!G118</f>
        <v>15000</v>
      </c>
      <c r="H532" s="2203"/>
      <c r="I532" s="790"/>
      <c r="J532" s="867"/>
      <c r="K532" s="867"/>
      <c r="L532" s="867"/>
      <c r="M532" s="867"/>
      <c r="N532" s="867"/>
      <c r="O532" s="790"/>
      <c r="P532" s="867"/>
      <c r="Q532" s="867"/>
      <c r="R532" s="790"/>
      <c r="S532" s="2203">
        <f>'Part IV-Uses of Funds'!S118</f>
        <v>0</v>
      </c>
      <c r="T532" s="2203"/>
    </row>
    <row r="533" spans="1:20">
      <c r="A533" s="790"/>
      <c r="B533" s="790" t="s">
        <v>1634</v>
      </c>
      <c r="C533" s="790"/>
      <c r="D533" s="790"/>
      <c r="E533" s="790"/>
      <c r="F533" s="868">
        <f>+'Part VI-Revenues &amp; Expenses'!P571*('DCA Underwriting Assumptions'!$Q$60/12)</f>
        <v>0</v>
      </c>
      <c r="G533" s="2203">
        <f>'Part IV-Uses of Funds'!G119</f>
        <v>84000</v>
      </c>
      <c r="H533" s="2203"/>
      <c r="I533" s="790"/>
      <c r="J533" s="2208"/>
      <c r="K533" s="2208"/>
      <c r="L533" s="805"/>
      <c r="M533" s="2208"/>
      <c r="N533" s="2208"/>
      <c r="O533" s="790"/>
      <c r="P533" s="2208"/>
      <c r="Q533" s="2208"/>
      <c r="R533" s="790"/>
      <c r="S533" s="2203">
        <f>'Part IV-Uses of Funds'!S119</f>
        <v>0</v>
      </c>
      <c r="T533" s="2203"/>
    </row>
    <row r="534" spans="1:20">
      <c r="A534" s="790"/>
      <c r="B534" s="790" t="s">
        <v>718</v>
      </c>
      <c r="C534" s="790"/>
      <c r="D534" s="790"/>
      <c r="E534" s="790"/>
      <c r="F534" s="869">
        <f>'Part VI-Revenues &amp; Expenses'!P571*('DCA Underwriting Assumptions'!Q473/12)+('Part VII-Pro Forma'!B437+'Part VII-Pro Forma'!B438+'Part VII-Pro Forma'!B439+'Part VII-Pro Forma'!B440)*'DCA Underwriting Assumptions'!Q472/(-12)</f>
        <v>0</v>
      </c>
      <c r="G534" s="2203">
        <f>'Part IV-Uses of Funds'!G120</f>
        <v>203765</v>
      </c>
      <c r="H534" s="2203"/>
      <c r="I534" s="790"/>
      <c r="J534" s="867"/>
      <c r="K534" s="867"/>
      <c r="L534" s="867"/>
      <c r="M534" s="867"/>
      <c r="N534" s="867"/>
      <c r="O534" s="790"/>
      <c r="P534" s="867"/>
      <c r="Q534" s="867"/>
      <c r="R534" s="790"/>
      <c r="S534" s="2203">
        <f>'Part IV-Uses of Funds'!S120</f>
        <v>0</v>
      </c>
      <c r="T534" s="2203"/>
    </row>
    <row r="535" spans="1:20">
      <c r="A535" s="790"/>
      <c r="B535" s="790" t="s">
        <v>1316</v>
      </c>
      <c r="C535" s="790"/>
      <c r="D535" s="790"/>
      <c r="E535" s="790"/>
      <c r="F535" s="790"/>
      <c r="G535" s="2203">
        <f>'Part IV-Uses of Funds'!G121</f>
        <v>0</v>
      </c>
      <c r="H535" s="2203"/>
      <c r="I535" s="790"/>
      <c r="J535" s="867"/>
      <c r="K535" s="867"/>
      <c r="L535" s="867"/>
      <c r="M535" s="867"/>
      <c r="N535" s="867"/>
      <c r="O535" s="790"/>
      <c r="P535" s="867"/>
      <c r="Q535" s="867"/>
      <c r="R535" s="790"/>
      <c r="S535" s="2203">
        <f>'Part IV-Uses of Funds'!S121</f>
        <v>0</v>
      </c>
      <c r="T535" s="2203"/>
    </row>
    <row r="536" spans="1:20">
      <c r="A536" s="790"/>
      <c r="B536" s="790" t="s">
        <v>1317</v>
      </c>
      <c r="C536" s="790"/>
      <c r="D536" s="790"/>
      <c r="E536" s="790" t="s">
        <v>3020</v>
      </c>
      <c r="F536" s="870">
        <f>G536/'Part VI-Revenues &amp; Expenses'!$M$62</f>
        <v>714.28571428571433</v>
      </c>
      <c r="G536" s="2203">
        <f>'Part IV-Uses of Funds'!G122</f>
        <v>60000</v>
      </c>
      <c r="H536" s="2203"/>
      <c r="I536" s="790"/>
      <c r="J536" s="2203">
        <f>'Part IV-Uses of Funds'!J122</f>
        <v>60000</v>
      </c>
      <c r="K536" s="2203"/>
      <c r="L536" s="805"/>
      <c r="M536" s="2203">
        <f>'Part IV-Uses of Funds'!M122</f>
        <v>0</v>
      </c>
      <c r="N536" s="2203"/>
      <c r="O536" s="790"/>
      <c r="P536" s="2203">
        <f>'Part IV-Uses of Funds'!P122</f>
        <v>0</v>
      </c>
      <c r="Q536" s="2203"/>
      <c r="R536" s="790"/>
      <c r="S536" s="2203">
        <f>'Part IV-Uses of Funds'!S122</f>
        <v>0</v>
      </c>
      <c r="T536" s="2203"/>
    </row>
    <row r="537" spans="1:20" ht="15.75">
      <c r="A537" s="852" t="str">
        <f>IF(AND(G537&gt;0,OR(C537="",C537="&lt;Enter detailed description here; use Comments section if needed&gt;")),"X","")</f>
        <v/>
      </c>
      <c r="B537" s="790" t="s">
        <v>785</v>
      </c>
      <c r="C537" s="2204" t="str">
        <f>'Part IV-Uses of Funds'!C123</f>
        <v>&lt;Enter detailed description here; use Comments section if needed&gt;</v>
      </c>
      <c r="D537" s="2204"/>
      <c r="E537" s="2204"/>
      <c r="F537" s="2204"/>
      <c r="G537" s="2203">
        <f>'Part IV-Uses of Funds'!G123</f>
        <v>0</v>
      </c>
      <c r="H537" s="2203"/>
      <c r="I537" s="790"/>
      <c r="J537" s="2203">
        <f>'Part IV-Uses of Funds'!J123</f>
        <v>0</v>
      </c>
      <c r="K537" s="2203"/>
      <c r="L537" s="805"/>
      <c r="M537" s="2203">
        <f>'Part IV-Uses of Funds'!M123</f>
        <v>0</v>
      </c>
      <c r="N537" s="2203"/>
      <c r="O537" s="790"/>
      <c r="P537" s="2203">
        <f>'Part IV-Uses of Funds'!P123</f>
        <v>0</v>
      </c>
      <c r="Q537" s="2203"/>
      <c r="R537" s="790"/>
      <c r="S537" s="2203">
        <f>'Part IV-Uses of Funds'!S123</f>
        <v>0</v>
      </c>
      <c r="T537" s="2203"/>
    </row>
    <row r="538" spans="1:20">
      <c r="A538" s="790"/>
      <c r="B538" s="871"/>
      <c r="C538" s="790"/>
      <c r="D538" s="790"/>
      <c r="E538" s="790"/>
      <c r="F538" s="853" t="s">
        <v>199</v>
      </c>
      <c r="G538" s="2203">
        <f>SUM(G532:H537)</f>
        <v>362765</v>
      </c>
      <c r="H538" s="2203"/>
      <c r="I538" s="790"/>
      <c r="J538" s="2203">
        <f>SUM(J536:K537)</f>
        <v>60000</v>
      </c>
      <c r="K538" s="2203"/>
      <c r="L538" s="805"/>
      <c r="M538" s="2203">
        <f>SUM(M536:N537)</f>
        <v>0</v>
      </c>
      <c r="N538" s="2203"/>
      <c r="O538" s="790"/>
      <c r="P538" s="2203">
        <f>SUM(P536:Q537)</f>
        <v>0</v>
      </c>
      <c r="Q538" s="2203"/>
      <c r="R538" s="790"/>
      <c r="S538" s="2203">
        <f>SUM(S532:T537)</f>
        <v>0</v>
      </c>
      <c r="T538" s="2203"/>
    </row>
    <row r="539" spans="1:20">
      <c r="A539" s="790"/>
      <c r="B539" s="793" t="s">
        <v>646</v>
      </c>
      <c r="C539" s="797"/>
      <c r="D539" s="790"/>
      <c r="E539" s="790"/>
      <c r="F539" s="790"/>
      <c r="G539" s="790"/>
      <c r="H539" s="872"/>
      <c r="I539" s="872"/>
      <c r="J539" s="851"/>
      <c r="K539" s="851"/>
      <c r="L539" s="790"/>
      <c r="M539" s="851"/>
      <c r="N539" s="851"/>
      <c r="O539" s="854" t="str">
        <f>B539</f>
        <v>OTHER COSTS</v>
      </c>
      <c r="P539" s="851"/>
      <c r="Q539" s="851"/>
      <c r="R539" s="790"/>
      <c r="S539" s="851"/>
      <c r="T539" s="851"/>
    </row>
    <row r="540" spans="1:20">
      <c r="A540" s="790"/>
      <c r="B540" s="790" t="s">
        <v>647</v>
      </c>
      <c r="C540" s="797"/>
      <c r="D540" s="790"/>
      <c r="E540" s="790"/>
      <c r="F540" s="790"/>
      <c r="G540" s="2203">
        <f>'Part IV-Uses of Funds'!G126</f>
        <v>0</v>
      </c>
      <c r="H540" s="2203"/>
      <c r="I540" s="790"/>
      <c r="J540" s="2203">
        <f>'Part IV-Uses of Funds'!J126</f>
        <v>0</v>
      </c>
      <c r="K540" s="2203"/>
      <c r="L540" s="854"/>
      <c r="M540" s="2203">
        <f>'Part IV-Uses of Funds'!M126</f>
        <v>0</v>
      </c>
      <c r="N540" s="2203"/>
      <c r="O540" s="790"/>
      <c r="P540" s="2203">
        <f>'Part IV-Uses of Funds'!P126</f>
        <v>0</v>
      </c>
      <c r="Q540" s="2203"/>
      <c r="R540" s="790"/>
      <c r="S540" s="2203">
        <f>'Part IV-Uses of Funds'!S126</f>
        <v>0</v>
      </c>
      <c r="T540" s="2203"/>
    </row>
    <row r="541" spans="1:20" ht="14.25" customHeight="1">
      <c r="A541" s="852" t="str">
        <f>IF(AND(G541&gt;0,OR(C541="",C541="&lt;Enter detailed description here; use Comments section if needed&gt;")),"X","")</f>
        <v/>
      </c>
      <c r="B541" s="790" t="s">
        <v>785</v>
      </c>
      <c r="C541" s="2204" t="str">
        <f>'Part IV-Uses of Funds'!C127</f>
        <v>&lt;Enter detailed description here; use Comments section if needed&gt;</v>
      </c>
      <c r="D541" s="2204"/>
      <c r="E541" s="2204"/>
      <c r="F541" s="2204"/>
      <c r="G541" s="2203">
        <f>'Part IV-Uses of Funds'!G127</f>
        <v>0</v>
      </c>
      <c r="H541" s="2203"/>
      <c r="I541" s="790"/>
      <c r="J541" s="2203">
        <f>'Part IV-Uses of Funds'!J127</f>
        <v>0</v>
      </c>
      <c r="K541" s="2203"/>
      <c r="L541" s="805"/>
      <c r="M541" s="2203">
        <f>'Part IV-Uses of Funds'!M127</f>
        <v>0</v>
      </c>
      <c r="N541" s="2203"/>
      <c r="O541" s="790"/>
      <c r="P541" s="2203">
        <f>'Part IV-Uses of Funds'!P127</f>
        <v>0</v>
      </c>
      <c r="Q541" s="2203"/>
      <c r="R541" s="790"/>
      <c r="S541" s="2203">
        <f>'Part IV-Uses of Funds'!S127</f>
        <v>0</v>
      </c>
      <c r="T541" s="2203"/>
    </row>
    <row r="542" spans="1:20">
      <c r="A542" s="790"/>
      <c r="B542" s="790"/>
      <c r="C542" s="797"/>
      <c r="D542" s="790"/>
      <c r="E542" s="790"/>
      <c r="F542" s="853" t="s">
        <v>199</v>
      </c>
      <c r="G542" s="2203">
        <f>SUM(G540:H541)</f>
        <v>0</v>
      </c>
      <c r="H542" s="2203"/>
      <c r="I542" s="790"/>
      <c r="J542" s="2203">
        <f>SUM(J540:K541)</f>
        <v>0</v>
      </c>
      <c r="K542" s="2203"/>
      <c r="L542" s="805"/>
      <c r="M542" s="2203">
        <f>SUM(M540:N541)</f>
        <v>0</v>
      </c>
      <c r="N542" s="2203"/>
      <c r="O542" s="790"/>
      <c r="P542" s="2203">
        <f>SUM(P540:Q541)</f>
        <v>0</v>
      </c>
      <c r="Q542" s="2203"/>
      <c r="R542" s="790"/>
      <c r="S542" s="2203">
        <f>SUM(S540:T541)</f>
        <v>0</v>
      </c>
      <c r="T542" s="2203"/>
    </row>
    <row r="543" spans="1:20">
      <c r="A543" s="790"/>
      <c r="B543" s="790"/>
      <c r="C543" s="797"/>
      <c r="D543" s="790"/>
      <c r="E543" s="790"/>
      <c r="F543" s="790"/>
      <c r="G543" s="790"/>
      <c r="H543" s="872"/>
      <c r="I543" s="872"/>
      <c r="J543" s="790"/>
      <c r="K543" s="790"/>
      <c r="L543" s="790"/>
      <c r="M543" s="790"/>
      <c r="N543" s="790"/>
      <c r="O543" s="790"/>
      <c r="P543" s="790"/>
      <c r="Q543" s="790"/>
      <c r="R543" s="790"/>
      <c r="S543" s="790"/>
      <c r="T543" s="790"/>
    </row>
    <row r="544" spans="1:20">
      <c r="A544" s="790"/>
      <c r="B544" s="791" t="s">
        <v>3385</v>
      </c>
      <c r="C544" s="790"/>
      <c r="D544" s="790"/>
      <c r="E544" s="790"/>
      <c r="F544" s="790"/>
      <c r="G544" s="2207">
        <f>G431+G437+G441+G447+G452+G455+G461+G478+G491+G497+G505+G519+G525+G530+G538+G542</f>
        <v>12233897</v>
      </c>
      <c r="H544" s="2207"/>
      <c r="I544" s="790"/>
      <c r="J544" s="2207">
        <f>J431+J437+J441+J447+J452+J455+J461+J478+J491+J497+J505+J519+J525+J530+J538+J542</f>
        <v>10834891</v>
      </c>
      <c r="K544" s="2207"/>
      <c r="L544" s="790"/>
      <c r="M544" s="2207">
        <f>M431+M437+M441+M447+M452+M455+M461+M478+M491+M497+M505+M519+M525+M530+M538+M542</f>
        <v>0</v>
      </c>
      <c r="N544" s="2207"/>
      <c r="O544" s="790"/>
      <c r="P544" s="2207">
        <f>P431+P437+P441+P447+P452+P455+P461+P478+P491+P497+P505+P519+P525+P530+P538+P542</f>
        <v>0</v>
      </c>
      <c r="Q544" s="2207"/>
      <c r="R544" s="790"/>
      <c r="S544" s="2207">
        <f>S431+S437+S441+S447+S452+S455+S461+S478+S491+S497+S505+S519+S525+S530+S538+S542</f>
        <v>346241</v>
      </c>
      <c r="T544" s="2207"/>
    </row>
    <row r="545" spans="1:20">
      <c r="A545" s="790"/>
      <c r="B545" s="790"/>
      <c r="C545" s="797"/>
      <c r="D545" s="790"/>
      <c r="E545" s="790"/>
      <c r="F545" s="790"/>
      <c r="G545" s="790"/>
      <c r="H545" s="872"/>
      <c r="I545" s="872"/>
      <c r="J545" s="790"/>
      <c r="K545" s="790"/>
      <c r="L545" s="790"/>
      <c r="M545" s="790"/>
      <c r="N545" s="790"/>
      <c r="O545" s="790"/>
      <c r="P545" s="790"/>
      <c r="Q545" s="790"/>
      <c r="R545" s="790"/>
      <c r="S545" s="790"/>
      <c r="T545" s="790"/>
    </row>
    <row r="546" spans="1:20">
      <c r="A546" s="790"/>
      <c r="B546" s="873" t="s">
        <v>3386</v>
      </c>
      <c r="C546" s="862"/>
      <c r="D546" s="2205">
        <f>G544/'Part VI-Revenues &amp; Expenses'!$M$62</f>
        <v>145641.63095238095</v>
      </c>
      <c r="E546" s="2205"/>
      <c r="F546" s="874" t="s">
        <v>3030</v>
      </c>
      <c r="G546" s="2205">
        <f>G544/'Part VI-Revenues &amp; Expenses'!$M$100</f>
        <v>175.77438218390805</v>
      </c>
      <c r="H546" s="2205"/>
      <c r="I546" s="875"/>
      <c r="J546" s="790"/>
      <c r="K546" s="790"/>
      <c r="L546" s="790"/>
      <c r="M546" s="790"/>
      <c r="N546" s="790"/>
      <c r="O546" s="790"/>
      <c r="P546" s="790"/>
      <c r="Q546" s="790"/>
      <c r="R546" s="790"/>
      <c r="S546" s="790"/>
      <c r="T546" s="790"/>
    </row>
    <row r="547" spans="1:20">
      <c r="A547" s="790"/>
      <c r="B547" s="790"/>
      <c r="C547" s="790"/>
      <c r="D547" s="790"/>
      <c r="E547" s="790"/>
      <c r="F547" s="790"/>
      <c r="G547" s="790"/>
      <c r="H547" s="790"/>
      <c r="I547" s="875"/>
      <c r="J547" s="790"/>
      <c r="K547" s="790"/>
      <c r="L547" s="875"/>
      <c r="M547" s="790"/>
      <c r="N547" s="790"/>
      <c r="O547" s="790"/>
      <c r="P547" s="790"/>
      <c r="Q547" s="790"/>
      <c r="R547" s="790"/>
      <c r="S547" s="790"/>
      <c r="T547" s="790"/>
    </row>
    <row r="548" spans="1:20">
      <c r="A548" s="790"/>
      <c r="B548" s="790"/>
      <c r="C548" s="790"/>
      <c r="D548" s="797"/>
      <c r="E548" s="797"/>
      <c r="F548" s="790"/>
      <c r="G548" s="790"/>
      <c r="H548" s="790"/>
      <c r="I548" s="872"/>
      <c r="J548" s="872"/>
      <c r="K548" s="876"/>
      <c r="L548" s="797"/>
      <c r="M548" s="790"/>
      <c r="N548" s="790"/>
      <c r="O548" s="790"/>
      <c r="P548" s="790"/>
      <c r="Q548" s="790"/>
      <c r="R548" s="790"/>
      <c r="S548" s="790"/>
      <c r="T548" s="790"/>
    </row>
    <row r="549" spans="1:20" ht="16.5">
      <c r="A549" s="850" t="s">
        <v>784</v>
      </c>
      <c r="B549" s="877" t="s">
        <v>1513</v>
      </c>
      <c r="C549" s="789"/>
      <c r="D549" s="805"/>
      <c r="E549" s="805"/>
      <c r="F549" s="805"/>
      <c r="G549" s="790"/>
      <c r="H549" s="790"/>
      <c r="I549" s="878"/>
      <c r="J549" s="2206" t="s">
        <v>285</v>
      </c>
      <c r="K549" s="2206"/>
      <c r="L549" s="790"/>
      <c r="M549" s="2206" t="s">
        <v>103</v>
      </c>
      <c r="N549" s="2206"/>
      <c r="O549" s="790"/>
      <c r="P549" s="2206" t="s">
        <v>286</v>
      </c>
      <c r="Q549" s="2206"/>
      <c r="R549" s="790"/>
      <c r="S549" s="790"/>
      <c r="T549" s="790"/>
    </row>
    <row r="550" spans="1:20">
      <c r="A550" s="790"/>
      <c r="B550" s="791" t="s">
        <v>2174</v>
      </c>
      <c r="C550" s="790"/>
      <c r="D550" s="805"/>
      <c r="E550" s="805"/>
      <c r="F550" s="790"/>
      <c r="G550" s="790"/>
      <c r="H550" s="790"/>
      <c r="I550" s="878"/>
      <c r="J550" s="2206"/>
      <c r="K550" s="2206"/>
      <c r="L550" s="789"/>
      <c r="M550" s="2206"/>
      <c r="N550" s="2206"/>
      <c r="O550" s="790"/>
      <c r="P550" s="2206"/>
      <c r="Q550" s="2206"/>
      <c r="R550" s="790"/>
      <c r="S550" s="790"/>
      <c r="T550" s="790"/>
    </row>
    <row r="551" spans="1:20">
      <c r="A551" s="790"/>
      <c r="B551" s="790"/>
      <c r="C551" s="790"/>
      <c r="D551" s="797"/>
      <c r="E551" s="797"/>
      <c r="F551" s="790"/>
      <c r="G551" s="790"/>
      <c r="H551" s="790"/>
      <c r="I551" s="872"/>
      <c r="J551" s="872"/>
      <c r="K551" s="876"/>
      <c r="L551" s="797"/>
      <c r="M551" s="790"/>
      <c r="N551" s="790"/>
      <c r="O551" s="790"/>
      <c r="P551" s="790"/>
      <c r="Q551" s="790"/>
      <c r="R551" s="790"/>
      <c r="S551" s="790"/>
      <c r="T551" s="790"/>
    </row>
    <row r="552" spans="1:20">
      <c r="A552" s="790"/>
      <c r="B552" s="797" t="s">
        <v>147</v>
      </c>
      <c r="C552" s="790"/>
      <c r="D552" s="790"/>
      <c r="E552" s="790"/>
      <c r="F552" s="790"/>
      <c r="G552" s="790"/>
      <c r="H552" s="790"/>
      <c r="I552" s="878"/>
      <c r="J552" s="2203">
        <f>'Part IV-Uses of Funds'!J138</f>
        <v>0</v>
      </c>
      <c r="K552" s="2203"/>
      <c r="L552" s="790"/>
      <c r="M552" s="790"/>
      <c r="N552" s="790"/>
      <c r="O552" s="790"/>
      <c r="P552" s="2203">
        <f>'Part IV-Uses of Funds'!P138</f>
        <v>0</v>
      </c>
      <c r="Q552" s="2203"/>
      <c r="R552" s="790"/>
      <c r="S552" s="790"/>
      <c r="T552" s="790"/>
    </row>
    <row r="553" spans="1:20">
      <c r="A553" s="790"/>
      <c r="B553" s="790" t="s">
        <v>2283</v>
      </c>
      <c r="C553" s="790"/>
      <c r="D553" s="790"/>
      <c r="E553" s="790"/>
      <c r="F553" s="790"/>
      <c r="G553" s="790"/>
      <c r="H553" s="790"/>
      <c r="I553" s="878"/>
      <c r="J553" s="2203">
        <f>'Part IV-Uses of Funds'!J139</f>
        <v>0</v>
      </c>
      <c r="K553" s="2203"/>
      <c r="L553" s="790"/>
      <c r="M553" s="790"/>
      <c r="N553" s="790"/>
      <c r="O553" s="790"/>
      <c r="P553" s="2203">
        <f>'Part IV-Uses of Funds'!P139</f>
        <v>0</v>
      </c>
      <c r="Q553" s="2203"/>
      <c r="R553" s="790"/>
      <c r="S553" s="790"/>
      <c r="T553" s="790"/>
    </row>
    <row r="554" spans="1:20">
      <c r="A554" s="790"/>
      <c r="B554" s="790" t="s">
        <v>1984</v>
      </c>
      <c r="C554" s="790"/>
      <c r="D554" s="790"/>
      <c r="E554" s="790"/>
      <c r="F554" s="790"/>
      <c r="G554" s="790"/>
      <c r="H554" s="790"/>
      <c r="I554" s="878"/>
      <c r="J554" s="2203">
        <f>'Part IV-Uses of Funds'!J140</f>
        <v>0</v>
      </c>
      <c r="K554" s="2203"/>
      <c r="L554" s="790"/>
      <c r="M554" s="790"/>
      <c r="N554" s="790"/>
      <c r="O554" s="790"/>
      <c r="P554" s="2203">
        <f>'Part IV-Uses of Funds'!P140</f>
        <v>0</v>
      </c>
      <c r="Q554" s="2203"/>
      <c r="R554" s="790"/>
      <c r="S554" s="790"/>
      <c r="T554" s="790"/>
    </row>
    <row r="555" spans="1:20">
      <c r="A555" s="790"/>
      <c r="B555" s="790" t="s">
        <v>1985</v>
      </c>
      <c r="C555" s="790"/>
      <c r="D555" s="790"/>
      <c r="E555" s="790"/>
      <c r="F555" s="790"/>
      <c r="G555" s="790"/>
      <c r="H555" s="790"/>
      <c r="I555" s="878"/>
      <c r="J555" s="2203">
        <f>'Part IV-Uses of Funds'!J141</f>
        <v>0</v>
      </c>
      <c r="K555" s="2203"/>
      <c r="L555" s="790"/>
      <c r="M555" s="790"/>
      <c r="N555" s="790"/>
      <c r="O555" s="790"/>
      <c r="P555" s="2203">
        <f>'Part IV-Uses of Funds'!P141</f>
        <v>0</v>
      </c>
      <c r="Q555" s="2203"/>
      <c r="R555" s="790"/>
      <c r="S555" s="790"/>
      <c r="T555" s="790"/>
    </row>
    <row r="556" spans="1:20">
      <c r="A556" s="790"/>
      <c r="B556" s="790" t="s">
        <v>267</v>
      </c>
      <c r="C556" s="790"/>
      <c r="D556" s="790"/>
      <c r="E556" s="790"/>
      <c r="F556" s="790"/>
      <c r="G556" s="790"/>
      <c r="H556" s="790"/>
      <c r="I556" s="878"/>
      <c r="J556" s="2203">
        <f>'Part IV-Uses of Funds'!J142</f>
        <v>0</v>
      </c>
      <c r="K556" s="2203"/>
      <c r="L556" s="790"/>
      <c r="M556" s="790"/>
      <c r="N556" s="790"/>
      <c r="O556" s="790"/>
      <c r="P556" s="2203">
        <f>'Part IV-Uses of Funds'!P142</f>
        <v>0</v>
      </c>
      <c r="Q556" s="2203"/>
      <c r="R556" s="790"/>
      <c r="S556" s="790"/>
      <c r="T556" s="790"/>
    </row>
    <row r="557" spans="1:20">
      <c r="A557" s="790"/>
      <c r="B557" s="790" t="s">
        <v>1701</v>
      </c>
      <c r="C557" s="2204" t="str">
        <f>'Part IV-Uses of Funds'!C143</f>
        <v>&lt;Enter detailed description here; use Comments section if needed&gt;</v>
      </c>
      <c r="D557" s="2204"/>
      <c r="E557" s="2204"/>
      <c r="F557" s="2204"/>
      <c r="G557" s="2204"/>
      <c r="H557" s="2204"/>
      <c r="I557" s="2204"/>
      <c r="J557" s="2203">
        <f>'Part IV-Uses of Funds'!J143</f>
        <v>0</v>
      </c>
      <c r="K557" s="2203"/>
      <c r="L557" s="790"/>
      <c r="M557" s="790"/>
      <c r="N557" s="790"/>
      <c r="O557" s="790"/>
      <c r="P557" s="2203">
        <f>'Part IV-Uses of Funds'!P143</f>
        <v>0</v>
      </c>
      <c r="Q557" s="2203"/>
      <c r="R557" s="790"/>
      <c r="S557" s="790"/>
      <c r="T557" s="790"/>
    </row>
    <row r="558" spans="1:20">
      <c r="A558" s="790"/>
      <c r="B558" s="793" t="s">
        <v>1986</v>
      </c>
      <c r="C558" s="804"/>
      <c r="D558" s="790"/>
      <c r="E558" s="790"/>
      <c r="F558" s="790"/>
      <c r="G558" s="790"/>
      <c r="H558" s="790"/>
      <c r="I558" s="790"/>
      <c r="J558" s="2191">
        <f>SUM(J552:K557)</f>
        <v>0</v>
      </c>
      <c r="K558" s="2191"/>
      <c r="L558" s="790"/>
      <c r="M558" s="790"/>
      <c r="N558" s="790"/>
      <c r="O558" s="790"/>
      <c r="P558" s="2191">
        <f>SUM(P552:Q557)</f>
        <v>0</v>
      </c>
      <c r="Q558" s="2191"/>
      <c r="R558" s="790"/>
      <c r="S558" s="790"/>
      <c r="T558" s="790"/>
    </row>
    <row r="559" spans="1:20">
      <c r="A559" s="790"/>
      <c r="B559" s="790"/>
      <c r="C559" s="790"/>
      <c r="D559" s="790"/>
      <c r="E559" s="790"/>
      <c r="F559" s="790"/>
      <c r="G559" s="790"/>
      <c r="H559" s="790"/>
      <c r="I559" s="790"/>
      <c r="J559" s="790"/>
      <c r="K559" s="790"/>
      <c r="L559" s="790"/>
      <c r="M559" s="790"/>
      <c r="N559" s="790"/>
      <c r="O559" s="790"/>
      <c r="P559" s="790"/>
      <c r="Q559" s="790"/>
      <c r="R559" s="790"/>
      <c r="S559" s="790"/>
      <c r="T559" s="790"/>
    </row>
    <row r="560" spans="1:20">
      <c r="A560" s="790"/>
      <c r="B560" s="793" t="s">
        <v>2482</v>
      </c>
      <c r="C560" s="790"/>
      <c r="D560" s="790"/>
      <c r="E560" s="790"/>
      <c r="F560" s="790"/>
      <c r="G560" s="790"/>
      <c r="H560" s="790"/>
      <c r="I560" s="790"/>
      <c r="J560" s="790"/>
      <c r="K560" s="790"/>
      <c r="L560" s="790"/>
      <c r="M560" s="790"/>
      <c r="N560" s="790"/>
      <c r="O560" s="790"/>
      <c r="P560" s="790"/>
      <c r="Q560" s="790"/>
      <c r="R560" s="790"/>
      <c r="S560" s="790"/>
      <c r="T560" s="790"/>
    </row>
    <row r="561" spans="1:20">
      <c r="A561" s="790"/>
      <c r="B561" s="790" t="s">
        <v>1905</v>
      </c>
      <c r="C561" s="790"/>
      <c r="D561" s="790"/>
      <c r="E561" s="790"/>
      <c r="F561" s="790"/>
      <c r="G561" s="790"/>
      <c r="H561" s="790"/>
      <c r="I561" s="790"/>
      <c r="J561" s="2194">
        <f>J544</f>
        <v>10834891</v>
      </c>
      <c r="K561" s="2194"/>
      <c r="L561" s="790"/>
      <c r="M561" s="2194">
        <f>M544</f>
        <v>0</v>
      </c>
      <c r="N561" s="2194"/>
      <c r="O561" s="790"/>
      <c r="P561" s="2194">
        <f>P544</f>
        <v>0</v>
      </c>
      <c r="Q561" s="2194"/>
      <c r="R561" s="790"/>
      <c r="S561" s="790"/>
      <c r="T561" s="790"/>
    </row>
    <row r="562" spans="1:20">
      <c r="A562" s="790"/>
      <c r="B562" s="790" t="s">
        <v>2357</v>
      </c>
      <c r="C562" s="790"/>
      <c r="D562" s="790"/>
      <c r="E562" s="790"/>
      <c r="F562" s="790"/>
      <c r="G562" s="790"/>
      <c r="H562" s="790"/>
      <c r="I562" s="790"/>
      <c r="J562" s="2194">
        <f>J558</f>
        <v>0</v>
      </c>
      <c r="K562" s="2194"/>
      <c r="L562" s="790"/>
      <c r="M562" s="2194"/>
      <c r="N562" s="2194"/>
      <c r="O562" s="790"/>
      <c r="P562" s="2194">
        <f>P558</f>
        <v>0</v>
      </c>
      <c r="Q562" s="2194"/>
      <c r="R562" s="790"/>
      <c r="S562" s="790"/>
      <c r="T562" s="790"/>
    </row>
    <row r="563" spans="1:20">
      <c r="A563" s="790"/>
      <c r="B563" s="790" t="s">
        <v>2358</v>
      </c>
      <c r="C563" s="790"/>
      <c r="D563" s="790"/>
      <c r="E563" s="790"/>
      <c r="F563" s="790"/>
      <c r="G563" s="790"/>
      <c r="H563" s="790"/>
      <c r="I563" s="790"/>
      <c r="J563" s="2194">
        <f>J561-J562</f>
        <v>10834891</v>
      </c>
      <c r="K563" s="2194"/>
      <c r="L563" s="790"/>
      <c r="M563" s="2194">
        <f>M561</f>
        <v>0</v>
      </c>
      <c r="N563" s="2194"/>
      <c r="O563" s="790"/>
      <c r="P563" s="2194">
        <f>P561-P562</f>
        <v>0</v>
      </c>
      <c r="Q563" s="2194"/>
      <c r="R563" s="790"/>
      <c r="S563" s="790"/>
      <c r="T563" s="790"/>
    </row>
    <row r="564" spans="1:20">
      <c r="A564" s="790"/>
      <c r="B564" s="790" t="s">
        <v>1579</v>
      </c>
      <c r="C564" s="790"/>
      <c r="D564" s="790"/>
      <c r="E564" s="790"/>
      <c r="F564" s="790"/>
      <c r="G564" s="794" t="s">
        <v>1824</v>
      </c>
      <c r="H564" s="2193" t="str">
        <f>'Part IV-Uses of Funds'!H150</f>
        <v>State Boost</v>
      </c>
      <c r="I564" s="2193"/>
      <c r="J564" s="2203">
        <f>'Part IV-Uses of Funds'!J150</f>
        <v>1.3</v>
      </c>
      <c r="K564" s="2203"/>
      <c r="L564" s="790"/>
      <c r="M564" s="2201"/>
      <c r="N564" s="2201"/>
      <c r="O564" s="790"/>
      <c r="P564" s="2203">
        <f>'Part IV-Uses of Funds'!P150</f>
        <v>0</v>
      </c>
      <c r="Q564" s="2203"/>
      <c r="R564" s="790"/>
      <c r="S564" s="790"/>
      <c r="T564" s="790"/>
    </row>
    <row r="565" spans="1:20">
      <c r="A565" s="790"/>
      <c r="B565" s="790" t="s">
        <v>2184</v>
      </c>
      <c r="C565" s="790"/>
      <c r="D565" s="790"/>
      <c r="E565" s="790"/>
      <c r="F565" s="790"/>
      <c r="G565" s="790"/>
      <c r="H565" s="790"/>
      <c r="I565" s="790"/>
      <c r="J565" s="2194">
        <f>J563*J564</f>
        <v>14085358.300000001</v>
      </c>
      <c r="K565" s="2194"/>
      <c r="L565" s="790"/>
      <c r="M565" s="2194">
        <f>+M563</f>
        <v>0</v>
      </c>
      <c r="N565" s="2194"/>
      <c r="O565" s="790"/>
      <c r="P565" s="2194">
        <f>P563*P564</f>
        <v>0</v>
      </c>
      <c r="Q565" s="2194"/>
      <c r="R565" s="790"/>
      <c r="S565" s="790"/>
      <c r="T565" s="790"/>
    </row>
    <row r="566" spans="1:20">
      <c r="A566" s="790"/>
      <c r="B566" s="790" t="s">
        <v>2714</v>
      </c>
      <c r="C566" s="790"/>
      <c r="D566" s="790"/>
      <c r="E566" s="790"/>
      <c r="F566" s="790"/>
      <c r="G566" s="790"/>
      <c r="H566" s="790"/>
      <c r="I566" s="790"/>
      <c r="J566" s="2202">
        <f>MIN('Part VI-Revenues &amp; Expenses'!$M$58/'Part VI-Revenues &amp; Expenses'!$M$60,'Part VI-Revenues &amp; Expenses'!$M$96/'Part VI-Revenues &amp; Expenses'!$M$98)</f>
        <v>0.93893678160919536</v>
      </c>
      <c r="K566" s="2202"/>
      <c r="L566" s="790"/>
      <c r="M566" s="2202">
        <f>MIN('Part VI-Revenues &amp; Expenses'!$M$58/'Part VI-Revenues &amp; Expenses'!$M$60,'Part VI-Revenues &amp; Expenses'!$M$96/'Part VI-Revenues &amp; Expenses'!$M$98)</f>
        <v>0.93893678160919536</v>
      </c>
      <c r="N566" s="2202"/>
      <c r="O566" s="790"/>
      <c r="P566" s="2202">
        <f>MIN('Part VI-Revenues &amp; Expenses'!$M$58/'Part VI-Revenues &amp; Expenses'!$M$60,'Part VI-Revenues &amp; Expenses'!$M$96/'Part VI-Revenues &amp; Expenses'!$M$98)</f>
        <v>0.93893678160919536</v>
      </c>
      <c r="Q566" s="2202"/>
      <c r="R566" s="790"/>
      <c r="S566" s="790"/>
      <c r="T566" s="790"/>
    </row>
    <row r="567" spans="1:20">
      <c r="A567" s="790"/>
      <c r="B567" s="790" t="s">
        <v>2175</v>
      </c>
      <c r="C567" s="790"/>
      <c r="D567" s="790"/>
      <c r="E567" s="790"/>
      <c r="F567" s="790"/>
      <c r="G567" s="790"/>
      <c r="H567" s="790"/>
      <c r="I567" s="790"/>
      <c r="J567" s="2194">
        <f>J565*J566</f>
        <v>13225260.990014369</v>
      </c>
      <c r="K567" s="2194"/>
      <c r="L567" s="790"/>
      <c r="M567" s="2194">
        <f>M565*M566</f>
        <v>0</v>
      </c>
      <c r="N567" s="2194"/>
      <c r="O567" s="790"/>
      <c r="P567" s="2194">
        <f>P565*P566</f>
        <v>0</v>
      </c>
      <c r="Q567" s="2194"/>
      <c r="R567" s="790"/>
      <c r="S567" s="790"/>
      <c r="T567" s="790"/>
    </row>
    <row r="568" spans="1:20">
      <c r="A568" s="790"/>
      <c r="B568" s="790" t="s">
        <v>2176</v>
      </c>
      <c r="C568" s="790"/>
      <c r="D568" s="790"/>
      <c r="E568" s="790"/>
      <c r="F568" s="790"/>
      <c r="G568" s="790"/>
      <c r="H568" s="790"/>
      <c r="I568" s="790"/>
      <c r="J568" s="2201">
        <f>'Part IV-Uses of Funds'!J154</f>
        <v>7.5999999999999998E-2</v>
      </c>
      <c r="K568" s="2201"/>
      <c r="L568" s="790"/>
      <c r="M568" s="2201">
        <f>'Part IV-Uses of Funds'!M154</f>
        <v>0</v>
      </c>
      <c r="N568" s="2201"/>
      <c r="O568" s="790"/>
      <c r="P568" s="2201">
        <f>'Part IV-Uses of Funds'!P154</f>
        <v>0</v>
      </c>
      <c r="Q568" s="2201"/>
      <c r="R568" s="790"/>
      <c r="S568" s="790"/>
      <c r="T568" s="790"/>
    </row>
    <row r="569" spans="1:20">
      <c r="A569" s="790"/>
      <c r="B569" s="790" t="s">
        <v>2715</v>
      </c>
      <c r="C569" s="790"/>
      <c r="D569" s="790"/>
      <c r="E569" s="790"/>
      <c r="F569" s="790"/>
      <c r="G569" s="790"/>
      <c r="H569" s="790"/>
      <c r="I569" s="790"/>
      <c r="J569" s="2194">
        <f>J567*J568</f>
        <v>1005119.835241092</v>
      </c>
      <c r="K569" s="2194"/>
      <c r="L569" s="790"/>
      <c r="M569" s="2194">
        <f>M567*M568</f>
        <v>0</v>
      </c>
      <c r="N569" s="2194"/>
      <c r="O569" s="790"/>
      <c r="P569" s="2194">
        <f>P567*P568</f>
        <v>0</v>
      </c>
      <c r="Q569" s="2194"/>
      <c r="R569" s="790"/>
      <c r="S569" s="790"/>
      <c r="T569" s="790"/>
    </row>
    <row r="570" spans="1:20">
      <c r="A570" s="790"/>
      <c r="B570" s="793" t="s">
        <v>1511</v>
      </c>
      <c r="C570" s="790"/>
      <c r="D570" s="790"/>
      <c r="E570" s="790"/>
      <c r="F570" s="790"/>
      <c r="G570" s="790"/>
      <c r="H570" s="790"/>
      <c r="I570" s="790"/>
      <c r="J570" s="2191">
        <f>J569+M569+P569</f>
        <v>1005119.835241092</v>
      </c>
      <c r="K570" s="2191"/>
      <c r="L570" s="2191"/>
      <c r="M570" s="2191"/>
      <c r="N570" s="2191"/>
      <c r="O570" s="2191"/>
      <c r="P570" s="2191"/>
      <c r="Q570" s="2191"/>
      <c r="R570" s="790"/>
      <c r="S570" s="790"/>
      <c r="T570" s="790"/>
    </row>
    <row r="571" spans="1:20">
      <c r="A571" s="790"/>
      <c r="B571" s="879"/>
      <c r="C571" s="790"/>
      <c r="D571" s="790"/>
      <c r="E571" s="790"/>
      <c r="F571" s="790"/>
      <c r="G571" s="790"/>
      <c r="H571" s="790"/>
      <c r="I571" s="790"/>
      <c r="J571" s="790"/>
      <c r="K571" s="790"/>
      <c r="L571" s="847"/>
      <c r="M571" s="847"/>
      <c r="N571" s="847"/>
      <c r="O571" s="847"/>
      <c r="P571" s="790"/>
      <c r="Q571" s="790"/>
      <c r="R571" s="790"/>
      <c r="S571" s="790"/>
      <c r="T571" s="790"/>
    </row>
    <row r="572" spans="1:20" ht="16.5">
      <c r="A572" s="880" t="s">
        <v>786</v>
      </c>
      <c r="B572" s="880" t="s">
        <v>1514</v>
      </c>
      <c r="C572" s="790"/>
      <c r="D572" s="790"/>
      <c r="E572" s="790"/>
      <c r="F572" s="790"/>
      <c r="G572" s="790"/>
      <c r="H572" s="872"/>
      <c r="I572" s="872"/>
      <c r="J572" s="790"/>
      <c r="K572" s="790"/>
      <c r="L572" s="790"/>
      <c r="M572" s="881"/>
      <c r="N572" s="790"/>
      <c r="O572" s="790"/>
      <c r="P572" s="790"/>
      <c r="Q572" s="790"/>
      <c r="R572" s="790"/>
      <c r="S572" s="790"/>
      <c r="T572" s="790"/>
    </row>
    <row r="573" spans="1:20" ht="13.5">
      <c r="A573" s="790"/>
      <c r="B573" s="793" t="s">
        <v>181</v>
      </c>
      <c r="C573" s="790"/>
      <c r="D573" s="790"/>
      <c r="E573" s="790"/>
      <c r="F573" s="790"/>
      <c r="G573" s="790"/>
      <c r="H573" s="834"/>
      <c r="I573" s="790"/>
      <c r="J573" s="790"/>
      <c r="K573" s="790"/>
      <c r="L573" s="790"/>
      <c r="M573" s="881"/>
      <c r="N573" s="790"/>
      <c r="O573" s="790"/>
      <c r="P573" s="790"/>
      <c r="Q573" s="790"/>
      <c r="R573" s="790"/>
      <c r="S573" s="790"/>
      <c r="T573" s="790"/>
    </row>
    <row r="574" spans="1:20" ht="13.5">
      <c r="A574" s="790"/>
      <c r="B574" s="792" t="s">
        <v>3387</v>
      </c>
      <c r="C574" s="790"/>
      <c r="D574" s="790"/>
      <c r="E574" s="790"/>
      <c r="F574" s="790"/>
      <c r="G574" s="2199" t="str">
        <f>IF(J575&gt;J574,"TDC exceeds QAP PUCL!","")</f>
        <v/>
      </c>
      <c r="H574" s="2199"/>
      <c r="I574" s="2199"/>
      <c r="J574" s="2200">
        <f>'Part VIII-Threshold Criteria'!$P$47</f>
        <v>12279708</v>
      </c>
      <c r="K574" s="2200"/>
      <c r="L574" s="2200"/>
      <c r="M574" s="2136" t="s">
        <v>3001</v>
      </c>
      <c r="N574" s="2136"/>
      <c r="O574" s="2136"/>
      <c r="P574" s="2136"/>
      <c r="Q574" s="2136"/>
      <c r="R574" s="2136"/>
      <c r="S574" s="2163" t="s">
        <v>2958</v>
      </c>
      <c r="T574" s="2163"/>
    </row>
    <row r="575" spans="1:20">
      <c r="A575" s="790"/>
      <c r="B575" s="790" t="s">
        <v>3388</v>
      </c>
      <c r="C575" s="790"/>
      <c r="D575" s="790"/>
      <c r="E575" s="790"/>
      <c r="F575" s="790"/>
      <c r="G575" s="790"/>
      <c r="H575" s="790"/>
      <c r="I575" s="790"/>
      <c r="J575" s="2194">
        <f>'Part IV-Uses of Funds'!J161</f>
        <v>12233897</v>
      </c>
      <c r="K575" s="2194"/>
      <c r="L575" s="2194"/>
      <c r="M575" s="2136"/>
      <c r="N575" s="2136"/>
      <c r="O575" s="2136"/>
      <c r="P575" s="2136"/>
      <c r="Q575" s="2136"/>
      <c r="R575" s="2136"/>
      <c r="S575" s="2163"/>
      <c r="T575" s="2163"/>
    </row>
    <row r="576" spans="1:20">
      <c r="A576" s="790"/>
      <c r="B576" s="790" t="s">
        <v>277</v>
      </c>
      <c r="C576" s="790"/>
      <c r="D576" s="790"/>
      <c r="E576" s="790"/>
      <c r="F576" s="790"/>
      <c r="G576" s="790"/>
      <c r="H576" s="790"/>
      <c r="I576" s="790"/>
      <c r="J576" s="2194">
        <f>'Part III-Sources of Funds'!$H$49-'Part III-Sources of Funds'!H450-'Part III-Sources of Funds'!$H$37-'Part III-Sources of Funds'!$H$40-'Part III-Sources of Funds'!$H$41</f>
        <v>1110110</v>
      </c>
      <c r="K576" s="2194"/>
      <c r="L576" s="2194"/>
      <c r="M576" s="2136"/>
      <c r="N576" s="2136"/>
      <c r="O576" s="2136"/>
      <c r="P576" s="2136"/>
      <c r="Q576" s="2136"/>
      <c r="R576" s="2136"/>
      <c r="S576" s="2163"/>
      <c r="T576" s="2163"/>
    </row>
    <row r="577" spans="1:20" ht="13.5">
      <c r="A577" s="790"/>
      <c r="B577" s="790" t="s">
        <v>2370</v>
      </c>
      <c r="C577" s="790"/>
      <c r="D577" s="790"/>
      <c r="E577" s="790"/>
      <c r="F577" s="790"/>
      <c r="G577" s="790"/>
      <c r="H577" s="790"/>
      <c r="I577" s="790"/>
      <c r="J577" s="2194">
        <f>+J575-J576</f>
        <v>11123787</v>
      </c>
      <c r="K577" s="2194"/>
      <c r="L577" s="2194"/>
      <c r="M577" s="2197" t="s">
        <v>3002</v>
      </c>
      <c r="N577" s="2197"/>
      <c r="O577" s="2198">
        <f>'Part III-Sources of Funds'!H450</f>
        <v>0</v>
      </c>
      <c r="P577" s="2198"/>
      <c r="Q577" s="2198"/>
      <c r="R577" s="2198"/>
      <c r="S577" s="882" t="s">
        <v>1766</v>
      </c>
      <c r="T577" s="1052">
        <f>'Part IV-Uses of Funds'!T163</f>
        <v>0</v>
      </c>
    </row>
    <row r="578" spans="1:20" ht="13.5">
      <c r="A578" s="790"/>
      <c r="B578" s="790" t="s">
        <v>1366</v>
      </c>
      <c r="C578" s="790"/>
      <c r="D578" s="790"/>
      <c r="E578" s="790"/>
      <c r="F578" s="790"/>
      <c r="G578" s="790"/>
      <c r="H578" s="790"/>
      <c r="I578" s="790"/>
      <c r="J578" s="2193" t="str">
        <f>"/ 10"</f>
        <v>/ 10</v>
      </c>
      <c r="K578" s="2193"/>
      <c r="L578" s="2193"/>
      <c r="M578" s="790"/>
      <c r="N578" s="883"/>
      <c r="O578" s="883"/>
      <c r="P578" s="883"/>
      <c r="Q578" s="883"/>
      <c r="R578" s="883"/>
      <c r="S578" s="790"/>
      <c r="T578" s="790"/>
    </row>
    <row r="579" spans="1:20">
      <c r="A579" s="790"/>
      <c r="B579" s="790" t="s">
        <v>1367</v>
      </c>
      <c r="C579" s="790"/>
      <c r="D579" s="790"/>
      <c r="E579" s="790"/>
      <c r="F579" s="790"/>
      <c r="G579" s="790"/>
      <c r="H579" s="790"/>
      <c r="I579" s="790"/>
      <c r="J579" s="2194">
        <f>J577/10</f>
        <v>1112378.7</v>
      </c>
      <c r="K579" s="2194"/>
      <c r="L579" s="2194"/>
      <c r="M579" s="795"/>
      <c r="N579" s="2193" t="s">
        <v>1368</v>
      </c>
      <c r="O579" s="2193"/>
      <c r="P579" s="790"/>
      <c r="Q579" s="2193" t="s">
        <v>1914</v>
      </c>
      <c r="R579" s="2193"/>
      <c r="S579" s="790"/>
      <c r="T579" s="790"/>
    </row>
    <row r="580" spans="1:20">
      <c r="A580" s="790"/>
      <c r="B580" s="790" t="s">
        <v>3389</v>
      </c>
      <c r="C580" s="790"/>
      <c r="D580" s="790"/>
      <c r="E580" s="790"/>
      <c r="F580" s="790"/>
      <c r="G580" s="790"/>
      <c r="H580" s="790"/>
      <c r="I580" s="790"/>
      <c r="J580" s="2195">
        <f>N580+Q580</f>
        <v>1.1000000000000001</v>
      </c>
      <c r="K580" s="2195"/>
      <c r="L580" s="2195"/>
      <c r="M580" s="794" t="s">
        <v>1369</v>
      </c>
      <c r="N580" s="2196">
        <f>'Part IV-Uses of Funds'!N166</f>
        <v>0.85</v>
      </c>
      <c r="O580" s="2196"/>
      <c r="P580" s="794" t="s">
        <v>648</v>
      </c>
      <c r="Q580" s="2196">
        <f>'Part IV-Uses of Funds'!Q166</f>
        <v>0.25</v>
      </c>
      <c r="R580" s="2196"/>
      <c r="S580" s="790"/>
      <c r="T580" s="790"/>
    </row>
    <row r="581" spans="1:20">
      <c r="A581" s="790"/>
      <c r="B581" s="793" t="s">
        <v>1512</v>
      </c>
      <c r="C581" s="790"/>
      <c r="D581" s="790"/>
      <c r="E581" s="790"/>
      <c r="F581" s="790"/>
      <c r="G581" s="790"/>
      <c r="H581" s="790"/>
      <c r="I581" s="790"/>
      <c r="J581" s="2191">
        <f>IF(J580=0,"",J579/J580)</f>
        <v>1011253.3636363635</v>
      </c>
      <c r="K581" s="2191"/>
      <c r="L581" s="2191"/>
      <c r="M581" s="795"/>
      <c r="N581" s="790"/>
      <c r="O581" s="790"/>
      <c r="P581" s="790"/>
      <c r="Q581" s="790"/>
      <c r="R581" s="790"/>
      <c r="S581" s="790"/>
      <c r="T581" s="790"/>
    </row>
    <row r="582" spans="1:20">
      <c r="A582" s="790"/>
      <c r="B582" s="790"/>
      <c r="C582" s="790"/>
      <c r="D582" s="790"/>
      <c r="E582" s="790"/>
      <c r="F582" s="790"/>
      <c r="G582" s="790"/>
      <c r="H582" s="790"/>
      <c r="I582" s="790"/>
      <c r="J582" s="884"/>
      <c r="K582" s="884"/>
      <c r="L582" s="884"/>
      <c r="M582" s="795"/>
      <c r="N582" s="794"/>
      <c r="O582" s="794"/>
      <c r="P582" s="790"/>
      <c r="Q582" s="790"/>
      <c r="R582" s="790"/>
      <c r="S582" s="790"/>
      <c r="T582" s="790"/>
    </row>
    <row r="583" spans="1:20">
      <c r="A583" s="790"/>
      <c r="B583" s="793" t="s">
        <v>3390</v>
      </c>
      <c r="C583" s="790"/>
      <c r="D583" s="790"/>
      <c r="E583" s="790"/>
      <c r="F583" s="790"/>
      <c r="G583" s="790"/>
      <c r="H583" s="790"/>
      <c r="I583" s="790"/>
      <c r="J583" s="2191">
        <f>IF('Part I-Project Information'!I575 = "Yes",+MIN(J570,J581,'Part I-Project Information'!$O$161,'DCA Underwriting Assumptions'!$R$7),+MIN(J570,J581,'DCA Underwriting Assumptions'!$R$6))</f>
        <v>1000000</v>
      </c>
      <c r="K583" s="2191"/>
      <c r="L583" s="2191"/>
      <c r="M583" s="795"/>
      <c r="N583" s="794"/>
      <c r="O583" s="794"/>
      <c r="P583" s="790"/>
      <c r="Q583" s="790"/>
      <c r="R583" s="790"/>
      <c r="S583" s="790"/>
      <c r="T583" s="790"/>
    </row>
    <row r="584" spans="1:20">
      <c r="A584" s="790"/>
      <c r="B584" s="790"/>
      <c r="C584" s="790"/>
      <c r="D584" s="790"/>
      <c r="E584" s="790"/>
      <c r="F584" s="790"/>
      <c r="G584" s="790"/>
      <c r="H584" s="790"/>
      <c r="I584" s="790"/>
      <c r="J584" s="884"/>
      <c r="K584" s="884"/>
      <c r="L584" s="884"/>
      <c r="M584" s="795"/>
      <c r="N584" s="794"/>
      <c r="O584" s="794"/>
      <c r="P584" s="790"/>
      <c r="Q584" s="790"/>
      <c r="R584" s="790"/>
      <c r="S584" s="790"/>
      <c r="T584" s="790"/>
    </row>
    <row r="585" spans="1:20">
      <c r="A585" s="790"/>
      <c r="B585" s="793" t="s">
        <v>3391</v>
      </c>
      <c r="C585" s="790"/>
      <c r="D585" s="790"/>
      <c r="E585" s="790"/>
      <c r="F585" s="790"/>
      <c r="G585" s="790"/>
      <c r="H585" s="790"/>
      <c r="I585" s="790"/>
      <c r="J585" s="2191">
        <f>'Part IV-Uses of Funds'!J171</f>
        <v>1000000</v>
      </c>
      <c r="K585" s="2191"/>
      <c r="L585" s="2191"/>
      <c r="M585" s="791" t="str">
        <f>IF(J583=0,"",IF(J585&gt;J583,"ALLOCATION CANNOT EXCEED MAXIMUM - REVISE REQUEST!",""))</f>
        <v/>
      </c>
      <c r="N585" s="794"/>
      <c r="O585" s="794"/>
      <c r="P585" s="790"/>
      <c r="Q585" s="790"/>
      <c r="R585" s="790"/>
      <c r="S585" s="790"/>
      <c r="T585" s="790"/>
    </row>
    <row r="586" spans="1:20">
      <c r="A586" s="790"/>
      <c r="B586" s="790"/>
      <c r="C586" s="790"/>
      <c r="D586" s="790"/>
      <c r="E586" s="790"/>
      <c r="F586" s="790"/>
      <c r="G586" s="790"/>
      <c r="H586" s="790"/>
      <c r="I586" s="790"/>
      <c r="J586" s="884"/>
      <c r="K586" s="884"/>
      <c r="L586" s="884"/>
      <c r="M586" s="795"/>
      <c r="N586" s="794"/>
      <c r="O586" s="794"/>
      <c r="P586" s="790"/>
      <c r="Q586" s="790"/>
      <c r="R586" s="790"/>
      <c r="S586" s="790"/>
      <c r="T586" s="790"/>
    </row>
    <row r="587" spans="1:20" ht="16.5">
      <c r="A587" s="880" t="s">
        <v>1907</v>
      </c>
      <c r="B587" s="880" t="s">
        <v>3392</v>
      </c>
      <c r="C587" s="790"/>
      <c r="D587" s="795"/>
      <c r="E587" s="795"/>
      <c r="F587" s="797"/>
      <c r="G587" s="790"/>
      <c r="H587" s="790"/>
      <c r="I587" s="790"/>
      <c r="J587" s="2191">
        <f>IF(J585="",0,+MIN(J583,J585))</f>
        <v>1000000</v>
      </c>
      <c r="K587" s="2191"/>
      <c r="L587" s="2191"/>
      <c r="M587" s="790"/>
      <c r="N587" s="819"/>
      <c r="O587" s="819"/>
      <c r="P587" s="819"/>
      <c r="Q587" s="819"/>
      <c r="R587" s="819"/>
      <c r="S587" s="819"/>
      <c r="T587" s="819"/>
    </row>
    <row r="588" spans="1:20">
      <c r="A588" s="795"/>
      <c r="B588" s="795"/>
      <c r="C588" s="795"/>
      <c r="D588" s="795"/>
      <c r="E588" s="795"/>
      <c r="F588" s="795"/>
      <c r="G588" s="795"/>
      <c r="H588" s="795"/>
      <c r="I588" s="795"/>
      <c r="J588" s="795"/>
      <c r="K588" s="795"/>
      <c r="L588" s="795"/>
      <c r="M588" s="795"/>
      <c r="N588" s="795"/>
      <c r="O588" s="795"/>
      <c r="P588" s="795"/>
      <c r="Q588" s="795"/>
      <c r="R588" s="795"/>
      <c r="S588" s="795"/>
      <c r="T588" s="795"/>
    </row>
    <row r="589" spans="1:20">
      <c r="A589" s="795"/>
      <c r="B589" s="795"/>
      <c r="C589" s="795"/>
      <c r="D589" s="795"/>
      <c r="E589" s="795"/>
      <c r="F589" s="795"/>
      <c r="G589" s="795"/>
      <c r="H589" s="795"/>
      <c r="I589" s="795"/>
      <c r="J589" s="795"/>
      <c r="K589" s="795"/>
      <c r="L589" s="795"/>
      <c r="M589" s="795"/>
      <c r="N589" s="795"/>
      <c r="O589" s="795"/>
      <c r="P589" s="795"/>
      <c r="Q589" s="795"/>
      <c r="R589" s="795"/>
      <c r="S589" s="795"/>
      <c r="T589" s="795"/>
    </row>
    <row r="590" spans="1:20">
      <c r="A590" s="793" t="s">
        <v>1909</v>
      </c>
      <c r="B590" s="816" t="s">
        <v>603</v>
      </c>
      <c r="C590" s="795"/>
      <c r="D590" s="795"/>
      <c r="E590" s="795"/>
      <c r="F590" s="795"/>
      <c r="G590" s="795"/>
      <c r="H590" s="795"/>
      <c r="I590" s="795"/>
      <c r="J590" s="795"/>
      <c r="K590" s="793" t="s">
        <v>558</v>
      </c>
      <c r="L590" s="793" t="s">
        <v>82</v>
      </c>
      <c r="M590" s="795"/>
      <c r="N590" s="795"/>
      <c r="O590" s="795"/>
      <c r="P590" s="795"/>
      <c r="Q590" s="795"/>
      <c r="R590" s="795"/>
      <c r="S590" s="795"/>
      <c r="T590" s="795"/>
    </row>
    <row r="591" spans="1:20" ht="13.5">
      <c r="A591" s="2192" t="str">
        <f>'Part IV-Uses of Funds'!A177</f>
        <v xml:space="preserve">Construction costs are based on estimates by the contractor, Fariway Construction. </v>
      </c>
      <c r="B591" s="2192"/>
      <c r="C591" s="2192"/>
      <c r="D591" s="2192"/>
      <c r="E591" s="2192"/>
      <c r="F591" s="2192"/>
      <c r="G591" s="2192"/>
      <c r="H591" s="2192"/>
      <c r="I591" s="2192"/>
      <c r="J591" s="2192"/>
      <c r="K591" s="2192">
        <f>'Part IV-Uses of Funds'!K177</f>
        <v>0</v>
      </c>
      <c r="L591" s="2192"/>
      <c r="M591" s="2192"/>
      <c r="N591" s="2192"/>
      <c r="O591" s="2192"/>
      <c r="P591" s="2192"/>
      <c r="Q591" s="2192"/>
      <c r="R591" s="2192"/>
      <c r="S591" s="2192"/>
      <c r="T591" s="2192"/>
    </row>
    <row r="594" spans="1:13">
      <c r="A594" s="2153" t="str">
        <f>CONCATENATE("PART FIVE - UTILITY ALLOWANCES","  -  ",'Part I-Project Information'!$O$4," ",'Part I-Project Information'!$F$23,", ",'Part I-Project Information'!F620,", ",'Part I-Project Information'!J621," County")</f>
        <v>PART FIVE - UTILITY ALLOWANCES  -  2014-028 Highland Estates, , Laurens-Treutlen Joint Development Authority County</v>
      </c>
      <c r="B594" s="2153"/>
      <c r="C594" s="2153"/>
      <c r="D594" s="2153"/>
      <c r="E594" s="2153"/>
      <c r="F594" s="2153"/>
      <c r="G594" s="2153"/>
      <c r="H594" s="2153"/>
      <c r="I594" s="2153"/>
      <c r="J594" s="2153"/>
      <c r="K594" s="2153"/>
      <c r="L594" s="2153"/>
      <c r="M594" s="2153"/>
    </row>
    <row r="596" spans="1:13">
      <c r="F596" s="586" t="s">
        <v>543</v>
      </c>
      <c r="I596" s="885" t="str">
        <f>VLOOKUP('Part I-Project Information'!$J$28,'Part I-Project Information'!$C$179:$D$338,2)</f>
        <v>North</v>
      </c>
    </row>
    <row r="598" spans="1:13">
      <c r="A598" s="788" t="s">
        <v>652</v>
      </c>
      <c r="B598" s="788" t="s">
        <v>2365</v>
      </c>
      <c r="F598" s="580" t="s">
        <v>2681</v>
      </c>
      <c r="I598" s="2189" t="str">
        <f>'Part V-Utility Allowances'!I5</f>
        <v>GA DCA - Northern Region</v>
      </c>
      <c r="J598" s="2189"/>
      <c r="K598" s="2189"/>
      <c r="L598" s="2189"/>
      <c r="M598" s="2189"/>
    </row>
    <row r="599" spans="1:13">
      <c r="A599" s="788"/>
      <c r="F599" s="580" t="s">
        <v>672</v>
      </c>
      <c r="I599" s="2190">
        <f>'Part V-Utility Allowances'!I6</f>
        <v>41821</v>
      </c>
      <c r="J599" s="2190"/>
      <c r="K599" s="784" t="s">
        <v>568</v>
      </c>
      <c r="L599" s="2189" t="str">
        <f>'Part V-Utility Allowances'!L6</f>
        <v>MF</v>
      </c>
      <c r="M599" s="2189"/>
    </row>
    <row r="600" spans="1:13">
      <c r="A600" s="788"/>
    </row>
    <row r="601" spans="1:13">
      <c r="A601" s="788"/>
      <c r="B601" s="788"/>
      <c r="C601" s="788"/>
      <c r="D601" s="788"/>
      <c r="E601" s="788"/>
      <c r="F601" s="2164" t="s">
        <v>645</v>
      </c>
      <c r="G601" s="2164"/>
      <c r="H601" s="788"/>
      <c r="I601" s="2164" t="s">
        <v>208</v>
      </c>
      <c r="J601" s="2164"/>
      <c r="K601" s="2164"/>
      <c r="L601" s="2164"/>
      <c r="M601" s="2164"/>
    </row>
    <row r="602" spans="1:13">
      <c r="A602" s="788"/>
      <c r="B602" s="788" t="s">
        <v>846</v>
      </c>
      <c r="C602" s="788"/>
      <c r="D602" s="788" t="s">
        <v>1699</v>
      </c>
      <c r="E602" s="788"/>
      <c r="F602" s="786" t="s">
        <v>678</v>
      </c>
      <c r="G602" s="786" t="s">
        <v>1971</v>
      </c>
      <c r="H602" s="788"/>
      <c r="I602" s="786" t="s">
        <v>596</v>
      </c>
      <c r="J602" s="786">
        <v>1</v>
      </c>
      <c r="K602" s="786">
        <v>2</v>
      </c>
      <c r="L602" s="786">
        <v>3</v>
      </c>
      <c r="M602" s="786">
        <v>4</v>
      </c>
    </row>
    <row r="603" spans="1:13">
      <c r="B603" s="580" t="s">
        <v>1973</v>
      </c>
      <c r="D603" s="2189" t="str">
        <f>'Part V-Utility Allowances'!D10</f>
        <v>Electric Heat Pump</v>
      </c>
      <c r="E603" s="2189"/>
      <c r="F603" s="1053" t="str">
        <f>'Part V-Utility Allowances'!F10</f>
        <v>X</v>
      </c>
      <c r="G603" s="1053">
        <f>'Part V-Utility Allowances'!G10</f>
        <v>0</v>
      </c>
      <c r="I603" s="784">
        <f>'Part V-Utility Allowances'!I10</f>
        <v>0</v>
      </c>
      <c r="J603" s="784">
        <f>'Part V-Utility Allowances'!J10</f>
        <v>10</v>
      </c>
      <c r="K603" s="784">
        <f>'Part V-Utility Allowances'!K10</f>
        <v>12</v>
      </c>
      <c r="L603" s="784">
        <f>'Part V-Utility Allowances'!L10</f>
        <v>0</v>
      </c>
      <c r="M603" s="784">
        <f>'Part V-Utility Allowances'!M10</f>
        <v>0</v>
      </c>
    </row>
    <row r="604" spans="1:13">
      <c r="B604" s="580" t="s">
        <v>491</v>
      </c>
      <c r="D604" s="580" t="s">
        <v>1695</v>
      </c>
      <c r="F604" s="1053" t="str">
        <f>'Part V-Utility Allowances'!F11</f>
        <v>X</v>
      </c>
      <c r="G604" s="1053">
        <f>'Part V-Utility Allowances'!G11</f>
        <v>0</v>
      </c>
      <c r="I604" s="784">
        <f>'Part V-Utility Allowances'!I11</f>
        <v>0</v>
      </c>
      <c r="J604" s="784">
        <f>'Part V-Utility Allowances'!J11</f>
        <v>23</v>
      </c>
      <c r="K604" s="784">
        <f>'Part V-Utility Allowances'!K11</f>
        <v>30</v>
      </c>
      <c r="L604" s="784">
        <f>'Part V-Utility Allowances'!L11</f>
        <v>0</v>
      </c>
      <c r="M604" s="784">
        <f>'Part V-Utility Allowances'!M11</f>
        <v>0</v>
      </c>
    </row>
    <row r="605" spans="1:13">
      <c r="B605" s="580" t="s">
        <v>1696</v>
      </c>
      <c r="D605" s="2189" t="str">
        <f>'Part V-Utility Allowances'!D12</f>
        <v>Electric</v>
      </c>
      <c r="E605" s="2189"/>
      <c r="F605" s="1053" t="str">
        <f>'Part V-Utility Allowances'!F12</f>
        <v>X</v>
      </c>
      <c r="G605" s="1053">
        <f>'Part V-Utility Allowances'!G12</f>
        <v>0</v>
      </c>
      <c r="I605" s="784">
        <f>'Part V-Utility Allowances'!I12</f>
        <v>0</v>
      </c>
      <c r="J605" s="784">
        <f>'Part V-Utility Allowances'!J12</f>
        <v>8</v>
      </c>
      <c r="K605" s="784">
        <f>'Part V-Utility Allowances'!K12</f>
        <v>11</v>
      </c>
      <c r="L605" s="784">
        <f>'Part V-Utility Allowances'!L12</f>
        <v>0</v>
      </c>
      <c r="M605" s="784">
        <f>'Part V-Utility Allowances'!M12</f>
        <v>0</v>
      </c>
    </row>
    <row r="606" spans="1:13">
      <c r="B606" s="580" t="s">
        <v>1697</v>
      </c>
      <c r="D606" s="2189" t="str">
        <f>'Part V-Utility Allowances'!D13</f>
        <v>Electric</v>
      </c>
      <c r="E606" s="2189"/>
      <c r="F606" s="1053" t="str">
        <f>'Part V-Utility Allowances'!F13</f>
        <v>X</v>
      </c>
      <c r="G606" s="1053">
        <f>'Part V-Utility Allowances'!G13</f>
        <v>0</v>
      </c>
      <c r="I606" s="784">
        <f>'Part V-Utility Allowances'!I13</f>
        <v>0</v>
      </c>
      <c r="J606" s="784">
        <f>'Part V-Utility Allowances'!J13</f>
        <v>26</v>
      </c>
      <c r="K606" s="784">
        <f>'Part V-Utility Allowances'!K13</f>
        <v>33</v>
      </c>
      <c r="L606" s="784">
        <f>'Part V-Utility Allowances'!L13</f>
        <v>0</v>
      </c>
      <c r="M606" s="784">
        <f>'Part V-Utility Allowances'!M13</f>
        <v>0</v>
      </c>
    </row>
    <row r="607" spans="1:13">
      <c r="B607" s="580" t="s">
        <v>1698</v>
      </c>
      <c r="D607" s="580" t="s">
        <v>1695</v>
      </c>
      <c r="F607" s="1053" t="str">
        <f>'Part V-Utility Allowances'!F14</f>
        <v>X</v>
      </c>
      <c r="G607" s="1053">
        <f>'Part V-Utility Allowances'!G14</f>
        <v>0</v>
      </c>
      <c r="I607" s="784">
        <f>'Part V-Utility Allowances'!I14</f>
        <v>0</v>
      </c>
      <c r="J607" s="784">
        <f>'Part V-Utility Allowances'!J14</f>
        <v>24</v>
      </c>
      <c r="K607" s="784">
        <f>'Part V-Utility Allowances'!K14</f>
        <v>31</v>
      </c>
      <c r="L607" s="784">
        <f>'Part V-Utility Allowances'!L14</f>
        <v>0</v>
      </c>
      <c r="M607" s="784">
        <f>'Part V-Utility Allowances'!M14</f>
        <v>0</v>
      </c>
    </row>
    <row r="608" spans="1:13">
      <c r="B608" s="580" t="s">
        <v>1451</v>
      </c>
      <c r="D608" s="580" t="s">
        <v>2364</v>
      </c>
      <c r="E608" s="784">
        <f>'Part V-Utility Allowances'!E15</f>
        <v>0</v>
      </c>
      <c r="F608" s="1053" t="str">
        <f>'Part V-Utility Allowances'!F15</f>
        <v>X</v>
      </c>
      <c r="G608" s="1053">
        <f>'Part V-Utility Allowances'!G15</f>
        <v>0</v>
      </c>
      <c r="I608" s="784">
        <f>'Part V-Utility Allowances'!I15</f>
        <v>0</v>
      </c>
      <c r="J608" s="784">
        <f>'Part V-Utility Allowances'!J15</f>
        <v>37</v>
      </c>
      <c r="K608" s="784">
        <f>'Part V-Utility Allowances'!K15</f>
        <v>43</v>
      </c>
      <c r="L608" s="784">
        <f>'Part V-Utility Allowances'!L15</f>
        <v>0</v>
      </c>
      <c r="M608" s="784">
        <f>'Part V-Utility Allowances'!M15</f>
        <v>0</v>
      </c>
    </row>
    <row r="609" spans="1:13">
      <c r="B609" s="580" t="s">
        <v>1972</v>
      </c>
      <c r="F609" s="1053">
        <f>'Part V-Utility Allowances'!F16</f>
        <v>0</v>
      </c>
      <c r="G609" s="1053" t="str">
        <f>'Part V-Utility Allowances'!G16</f>
        <v>X</v>
      </c>
      <c r="I609" s="784">
        <f>'Part V-Utility Allowances'!I16</f>
        <v>0</v>
      </c>
      <c r="J609" s="784">
        <f>'Part V-Utility Allowances'!J16</f>
        <v>0</v>
      </c>
      <c r="K609" s="784">
        <f>'Part V-Utility Allowances'!K16</f>
        <v>0</v>
      </c>
      <c r="L609" s="784">
        <f>'Part V-Utility Allowances'!L16</f>
        <v>0</v>
      </c>
      <c r="M609" s="784">
        <f>'Part V-Utility Allowances'!M16</f>
        <v>0</v>
      </c>
    </row>
    <row r="610" spans="1:13">
      <c r="B610" s="788" t="s">
        <v>1076</v>
      </c>
      <c r="F610" s="784"/>
      <c r="G610" s="784"/>
      <c r="I610" s="786">
        <f>SUM(I603:I609)</f>
        <v>0</v>
      </c>
      <c r="J610" s="786">
        <f>SUM(J603:J609)</f>
        <v>128</v>
      </c>
      <c r="K610" s="786">
        <f>SUM(K603:K609)</f>
        <v>160</v>
      </c>
      <c r="L610" s="786">
        <f>SUM(L603:L609)</f>
        <v>0</v>
      </c>
      <c r="M610" s="786">
        <f>SUM(M603:M609)</f>
        <v>0</v>
      </c>
    </row>
    <row r="612" spans="1:13">
      <c r="A612" s="788" t="s">
        <v>784</v>
      </c>
      <c r="B612" s="788" t="s">
        <v>2366</v>
      </c>
      <c r="F612" s="580" t="s">
        <v>2681</v>
      </c>
      <c r="I612" s="2189">
        <f>'Part V-Utility Allowances'!I19</f>
        <v>0</v>
      </c>
      <c r="J612" s="2189"/>
      <c r="K612" s="2189"/>
      <c r="L612" s="2189"/>
      <c r="M612" s="2189"/>
    </row>
    <row r="613" spans="1:13">
      <c r="A613" s="788"/>
      <c r="B613" s="788"/>
      <c r="F613" s="580" t="s">
        <v>672</v>
      </c>
      <c r="I613" s="2190">
        <f>'Part V-Utility Allowances'!I20</f>
        <v>0</v>
      </c>
      <c r="J613" s="2190"/>
      <c r="K613" s="784" t="s">
        <v>568</v>
      </c>
      <c r="L613" s="2189">
        <f>'Part V-Utility Allowances'!L20</f>
        <v>0</v>
      </c>
      <c r="M613" s="2189"/>
    </row>
    <row r="614" spans="1:13">
      <c r="A614" s="788"/>
    </row>
    <row r="615" spans="1:13">
      <c r="A615" s="788"/>
      <c r="B615" s="788"/>
      <c r="C615" s="788"/>
      <c r="D615" s="788"/>
      <c r="E615" s="788"/>
      <c r="F615" s="2164" t="s">
        <v>645</v>
      </c>
      <c r="G615" s="2164"/>
      <c r="H615" s="788"/>
      <c r="I615" s="2164" t="s">
        <v>208</v>
      </c>
      <c r="J615" s="2164"/>
      <c r="K615" s="2164"/>
      <c r="L615" s="2164"/>
      <c r="M615" s="2164"/>
    </row>
    <row r="616" spans="1:13">
      <c r="A616" s="788"/>
      <c r="B616" s="788" t="s">
        <v>846</v>
      </c>
      <c r="C616" s="788"/>
      <c r="D616" s="788" t="s">
        <v>1699</v>
      </c>
      <c r="E616" s="788"/>
      <c r="F616" s="786" t="s">
        <v>678</v>
      </c>
      <c r="G616" s="786" t="s">
        <v>1971</v>
      </c>
      <c r="H616" s="788"/>
      <c r="I616" s="786" t="s">
        <v>596</v>
      </c>
      <c r="J616" s="786">
        <v>1</v>
      </c>
      <c r="K616" s="786">
        <v>2</v>
      </c>
      <c r="L616" s="786">
        <v>3</v>
      </c>
      <c r="M616" s="786">
        <v>4</v>
      </c>
    </row>
    <row r="617" spans="1:13">
      <c r="B617" s="580" t="s">
        <v>1973</v>
      </c>
      <c r="D617" s="2189" t="str">
        <f>'Part V-Utility Allowances'!D24</f>
        <v>&lt;&lt;Select Fuel &gt;&gt;</v>
      </c>
      <c r="E617" s="2189"/>
      <c r="F617" s="1053">
        <f>'Part V-Utility Allowances'!F24</f>
        <v>0</v>
      </c>
      <c r="G617" s="1053">
        <f>'Part V-Utility Allowances'!G24</f>
        <v>0</v>
      </c>
      <c r="I617" s="784">
        <f>'Part V-Utility Allowances'!I24</f>
        <v>0</v>
      </c>
      <c r="J617" s="784">
        <f>'Part V-Utility Allowances'!J24</f>
        <v>0</v>
      </c>
      <c r="K617" s="784">
        <f>'Part V-Utility Allowances'!K24</f>
        <v>0</v>
      </c>
      <c r="L617" s="784">
        <f>'Part V-Utility Allowances'!L24</f>
        <v>0</v>
      </c>
      <c r="M617" s="784">
        <f>'Part V-Utility Allowances'!M24</f>
        <v>0</v>
      </c>
    </row>
    <row r="618" spans="1:13">
      <c r="B618" s="580" t="s">
        <v>491</v>
      </c>
      <c r="D618" s="580" t="s">
        <v>1695</v>
      </c>
      <c r="F618" s="1053">
        <f>'Part V-Utility Allowances'!F25</f>
        <v>0</v>
      </c>
      <c r="G618" s="1053">
        <f>'Part V-Utility Allowances'!G25</f>
        <v>0</v>
      </c>
      <c r="I618" s="784">
        <f>'Part V-Utility Allowances'!I25</f>
        <v>0</v>
      </c>
      <c r="J618" s="784">
        <f>'Part V-Utility Allowances'!J25</f>
        <v>0</v>
      </c>
      <c r="K618" s="784">
        <f>'Part V-Utility Allowances'!K25</f>
        <v>0</v>
      </c>
      <c r="L618" s="784">
        <f>'Part V-Utility Allowances'!L25</f>
        <v>0</v>
      </c>
      <c r="M618" s="784">
        <f>'Part V-Utility Allowances'!M25</f>
        <v>0</v>
      </c>
    </row>
    <row r="619" spans="1:13">
      <c r="B619" s="580" t="s">
        <v>1696</v>
      </c>
      <c r="D619" s="2189" t="str">
        <f>'Part V-Utility Allowances'!D26</f>
        <v>&lt;&lt;Select Fuel &gt;&gt;</v>
      </c>
      <c r="E619" s="2189"/>
      <c r="F619" s="1053">
        <f>'Part V-Utility Allowances'!F26</f>
        <v>0</v>
      </c>
      <c r="G619" s="1053">
        <f>'Part V-Utility Allowances'!G26</f>
        <v>0</v>
      </c>
      <c r="I619" s="784">
        <f>'Part V-Utility Allowances'!I26</f>
        <v>0</v>
      </c>
      <c r="J619" s="784">
        <f>'Part V-Utility Allowances'!J26</f>
        <v>0</v>
      </c>
      <c r="K619" s="784">
        <f>'Part V-Utility Allowances'!K26</f>
        <v>0</v>
      </c>
      <c r="L619" s="784">
        <f>'Part V-Utility Allowances'!L26</f>
        <v>0</v>
      </c>
      <c r="M619" s="784">
        <f>'Part V-Utility Allowances'!M26</f>
        <v>0</v>
      </c>
    </row>
    <row r="620" spans="1:13">
      <c r="B620" s="580" t="s">
        <v>1697</v>
      </c>
      <c r="D620" s="2189" t="str">
        <f>'Part V-Utility Allowances'!D27</f>
        <v>&lt;&lt;Select Fuel &gt;&gt;</v>
      </c>
      <c r="E620" s="2189"/>
      <c r="F620" s="1053">
        <f>'Part V-Utility Allowances'!F27</f>
        <v>0</v>
      </c>
      <c r="G620" s="1053">
        <f>'Part V-Utility Allowances'!G27</f>
        <v>0</v>
      </c>
      <c r="I620" s="784">
        <f>'Part V-Utility Allowances'!I27</f>
        <v>0</v>
      </c>
      <c r="J620" s="784">
        <f>'Part V-Utility Allowances'!J27</f>
        <v>0</v>
      </c>
      <c r="K620" s="784">
        <f>'Part V-Utility Allowances'!K27</f>
        <v>0</v>
      </c>
      <c r="L620" s="784">
        <f>'Part V-Utility Allowances'!L27</f>
        <v>0</v>
      </c>
      <c r="M620" s="784">
        <f>'Part V-Utility Allowances'!M27</f>
        <v>0</v>
      </c>
    </row>
    <row r="621" spans="1:13">
      <c r="B621" s="580" t="s">
        <v>1698</v>
      </c>
      <c r="D621" s="580" t="s">
        <v>1695</v>
      </c>
      <c r="F621" s="1053">
        <f>'Part V-Utility Allowances'!F28</f>
        <v>0</v>
      </c>
      <c r="G621" s="1053">
        <f>'Part V-Utility Allowances'!G28</f>
        <v>0</v>
      </c>
      <c r="I621" s="784">
        <f>'Part V-Utility Allowances'!I28</f>
        <v>0</v>
      </c>
      <c r="J621" s="784">
        <f>'Part V-Utility Allowances'!J28</f>
        <v>0</v>
      </c>
      <c r="K621" s="784">
        <f>'Part V-Utility Allowances'!K28</f>
        <v>0</v>
      </c>
      <c r="L621" s="784">
        <f>'Part V-Utility Allowances'!L28</f>
        <v>0</v>
      </c>
      <c r="M621" s="784">
        <f>'Part V-Utility Allowances'!M28</f>
        <v>0</v>
      </c>
    </row>
    <row r="622" spans="1:13">
      <c r="B622" s="580" t="s">
        <v>1451</v>
      </c>
      <c r="D622" s="580" t="s">
        <v>2364</v>
      </c>
      <c r="E622" s="784" t="str">
        <f>'Part V-Utility Allowances'!E29</f>
        <v>&lt;Select&gt;</v>
      </c>
      <c r="F622" s="1053">
        <f>'Part V-Utility Allowances'!F29</f>
        <v>0</v>
      </c>
      <c r="G622" s="1053">
        <f>'Part V-Utility Allowances'!G29</f>
        <v>0</v>
      </c>
      <c r="I622" s="784">
        <f>'Part V-Utility Allowances'!I29</f>
        <v>0</v>
      </c>
      <c r="J622" s="784">
        <f>'Part V-Utility Allowances'!J29</f>
        <v>0</v>
      </c>
      <c r="K622" s="784">
        <f>'Part V-Utility Allowances'!K29</f>
        <v>0</v>
      </c>
      <c r="L622" s="784">
        <f>'Part V-Utility Allowances'!L29</f>
        <v>0</v>
      </c>
      <c r="M622" s="784">
        <f>'Part V-Utility Allowances'!M29</f>
        <v>0</v>
      </c>
    </row>
    <row r="623" spans="1:13">
      <c r="B623" s="580" t="s">
        <v>1972</v>
      </c>
      <c r="F623" s="1053">
        <f>'Part V-Utility Allowances'!F30</f>
        <v>0</v>
      </c>
      <c r="G623" s="1053">
        <f>'Part V-Utility Allowances'!G30</f>
        <v>0</v>
      </c>
      <c r="I623" s="784">
        <f>'Part V-Utility Allowances'!I30</f>
        <v>0</v>
      </c>
      <c r="J623" s="784">
        <f>'Part V-Utility Allowances'!J30</f>
        <v>0</v>
      </c>
      <c r="K623" s="784">
        <f>'Part V-Utility Allowances'!K30</f>
        <v>0</v>
      </c>
      <c r="L623" s="784">
        <f>'Part V-Utility Allowances'!L30</f>
        <v>0</v>
      </c>
      <c r="M623" s="784">
        <f>'Part V-Utility Allowances'!M30</f>
        <v>0</v>
      </c>
    </row>
    <row r="624" spans="1:13">
      <c r="B624" s="788" t="s">
        <v>1076</v>
      </c>
      <c r="F624" s="784"/>
      <c r="G624" s="784"/>
      <c r="I624" s="786">
        <f>SUM(I617:I623)</f>
        <v>0</v>
      </c>
      <c r="J624" s="786">
        <f>SUM(J617:J623)</f>
        <v>0</v>
      </c>
      <c r="K624" s="786">
        <f>SUM(K617:K623)</f>
        <v>0</v>
      </c>
      <c r="L624" s="786">
        <f>SUM(L617:L623)</f>
        <v>0</v>
      </c>
      <c r="M624" s="786">
        <f>SUM(M617:M623)</f>
        <v>0</v>
      </c>
    </row>
    <row r="626" spans="1:221">
      <c r="B626" s="886" t="s">
        <v>1923</v>
      </c>
    </row>
    <row r="628" spans="1:221">
      <c r="A628" s="788"/>
      <c r="B628" s="788" t="s">
        <v>603</v>
      </c>
    </row>
    <row r="629" spans="1:221">
      <c r="B629" s="2176">
        <f>'Part V-Utility Allowances'!B36</f>
        <v>0</v>
      </c>
      <c r="C629" s="2176"/>
      <c r="D629" s="2176"/>
      <c r="E629" s="2176"/>
      <c r="F629" s="2176"/>
      <c r="G629" s="2176"/>
      <c r="H629" s="2176"/>
      <c r="I629" s="2176"/>
      <c r="J629" s="2176"/>
      <c r="K629" s="2176"/>
      <c r="L629" s="2176"/>
      <c r="M629" s="2176"/>
    </row>
    <row r="631" spans="1:221">
      <c r="A631" s="788"/>
      <c r="B631" s="788" t="s">
        <v>1966</v>
      </c>
    </row>
    <row r="632" spans="1:221">
      <c r="B632" s="2176">
        <f>'Part V-Utility Allowances'!B39</f>
        <v>0</v>
      </c>
      <c r="C632" s="2176"/>
      <c r="D632" s="2176"/>
      <c r="E632" s="2176"/>
      <c r="F632" s="2176"/>
      <c r="G632" s="2176"/>
      <c r="H632" s="2176"/>
      <c r="I632" s="2176"/>
      <c r="J632" s="2176"/>
      <c r="K632" s="2176"/>
      <c r="L632" s="2176"/>
      <c r="M632" s="2176"/>
    </row>
    <row r="635" spans="1:221" s="583" customFormat="1" ht="13.9" customHeight="1">
      <c r="A635" s="2153" t="str">
        <f>CONCATENATE("PART SIX - PROJECTED REVENUES &amp; EXPENSES","  -  ",'Part I-Project Information'!$O$4," ",'Part I-Project Information'!$F$23,", ",'Part I-Project Information'!F661,", ",'Part I-Project Information'!J662," County")</f>
        <v>PART SIX - PROJECTED REVENUES &amp; EXPENSES  -  2014-028 Highland Estates, , Southeast Georgia Consolidated Housing Authority County</v>
      </c>
      <c r="B635" s="2153"/>
      <c r="C635" s="2153"/>
      <c r="D635" s="2153"/>
      <c r="E635" s="2153"/>
      <c r="F635" s="2153"/>
      <c r="G635" s="2153"/>
      <c r="H635" s="2153"/>
      <c r="I635" s="2153"/>
      <c r="J635" s="2153"/>
      <c r="K635" s="2153"/>
      <c r="L635" s="2153"/>
      <c r="M635" s="2153"/>
      <c r="N635" s="2153"/>
      <c r="O635" s="2153"/>
      <c r="P635" s="2153"/>
      <c r="T635" s="2153" t="str">
        <f>A635</f>
        <v>PART SIX - PROJECTED REVENUES &amp; EXPENSES  -  2014-028 Highland Estates, , Southeast Georgia Consolidated Housing Authority County</v>
      </c>
      <c r="U635" s="2153"/>
      <c r="ET635" s="780"/>
      <c r="EU635" s="780"/>
      <c r="EV635" s="780"/>
      <c r="EW635" s="780"/>
      <c r="EX635" s="780"/>
      <c r="EY635" s="780"/>
      <c r="EZ635" s="780"/>
      <c r="FA635" s="780"/>
      <c r="FB635" s="780"/>
      <c r="FC635" s="780"/>
      <c r="FD635" s="780"/>
      <c r="FE635" s="780"/>
      <c r="FF635" s="780"/>
      <c r="FG635" s="780"/>
      <c r="FH635" s="780"/>
      <c r="FI635" s="780"/>
      <c r="FJ635" s="780"/>
      <c r="FK635" s="780"/>
      <c r="FL635" s="780"/>
      <c r="FM635" s="780"/>
      <c r="FN635" s="780"/>
      <c r="FO635" s="780"/>
      <c r="FP635" s="780"/>
      <c r="FQ635" s="780"/>
      <c r="FR635" s="780"/>
      <c r="FS635" s="780"/>
      <c r="FT635" s="780"/>
      <c r="FU635" s="780"/>
      <c r="FV635" s="780"/>
      <c r="FW635" s="780"/>
      <c r="FX635" s="780"/>
      <c r="FY635" s="780"/>
      <c r="FZ635" s="780"/>
      <c r="GA635" s="780"/>
      <c r="GB635" s="780"/>
      <c r="GC635" s="780"/>
      <c r="GD635" s="780"/>
      <c r="GE635" s="780"/>
      <c r="GF635" s="780"/>
      <c r="GG635" s="780"/>
      <c r="GL635" s="586"/>
    </row>
    <row r="636" spans="1:221" ht="9" customHeight="1">
      <c r="V636" s="781"/>
      <c r="W636" s="781"/>
      <c r="X636" s="781"/>
      <c r="Y636" s="781"/>
      <c r="Z636" s="781"/>
      <c r="AA636" s="781"/>
      <c r="AB636" s="781"/>
      <c r="AC636" s="781"/>
      <c r="AD636" s="781"/>
      <c r="AE636" s="781"/>
      <c r="AF636" s="781"/>
      <c r="AG636" s="781"/>
      <c r="AH636" s="781"/>
      <c r="AI636" s="781"/>
      <c r="AJ636" s="781"/>
      <c r="AK636" s="781"/>
      <c r="AL636" s="781"/>
      <c r="AM636" s="781"/>
      <c r="AN636" s="781"/>
      <c r="AO636" s="781"/>
      <c r="AP636" s="781"/>
      <c r="AQ636" s="781"/>
      <c r="AR636" s="781"/>
      <c r="AS636" s="781"/>
      <c r="AT636" s="781"/>
      <c r="AU636" s="781"/>
      <c r="AV636" s="781"/>
      <c r="AW636" s="781"/>
      <c r="AX636" s="781"/>
      <c r="AY636" s="781"/>
      <c r="AZ636" s="781"/>
      <c r="BA636" s="781"/>
      <c r="BB636" s="781"/>
      <c r="BC636" s="781"/>
      <c r="BD636" s="781"/>
      <c r="BE636" s="781"/>
      <c r="BF636" s="781"/>
      <c r="BG636" s="781"/>
      <c r="BH636" s="781"/>
      <c r="BI636" s="781"/>
      <c r="BJ636" s="781"/>
      <c r="BK636" s="781"/>
      <c r="BL636" s="781"/>
      <c r="BM636" s="781"/>
      <c r="BN636" s="781"/>
      <c r="BO636" s="781"/>
      <c r="BP636" s="781"/>
      <c r="BQ636" s="781"/>
      <c r="BR636" s="781"/>
      <c r="BS636" s="781"/>
      <c r="BT636" s="781"/>
      <c r="BU636" s="781"/>
      <c r="BV636" s="781"/>
      <c r="BW636" s="781"/>
      <c r="BX636" s="781"/>
      <c r="BY636" s="781"/>
      <c r="BZ636" s="781"/>
      <c r="CA636" s="781"/>
      <c r="CB636" s="781"/>
      <c r="CC636" s="781"/>
      <c r="CD636" s="781"/>
      <c r="CE636" s="781"/>
      <c r="CF636" s="781"/>
      <c r="CG636" s="781"/>
      <c r="CH636" s="781"/>
      <c r="CI636" s="781"/>
      <c r="CJ636" s="781"/>
      <c r="CK636" s="781"/>
      <c r="CL636" s="781"/>
      <c r="CM636" s="781"/>
      <c r="CN636" s="781"/>
      <c r="CO636" s="781"/>
      <c r="CP636" s="781"/>
      <c r="CQ636" s="781"/>
      <c r="CR636" s="781"/>
      <c r="CS636" s="781"/>
      <c r="CT636" s="781"/>
      <c r="CU636" s="781"/>
      <c r="CV636" s="781"/>
      <c r="CW636" s="781"/>
      <c r="CX636" s="781"/>
      <c r="CY636" s="781"/>
      <c r="CZ636" s="781"/>
      <c r="DA636" s="781"/>
      <c r="DB636" s="781"/>
      <c r="DC636" s="781"/>
      <c r="DD636" s="781"/>
      <c r="DE636" s="781"/>
      <c r="DF636" s="781"/>
      <c r="DG636" s="781"/>
      <c r="DH636" s="781"/>
      <c r="DI636" s="781"/>
      <c r="DJ636" s="781"/>
      <c r="DK636" s="781"/>
      <c r="DL636" s="781"/>
      <c r="DM636" s="781"/>
      <c r="DN636" s="781"/>
      <c r="DO636" s="781"/>
      <c r="DP636" s="781"/>
      <c r="DQ636" s="781"/>
      <c r="DR636" s="781"/>
      <c r="DS636" s="781"/>
      <c r="DT636" s="781"/>
      <c r="DU636" s="781"/>
      <c r="DV636" s="781"/>
      <c r="DW636" s="781"/>
      <c r="DX636" s="781"/>
      <c r="DY636" s="781"/>
      <c r="DZ636" s="781"/>
      <c r="EA636" s="781"/>
      <c r="EB636" s="781"/>
      <c r="EC636" s="781"/>
      <c r="ED636" s="781"/>
      <c r="EE636" s="781"/>
      <c r="EF636" s="781"/>
      <c r="EG636" s="781"/>
      <c r="EH636" s="781"/>
      <c r="EI636" s="781"/>
      <c r="EJ636" s="781"/>
      <c r="EK636" s="781"/>
      <c r="EL636" s="781"/>
      <c r="EM636" s="781"/>
      <c r="EN636" s="781"/>
      <c r="EO636" s="781"/>
      <c r="EP636" s="781"/>
      <c r="EQ636" s="781"/>
      <c r="ER636" s="781"/>
      <c r="ES636" s="781"/>
      <c r="ET636" s="781"/>
      <c r="EU636" s="781"/>
      <c r="EV636" s="782"/>
      <c r="EW636" s="782"/>
      <c r="EX636" s="782"/>
      <c r="EY636" s="782"/>
      <c r="EZ636" s="782"/>
      <c r="FA636" s="782"/>
      <c r="FB636" s="782"/>
      <c r="FC636" s="782"/>
      <c r="FD636" s="782"/>
      <c r="FE636" s="782"/>
      <c r="FF636" s="782"/>
      <c r="FG636" s="782"/>
      <c r="FH636" s="782"/>
      <c r="FI636" s="782"/>
      <c r="FJ636" s="782"/>
      <c r="FK636" s="782"/>
      <c r="FL636" s="782"/>
      <c r="FM636" s="782"/>
      <c r="FN636" s="782"/>
      <c r="FO636" s="782"/>
      <c r="FP636" s="782"/>
      <c r="FQ636" s="782"/>
      <c r="FR636" s="782"/>
      <c r="FS636" s="782"/>
      <c r="FT636" s="782"/>
      <c r="FU636" s="782"/>
      <c r="FV636" s="782"/>
      <c r="FW636" s="782"/>
      <c r="FX636" s="782"/>
      <c r="FY636" s="782"/>
      <c r="FZ636" s="782"/>
      <c r="GA636" s="782"/>
      <c r="GB636" s="782"/>
      <c r="GC636" s="782"/>
      <c r="GD636" s="782"/>
      <c r="GE636" s="782"/>
      <c r="GF636" s="782"/>
      <c r="GG636" s="782"/>
      <c r="GH636" s="782"/>
      <c r="GI636" s="782"/>
      <c r="GJ636" s="781"/>
      <c r="GK636" s="781"/>
      <c r="GL636" s="781"/>
      <c r="GM636" s="781"/>
      <c r="GN636" s="781"/>
      <c r="GT636" s="781"/>
      <c r="GU636" s="781"/>
      <c r="GV636" s="781"/>
      <c r="GW636" s="781"/>
      <c r="GX636" s="781"/>
      <c r="GY636" s="781"/>
      <c r="GZ636" s="781"/>
      <c r="HA636" s="781"/>
      <c r="HB636" s="781"/>
      <c r="HC636" s="781"/>
      <c r="HD636" s="781"/>
      <c r="HE636" s="781"/>
      <c r="HF636" s="781"/>
      <c r="HG636" s="781"/>
      <c r="HH636" s="781"/>
      <c r="HI636" s="781"/>
      <c r="HJ636" s="781"/>
      <c r="HK636" s="781"/>
      <c r="HL636" s="781"/>
      <c r="HM636" s="781"/>
    </row>
    <row r="637" spans="1:221" s="583" customFormat="1" ht="12.6" customHeight="1">
      <c r="A637" s="586" t="s">
        <v>652</v>
      </c>
      <c r="B637" s="586" t="s">
        <v>2512</v>
      </c>
      <c r="E637" s="887" t="s">
        <v>2894</v>
      </c>
      <c r="G637" s="586"/>
      <c r="H637" s="586"/>
      <c r="I637" s="586"/>
      <c r="J637" s="586"/>
      <c r="K637" s="586"/>
      <c r="L637" s="586"/>
      <c r="Q637" s="586"/>
      <c r="R637" s="586"/>
      <c r="S637" s="586"/>
      <c r="T637" s="586" t="str">
        <f>B637</f>
        <v>RENT SCHEDULE</v>
      </c>
      <c r="V637" s="587"/>
      <c r="W637" s="587"/>
      <c r="X637" s="587"/>
      <c r="Y637" s="587"/>
      <c r="Z637" s="587"/>
      <c r="AA637" s="587"/>
      <c r="AB637" s="587"/>
      <c r="AC637" s="587"/>
      <c r="AD637" s="587"/>
      <c r="AE637" s="587"/>
      <c r="AF637" s="587"/>
      <c r="AG637" s="587"/>
      <c r="AH637" s="587"/>
      <c r="AI637" s="587"/>
      <c r="AJ637" s="587"/>
      <c r="AK637" s="587"/>
      <c r="AL637" s="587"/>
      <c r="AM637" s="587"/>
      <c r="AN637" s="587"/>
      <c r="AO637" s="587"/>
      <c r="AP637" s="587"/>
      <c r="AQ637" s="587"/>
      <c r="AR637" s="587"/>
      <c r="AS637" s="587"/>
      <c r="AT637" s="587"/>
      <c r="AU637" s="587"/>
      <c r="AV637" s="587"/>
      <c r="AW637" s="587"/>
      <c r="AX637" s="587"/>
      <c r="AY637" s="587"/>
      <c r="AZ637" s="587"/>
      <c r="BA637" s="587"/>
      <c r="BB637" s="587"/>
      <c r="BC637" s="587"/>
      <c r="BD637" s="587"/>
      <c r="BE637" s="587"/>
      <c r="BF637" s="587"/>
      <c r="BG637" s="587"/>
      <c r="BH637" s="587"/>
      <c r="BI637" s="587"/>
      <c r="BJ637" s="587"/>
      <c r="BK637" s="587"/>
      <c r="BL637" s="587"/>
      <c r="BM637" s="587"/>
      <c r="BN637" s="587"/>
      <c r="BO637" s="587"/>
      <c r="BP637" s="587"/>
      <c r="BQ637" s="587"/>
      <c r="BR637" s="587"/>
      <c r="BS637" s="587"/>
      <c r="BT637" s="587"/>
      <c r="BU637" s="587"/>
      <c r="BV637" s="587"/>
      <c r="BW637" s="587"/>
      <c r="BX637" s="587"/>
      <c r="BY637" s="587"/>
      <c r="BZ637" s="587"/>
      <c r="CA637" s="587"/>
      <c r="CB637" s="587"/>
      <c r="CC637" s="587"/>
      <c r="CD637" s="587"/>
      <c r="CE637" s="587"/>
      <c r="CF637" s="587"/>
      <c r="CG637" s="587"/>
      <c r="CH637" s="587"/>
      <c r="CI637" s="587"/>
      <c r="CJ637" s="587"/>
      <c r="CK637" s="587"/>
      <c r="CL637" s="587"/>
      <c r="CM637" s="587"/>
      <c r="CN637" s="587"/>
      <c r="CO637" s="587"/>
      <c r="CP637" s="587"/>
      <c r="CQ637" s="587"/>
      <c r="CR637" s="587"/>
      <c r="CS637" s="587"/>
      <c r="CT637" s="587"/>
      <c r="CU637" s="587"/>
      <c r="CV637" s="587"/>
      <c r="CW637" s="587"/>
      <c r="CX637" s="587"/>
      <c r="CY637" s="587"/>
      <c r="CZ637" s="587"/>
      <c r="DA637" s="587"/>
      <c r="DB637" s="587"/>
      <c r="DC637" s="587"/>
      <c r="DD637" s="587"/>
      <c r="DE637" s="587"/>
      <c r="DF637" s="587"/>
      <c r="DG637" s="587"/>
      <c r="DH637" s="587"/>
      <c r="DI637" s="587"/>
      <c r="DJ637" s="587"/>
      <c r="DK637" s="587"/>
      <c r="DL637" s="587"/>
      <c r="DM637" s="587"/>
      <c r="DN637" s="587"/>
      <c r="DO637" s="587"/>
      <c r="DP637" s="587"/>
      <c r="DQ637" s="587"/>
      <c r="DR637" s="587"/>
      <c r="DS637" s="587"/>
      <c r="DT637" s="587"/>
      <c r="DU637" s="587"/>
      <c r="DV637" s="587"/>
      <c r="DW637" s="587"/>
      <c r="DX637" s="587"/>
      <c r="DY637" s="587"/>
      <c r="DZ637" s="587"/>
      <c r="EA637" s="587"/>
      <c r="EB637" s="587"/>
      <c r="EC637" s="587"/>
      <c r="ED637" s="587"/>
      <c r="EE637" s="587"/>
      <c r="EF637" s="587"/>
      <c r="EG637" s="587"/>
      <c r="EH637" s="587"/>
      <c r="EI637" s="587"/>
      <c r="EJ637" s="587"/>
      <c r="EK637" s="587"/>
      <c r="EL637" s="587"/>
      <c r="EM637" s="587"/>
      <c r="EN637" s="587"/>
      <c r="EO637" s="587"/>
      <c r="EP637" s="587"/>
      <c r="EQ637" s="587"/>
      <c r="ER637" s="587"/>
      <c r="ES637" s="587"/>
      <c r="ET637" s="587"/>
      <c r="EU637" s="587"/>
      <c r="EV637" s="783"/>
      <c r="EW637" s="783"/>
      <c r="EX637" s="783"/>
      <c r="EY637" s="783"/>
      <c r="EZ637" s="783"/>
      <c r="FA637" s="782" t="s">
        <v>512</v>
      </c>
      <c r="FB637" s="782" t="s">
        <v>2595</v>
      </c>
      <c r="FC637" s="782" t="s">
        <v>2596</v>
      </c>
      <c r="FD637" s="782" t="s">
        <v>2597</v>
      </c>
      <c r="FE637" s="782" t="s">
        <v>2598</v>
      </c>
      <c r="FF637" s="783"/>
      <c r="FG637" s="783"/>
      <c r="FH637" s="783"/>
      <c r="FI637" s="783"/>
      <c r="FJ637" s="783"/>
      <c r="FK637" s="782" t="s">
        <v>512</v>
      </c>
      <c r="FL637" s="782" t="s">
        <v>2595</v>
      </c>
      <c r="FM637" s="782" t="s">
        <v>2596</v>
      </c>
      <c r="FN637" s="782" t="s">
        <v>2597</v>
      </c>
      <c r="FO637" s="782" t="s">
        <v>2598</v>
      </c>
      <c r="FP637" s="782" t="s">
        <v>512</v>
      </c>
      <c r="FQ637" s="782" t="s">
        <v>2595</v>
      </c>
      <c r="FR637" s="782" t="s">
        <v>2596</v>
      </c>
      <c r="FS637" s="782" t="s">
        <v>2597</v>
      </c>
      <c r="FT637" s="782" t="s">
        <v>2598</v>
      </c>
      <c r="FU637" s="782" t="s">
        <v>512</v>
      </c>
      <c r="FV637" s="782" t="s">
        <v>2595</v>
      </c>
      <c r="FW637" s="782" t="s">
        <v>2596</v>
      </c>
      <c r="FX637" s="782" t="s">
        <v>2597</v>
      </c>
      <c r="FY637" s="782" t="s">
        <v>2598</v>
      </c>
      <c r="FZ637" s="782" t="s">
        <v>512</v>
      </c>
      <c r="GA637" s="782" t="s">
        <v>2595</v>
      </c>
      <c r="GB637" s="782" t="s">
        <v>2596</v>
      </c>
      <c r="GC637" s="782" t="s">
        <v>2597</v>
      </c>
      <c r="GD637" s="782" t="s">
        <v>2598</v>
      </c>
      <c r="GE637" s="782" t="s">
        <v>512</v>
      </c>
      <c r="GF637" s="782" t="s">
        <v>2595</v>
      </c>
      <c r="GG637" s="782" t="s">
        <v>2596</v>
      </c>
      <c r="GH637" s="782" t="s">
        <v>2597</v>
      </c>
      <c r="GI637" s="782" t="s">
        <v>2598</v>
      </c>
      <c r="GJ637" s="782" t="s">
        <v>512</v>
      </c>
      <c r="GK637" s="782" t="s">
        <v>2595</v>
      </c>
      <c r="GL637" s="782" t="s">
        <v>2596</v>
      </c>
      <c r="GM637" s="782" t="s">
        <v>2597</v>
      </c>
      <c r="GN637" s="782" t="s">
        <v>2598</v>
      </c>
      <c r="GT637" s="587"/>
      <c r="GU637" s="587"/>
      <c r="GV637" s="587"/>
      <c r="GW637" s="587"/>
      <c r="GX637" s="587"/>
      <c r="GY637" s="587"/>
      <c r="GZ637" s="587"/>
      <c r="HA637" s="587"/>
      <c r="HB637" s="587"/>
      <c r="HC637" s="587"/>
      <c r="HD637" s="587"/>
      <c r="HE637" s="587"/>
      <c r="HF637" s="587"/>
      <c r="HG637" s="587"/>
      <c r="HH637" s="587"/>
      <c r="HI637" s="587"/>
      <c r="HJ637" s="587"/>
      <c r="HK637" s="587"/>
      <c r="HL637" s="587"/>
      <c r="HM637" s="587"/>
    </row>
    <row r="638" spans="1:221" s="583" customFormat="1" ht="6" customHeight="1">
      <c r="B638" s="586"/>
      <c r="D638" s="586"/>
      <c r="P638" s="587"/>
      <c r="Q638" s="604"/>
      <c r="R638" s="604"/>
      <c r="S638" s="604"/>
      <c r="T638" s="604"/>
      <c r="V638" s="2188" t="s">
        <v>969</v>
      </c>
      <c r="W638" s="2188" t="s">
        <v>800</v>
      </c>
      <c r="X638" s="2188" t="s">
        <v>801</v>
      </c>
      <c r="Y638" s="2188" t="s">
        <v>802</v>
      </c>
      <c r="Z638" s="2188" t="s">
        <v>803</v>
      </c>
      <c r="AA638" s="2188" t="s">
        <v>970</v>
      </c>
      <c r="AB638" s="2188" t="s">
        <v>2451</v>
      </c>
      <c r="AC638" s="2188" t="s">
        <v>2452</v>
      </c>
      <c r="AD638" s="2188" t="s">
        <v>2453</v>
      </c>
      <c r="AE638" s="2188" t="s">
        <v>2454</v>
      </c>
      <c r="AF638" s="2188" t="s">
        <v>971</v>
      </c>
      <c r="AG638" s="2188" t="s">
        <v>2455</v>
      </c>
      <c r="AH638" s="2188" t="s">
        <v>2456</v>
      </c>
      <c r="AI638" s="2188" t="s">
        <v>2457</v>
      </c>
      <c r="AJ638" s="2188" t="s">
        <v>2458</v>
      </c>
      <c r="AK638" s="2188" t="s">
        <v>132</v>
      </c>
      <c r="AL638" s="2188" t="s">
        <v>2459</v>
      </c>
      <c r="AM638" s="2188" t="s">
        <v>2460</v>
      </c>
      <c r="AN638" s="2188" t="s">
        <v>2461</v>
      </c>
      <c r="AO638" s="2188" t="s">
        <v>1211</v>
      </c>
      <c r="AP638" s="2188" t="s">
        <v>584</v>
      </c>
      <c r="AQ638" s="2188" t="s">
        <v>585</v>
      </c>
      <c r="AR638" s="2188" t="s">
        <v>609</v>
      </c>
      <c r="AS638" s="2188" t="s">
        <v>610</v>
      </c>
      <c r="AT638" s="2188" t="s">
        <v>611</v>
      </c>
      <c r="AU638" s="2188" t="s">
        <v>612</v>
      </c>
      <c r="AV638" s="2188" t="s">
        <v>613</v>
      </c>
      <c r="AW638" s="2188" t="s">
        <v>614</v>
      </c>
      <c r="AX638" s="2188" t="s">
        <v>615</v>
      </c>
      <c r="AY638" s="2188" t="s">
        <v>616</v>
      </c>
      <c r="AZ638" s="2188" t="s">
        <v>617</v>
      </c>
      <c r="BA638" s="2188" t="s">
        <v>618</v>
      </c>
      <c r="BB638" s="2188" t="s">
        <v>981</v>
      </c>
      <c r="BC638" s="2188" t="s">
        <v>982</v>
      </c>
      <c r="BD638" s="2188" t="s">
        <v>983</v>
      </c>
      <c r="BE638" s="2188" t="s">
        <v>523</v>
      </c>
      <c r="BF638" s="2188" t="s">
        <v>524</v>
      </c>
      <c r="BG638" s="2188" t="s">
        <v>525</v>
      </c>
      <c r="BH638" s="2188" t="s">
        <v>526</v>
      </c>
      <c r="BI638" s="2188" t="s">
        <v>527</v>
      </c>
      <c r="BJ638" s="2188" t="s">
        <v>929</v>
      </c>
      <c r="BK638" s="2188" t="s">
        <v>930</v>
      </c>
      <c r="BL638" s="2188" t="s">
        <v>931</v>
      </c>
      <c r="BM638" s="2188" t="s">
        <v>932</v>
      </c>
      <c r="BN638" s="2188" t="s">
        <v>933</v>
      </c>
      <c r="BO638" s="2188" t="s">
        <v>934</v>
      </c>
      <c r="BP638" s="2188" t="s">
        <v>935</v>
      </c>
      <c r="BQ638" s="2188" t="s">
        <v>936</v>
      </c>
      <c r="BR638" s="2188" t="s">
        <v>937</v>
      </c>
      <c r="BS638" s="2188" t="s">
        <v>938</v>
      </c>
      <c r="BT638" s="2188" t="s">
        <v>2585</v>
      </c>
      <c r="BU638" s="2188" t="s">
        <v>2586</v>
      </c>
      <c r="BV638" s="2188" t="s">
        <v>2587</v>
      </c>
      <c r="BW638" s="2188" t="s">
        <v>2588</v>
      </c>
      <c r="BX638" s="2188" t="s">
        <v>2589</v>
      </c>
      <c r="BY638" s="2188" t="s">
        <v>120</v>
      </c>
      <c r="BZ638" s="2188" t="s">
        <v>1214</v>
      </c>
      <c r="CA638" s="2188" t="s">
        <v>1215</v>
      </c>
      <c r="CB638" s="2188" t="s">
        <v>1284</v>
      </c>
      <c r="CC638" s="2188" t="s">
        <v>1285</v>
      </c>
      <c r="CD638" s="2185" t="s">
        <v>135</v>
      </c>
      <c r="CE638" s="2185" t="s">
        <v>1286</v>
      </c>
      <c r="CF638" s="2185" t="s">
        <v>1287</v>
      </c>
      <c r="CG638" s="2185" t="s">
        <v>1288</v>
      </c>
      <c r="CH638" s="2185" t="s">
        <v>1289</v>
      </c>
      <c r="CI638" s="2185" t="s">
        <v>134</v>
      </c>
      <c r="CJ638" s="2185" t="s">
        <v>961</v>
      </c>
      <c r="CK638" s="2185" t="s">
        <v>962</v>
      </c>
      <c r="CL638" s="2185" t="s">
        <v>963</v>
      </c>
      <c r="CM638" s="2185" t="s">
        <v>964</v>
      </c>
      <c r="CN638" s="2185" t="s">
        <v>133</v>
      </c>
      <c r="CO638" s="2185" t="s">
        <v>965</v>
      </c>
      <c r="CP638" s="2185" t="s">
        <v>966</v>
      </c>
      <c r="CQ638" s="2185" t="s">
        <v>967</v>
      </c>
      <c r="CR638" s="2185" t="s">
        <v>968</v>
      </c>
      <c r="CS638" s="2185" t="s">
        <v>857</v>
      </c>
      <c r="CT638" s="2185" t="s">
        <v>858</v>
      </c>
      <c r="CU638" s="2185" t="s">
        <v>859</v>
      </c>
      <c r="CV638" s="2185" t="s">
        <v>860</v>
      </c>
      <c r="CW638" s="2185" t="s">
        <v>861</v>
      </c>
      <c r="CX638" s="2185" t="s">
        <v>1008</v>
      </c>
      <c r="CY638" s="2185" t="s">
        <v>1009</v>
      </c>
      <c r="CZ638" s="2185" t="s">
        <v>1010</v>
      </c>
      <c r="DA638" s="2185" t="s">
        <v>1011</v>
      </c>
      <c r="DB638" s="2185" t="s">
        <v>2584</v>
      </c>
      <c r="DC638" s="2185" t="s">
        <v>1520</v>
      </c>
      <c r="DD638" s="2185" t="s">
        <v>1521</v>
      </c>
      <c r="DE638" s="2185" t="s">
        <v>1522</v>
      </c>
      <c r="DF638" s="2185" t="s">
        <v>1523</v>
      </c>
      <c r="DG638" s="2185" t="s">
        <v>1524</v>
      </c>
      <c r="DH638" s="2185" t="s">
        <v>456</v>
      </c>
      <c r="DI638" s="2185" t="s">
        <v>457</v>
      </c>
      <c r="DJ638" s="2185" t="s">
        <v>458</v>
      </c>
      <c r="DK638" s="2185" t="s">
        <v>459</v>
      </c>
      <c r="DL638" s="2185" t="s">
        <v>460</v>
      </c>
      <c r="DM638" s="2185" t="s">
        <v>18</v>
      </c>
      <c r="DN638" s="2185" t="s">
        <v>19</v>
      </c>
      <c r="DO638" s="2185" t="s">
        <v>20</v>
      </c>
      <c r="DP638" s="2185" t="s">
        <v>21</v>
      </c>
      <c r="DQ638" s="2185" t="s">
        <v>22</v>
      </c>
      <c r="DR638" s="2185" t="s">
        <v>233</v>
      </c>
      <c r="DS638" s="2185" t="s">
        <v>234</v>
      </c>
      <c r="DT638" s="2185" t="s">
        <v>235</v>
      </c>
      <c r="DU638" s="2185" t="s">
        <v>1929</v>
      </c>
      <c r="DV638" s="2185" t="s">
        <v>1930</v>
      </c>
      <c r="DW638" s="2185" t="s">
        <v>1931</v>
      </c>
      <c r="DX638" s="2185" t="s">
        <v>625</v>
      </c>
      <c r="DY638" s="2185" t="s">
        <v>626</v>
      </c>
      <c r="DZ638" s="2185" t="s">
        <v>627</v>
      </c>
      <c r="EA638" s="2185" t="s">
        <v>628</v>
      </c>
      <c r="EB638" s="2185" t="s">
        <v>23</v>
      </c>
      <c r="EC638" s="2185" t="s">
        <v>24</v>
      </c>
      <c r="ED638" s="2185" t="s">
        <v>25</v>
      </c>
      <c r="EE638" s="2185" t="s">
        <v>26</v>
      </c>
      <c r="EF638" s="2185" t="s">
        <v>27</v>
      </c>
      <c r="EG638" s="2185" t="s">
        <v>522</v>
      </c>
      <c r="EH638" s="2185" t="s">
        <v>452</v>
      </c>
      <c r="EI638" s="2185" t="s">
        <v>453</v>
      </c>
      <c r="EJ638" s="2185" t="s">
        <v>454</v>
      </c>
      <c r="EK638" s="2185" t="s">
        <v>455</v>
      </c>
      <c r="EL638" s="2185" t="s">
        <v>2344</v>
      </c>
      <c r="EM638" s="2185" t="s">
        <v>2345</v>
      </c>
      <c r="EN638" s="2185" t="s">
        <v>2346</v>
      </c>
      <c r="EO638" s="2185" t="s">
        <v>1570</v>
      </c>
      <c r="EP638" s="2185" t="s">
        <v>1571</v>
      </c>
      <c r="EQ638" s="2185" t="s">
        <v>28</v>
      </c>
      <c r="ER638" s="2185" t="s">
        <v>29</v>
      </c>
      <c r="ES638" s="2185" t="s">
        <v>30</v>
      </c>
      <c r="ET638" s="2185" t="s">
        <v>31</v>
      </c>
      <c r="EU638" s="2185" t="s">
        <v>32</v>
      </c>
      <c r="EV638" s="780"/>
      <c r="EW638" s="780"/>
      <c r="EX638" s="780"/>
      <c r="EY638" s="780"/>
      <c r="EZ638" s="780"/>
      <c r="FA638" s="780"/>
      <c r="FB638" s="780"/>
      <c r="FC638" s="780"/>
      <c r="FD638" s="780"/>
      <c r="FE638" s="780"/>
      <c r="FF638" s="780"/>
      <c r="FG638" s="780"/>
      <c r="FH638" s="780"/>
      <c r="FI638" s="780"/>
      <c r="FJ638" s="780"/>
      <c r="FK638" s="780"/>
      <c r="FL638" s="780"/>
      <c r="FM638" s="780"/>
      <c r="FN638" s="780"/>
      <c r="FO638" s="780"/>
      <c r="FP638" s="780"/>
      <c r="FQ638" s="780"/>
      <c r="FR638" s="780"/>
      <c r="FS638" s="780"/>
      <c r="FT638" s="780"/>
      <c r="FU638" s="780"/>
      <c r="FV638" s="780"/>
      <c r="FW638" s="780"/>
      <c r="FX638" s="780"/>
      <c r="FY638" s="780"/>
      <c r="FZ638" s="780"/>
      <c r="GA638" s="780"/>
      <c r="GB638" s="780"/>
      <c r="GC638" s="780"/>
      <c r="GD638" s="780"/>
      <c r="GE638" s="780"/>
      <c r="GF638" s="780"/>
      <c r="GG638" s="780"/>
      <c r="GH638" s="780"/>
      <c r="GI638" s="780"/>
      <c r="GO638" s="2185" t="s">
        <v>1726</v>
      </c>
      <c r="GP638" s="2185" t="s">
        <v>2687</v>
      </c>
      <c r="GQ638" s="2185" t="s">
        <v>2688</v>
      </c>
      <c r="GR638" s="2185" t="s">
        <v>405</v>
      </c>
      <c r="GS638" s="2185" t="s">
        <v>406</v>
      </c>
      <c r="GT638" s="2185" t="s">
        <v>407</v>
      </c>
      <c r="GU638" s="2185" t="s">
        <v>408</v>
      </c>
      <c r="GV638" s="2185" t="s">
        <v>409</v>
      </c>
      <c r="GW638" s="2185" t="s">
        <v>410</v>
      </c>
      <c r="GX638" s="2185" t="s">
        <v>411</v>
      </c>
      <c r="GY638" s="2185" t="s">
        <v>210</v>
      </c>
      <c r="GZ638" s="2185" t="s">
        <v>211</v>
      </c>
      <c r="HA638" s="2185" t="s">
        <v>212</v>
      </c>
      <c r="HB638" s="2185" t="s">
        <v>213</v>
      </c>
      <c r="HC638" s="2185" t="s">
        <v>214</v>
      </c>
      <c r="HD638" s="2185" t="s">
        <v>215</v>
      </c>
      <c r="HE638" s="2185" t="s">
        <v>216</v>
      </c>
      <c r="HF638" s="2185" t="s">
        <v>217</v>
      </c>
      <c r="HG638" s="2185" t="s">
        <v>218</v>
      </c>
      <c r="HH638" s="2185" t="s">
        <v>219</v>
      </c>
      <c r="HI638" s="2185" t="s">
        <v>220</v>
      </c>
      <c r="HJ638" s="2185" t="s">
        <v>221</v>
      </c>
      <c r="HK638" s="2185" t="s">
        <v>222</v>
      </c>
      <c r="HL638" s="2185" t="s">
        <v>223</v>
      </c>
      <c r="HM638" s="2185" t="s">
        <v>224</v>
      </c>
    </row>
    <row r="639" spans="1:221" s="583" customFormat="1" ht="13.15" customHeight="1">
      <c r="B639" s="586" t="s">
        <v>1967</v>
      </c>
      <c r="E639" s="586"/>
      <c r="G639" s="780">
        <f>'Part VI-Revenues &amp; Expenses'!G5</f>
        <v>0</v>
      </c>
      <c r="N639" s="885" t="s">
        <v>608</v>
      </c>
      <c r="P639" s="888" t="s">
        <v>1091</v>
      </c>
      <c r="V639" s="2188"/>
      <c r="W639" s="2188"/>
      <c r="X639" s="2188"/>
      <c r="Y639" s="2188"/>
      <c r="Z639" s="2188"/>
      <c r="AA639" s="2188"/>
      <c r="AB639" s="2188"/>
      <c r="AC639" s="2188"/>
      <c r="AD639" s="2188"/>
      <c r="AE639" s="2188"/>
      <c r="AF639" s="2188"/>
      <c r="AG639" s="2188"/>
      <c r="AH639" s="2188"/>
      <c r="AI639" s="2188"/>
      <c r="AJ639" s="2188"/>
      <c r="AK639" s="2188"/>
      <c r="AL639" s="2188"/>
      <c r="AM639" s="2188"/>
      <c r="AN639" s="2188"/>
      <c r="AO639" s="2188"/>
      <c r="AP639" s="2188"/>
      <c r="AQ639" s="2188"/>
      <c r="AR639" s="2188"/>
      <c r="AS639" s="2188"/>
      <c r="AT639" s="2188"/>
      <c r="AU639" s="2188"/>
      <c r="AV639" s="2188"/>
      <c r="AW639" s="2188"/>
      <c r="AX639" s="2188"/>
      <c r="AY639" s="2188"/>
      <c r="AZ639" s="2188"/>
      <c r="BA639" s="2188"/>
      <c r="BB639" s="2188"/>
      <c r="BC639" s="2188"/>
      <c r="BD639" s="2188"/>
      <c r="BE639" s="2188"/>
      <c r="BF639" s="2188"/>
      <c r="BG639" s="2188"/>
      <c r="BH639" s="2188"/>
      <c r="BI639" s="2188"/>
      <c r="BJ639" s="2188"/>
      <c r="BK639" s="2188"/>
      <c r="BL639" s="2188"/>
      <c r="BM639" s="2188"/>
      <c r="BN639" s="2188"/>
      <c r="BO639" s="2188"/>
      <c r="BP639" s="2188"/>
      <c r="BQ639" s="2188"/>
      <c r="BR639" s="2188"/>
      <c r="BS639" s="2188"/>
      <c r="BT639" s="2188"/>
      <c r="BU639" s="2188"/>
      <c r="BV639" s="2188"/>
      <c r="BW639" s="2188"/>
      <c r="BX639" s="2188"/>
      <c r="BY639" s="2188"/>
      <c r="BZ639" s="2188"/>
      <c r="CA639" s="2188"/>
      <c r="CB639" s="2188"/>
      <c r="CC639" s="2188"/>
      <c r="CD639" s="2185"/>
      <c r="CE639" s="2185"/>
      <c r="CF639" s="2185"/>
      <c r="CG639" s="2185"/>
      <c r="CH639" s="2185"/>
      <c r="CI639" s="2185"/>
      <c r="CJ639" s="2185"/>
      <c r="CK639" s="2185"/>
      <c r="CL639" s="2185"/>
      <c r="CM639" s="2185"/>
      <c r="CN639" s="2185"/>
      <c r="CO639" s="2185"/>
      <c r="CP639" s="2185"/>
      <c r="CQ639" s="2185"/>
      <c r="CR639" s="2185"/>
      <c r="CS639" s="2185"/>
      <c r="CT639" s="2185"/>
      <c r="CU639" s="2185"/>
      <c r="CV639" s="2185"/>
      <c r="CW639" s="2185"/>
      <c r="CX639" s="2185"/>
      <c r="CY639" s="2185"/>
      <c r="CZ639" s="2185"/>
      <c r="DA639" s="2185"/>
      <c r="DB639" s="2185"/>
      <c r="DC639" s="2185"/>
      <c r="DD639" s="2185"/>
      <c r="DE639" s="2185"/>
      <c r="DF639" s="2185"/>
      <c r="DG639" s="2185"/>
      <c r="DH639" s="2185"/>
      <c r="DI639" s="2185"/>
      <c r="DJ639" s="2185"/>
      <c r="DK639" s="2185"/>
      <c r="DL639" s="2185"/>
      <c r="DM639" s="2185"/>
      <c r="DN639" s="2185"/>
      <c r="DO639" s="2185"/>
      <c r="DP639" s="2185"/>
      <c r="DQ639" s="2185"/>
      <c r="DR639" s="2185"/>
      <c r="DS639" s="2185"/>
      <c r="DT639" s="2185"/>
      <c r="DU639" s="2185"/>
      <c r="DV639" s="2185"/>
      <c r="DW639" s="2185"/>
      <c r="DX639" s="2185"/>
      <c r="DY639" s="2185"/>
      <c r="DZ639" s="2185"/>
      <c r="EA639" s="2185"/>
      <c r="EB639" s="2185"/>
      <c r="EC639" s="2185"/>
      <c r="ED639" s="2185"/>
      <c r="EE639" s="2185"/>
      <c r="EF639" s="2185"/>
      <c r="EG639" s="2185"/>
      <c r="EH639" s="2185"/>
      <c r="EI639" s="2185"/>
      <c r="EJ639" s="2185"/>
      <c r="EK639" s="2185"/>
      <c r="EL639" s="2185"/>
      <c r="EM639" s="2185"/>
      <c r="EN639" s="2185"/>
      <c r="EO639" s="2185"/>
      <c r="EP639" s="2185"/>
      <c r="EQ639" s="2185"/>
      <c r="ER639" s="2185"/>
      <c r="ES639" s="2185"/>
      <c r="ET639" s="2185"/>
      <c r="EU639" s="2185"/>
      <c r="EV639" s="780"/>
      <c r="EW639" s="780"/>
      <c r="EX639" s="780"/>
      <c r="EY639" s="780"/>
      <c r="EZ639" s="780"/>
      <c r="FA639" s="780"/>
      <c r="FB639" s="780"/>
      <c r="FC639" s="780"/>
      <c r="FD639" s="780"/>
      <c r="FE639" s="780"/>
      <c r="FF639" s="780"/>
      <c r="FG639" s="780"/>
      <c r="FH639" s="780"/>
      <c r="FI639" s="780"/>
      <c r="FJ639" s="780"/>
      <c r="FK639" s="780"/>
      <c r="FL639" s="780"/>
      <c r="FM639" s="780"/>
      <c r="FN639" s="780"/>
      <c r="FO639" s="780"/>
      <c r="FP639" s="780"/>
      <c r="FQ639" s="780"/>
      <c r="FR639" s="780"/>
      <c r="FS639" s="780"/>
      <c r="FT639" s="780"/>
      <c r="FU639" s="780"/>
      <c r="FV639" s="780"/>
      <c r="FW639" s="780"/>
      <c r="FX639" s="780"/>
      <c r="FY639" s="780"/>
      <c r="FZ639" s="780"/>
      <c r="GA639" s="780"/>
      <c r="GB639" s="780"/>
      <c r="GC639" s="780"/>
      <c r="GD639" s="780"/>
      <c r="GE639" s="780"/>
      <c r="GF639" s="780"/>
      <c r="GG639" s="780"/>
      <c r="GH639" s="780"/>
      <c r="GI639" s="780"/>
      <c r="GO639" s="2185"/>
      <c r="GP639" s="2185"/>
      <c r="GQ639" s="2185"/>
      <c r="GR639" s="2185"/>
      <c r="GS639" s="2185"/>
      <c r="GT639" s="2185"/>
      <c r="GU639" s="2185"/>
      <c r="GV639" s="2185"/>
      <c r="GW639" s="2185"/>
      <c r="GX639" s="2185"/>
      <c r="GY639" s="2185"/>
      <c r="GZ639" s="2185"/>
      <c r="HA639" s="2185"/>
      <c r="HB639" s="2185"/>
      <c r="HC639" s="2185"/>
      <c r="HD639" s="2185"/>
      <c r="HE639" s="2185"/>
      <c r="HF639" s="2185"/>
      <c r="HG639" s="2185"/>
      <c r="HH639" s="2185"/>
      <c r="HI639" s="2185"/>
      <c r="HJ639" s="2185"/>
      <c r="HK639" s="2185"/>
      <c r="HL639" s="2185"/>
      <c r="HM639" s="2185"/>
    </row>
    <row r="640" spans="1:221" s="583" customFormat="1" ht="13.15" customHeight="1">
      <c r="B640" s="889" t="s">
        <v>1922</v>
      </c>
      <c r="E640" s="586"/>
      <c r="G640" s="784" t="str">
        <f>'Part VI-Revenues &amp; Expenses'!G6</f>
        <v>No</v>
      </c>
      <c r="J640" s="890" t="s">
        <v>2559</v>
      </c>
      <c r="N640" s="2186" t="str">
        <f>'Part I-Project Information'!$O$29</f>
        <v>Rome</v>
      </c>
      <c r="O640" s="2186"/>
      <c r="P640" s="517">
        <f>VLOOKUP('Part I-Project Information'!$O$29,'DCA Underwriting Assumptions'!$C$82:$D$192,2)</f>
        <v>52300</v>
      </c>
      <c r="R640" s="2153" t="s">
        <v>2919</v>
      </c>
      <c r="S640" s="2153"/>
      <c r="V640" s="2188"/>
      <c r="W640" s="2188"/>
      <c r="X640" s="2188"/>
      <c r="Y640" s="2188"/>
      <c r="Z640" s="2188"/>
      <c r="AA640" s="2188"/>
      <c r="AB640" s="2188"/>
      <c r="AC640" s="2188"/>
      <c r="AD640" s="2188"/>
      <c r="AE640" s="2188"/>
      <c r="AF640" s="2188"/>
      <c r="AG640" s="2188"/>
      <c r="AH640" s="2188"/>
      <c r="AI640" s="2188"/>
      <c r="AJ640" s="2188"/>
      <c r="AK640" s="2188"/>
      <c r="AL640" s="2188"/>
      <c r="AM640" s="2188"/>
      <c r="AN640" s="2188"/>
      <c r="AO640" s="2188"/>
      <c r="AP640" s="2188"/>
      <c r="AQ640" s="2188"/>
      <c r="AR640" s="2188"/>
      <c r="AS640" s="2188"/>
      <c r="AT640" s="2188"/>
      <c r="AU640" s="2188"/>
      <c r="AV640" s="2188"/>
      <c r="AW640" s="2188"/>
      <c r="AX640" s="2188"/>
      <c r="AY640" s="2188"/>
      <c r="AZ640" s="2188"/>
      <c r="BA640" s="2188"/>
      <c r="BB640" s="2188"/>
      <c r="BC640" s="2188"/>
      <c r="BD640" s="2188"/>
      <c r="BE640" s="2188"/>
      <c r="BF640" s="2188"/>
      <c r="BG640" s="2188"/>
      <c r="BH640" s="2188"/>
      <c r="BI640" s="2188"/>
      <c r="BJ640" s="2188"/>
      <c r="BK640" s="2188"/>
      <c r="BL640" s="2188"/>
      <c r="BM640" s="2188"/>
      <c r="BN640" s="2188"/>
      <c r="BO640" s="2188"/>
      <c r="BP640" s="2188"/>
      <c r="BQ640" s="2188"/>
      <c r="BR640" s="2188"/>
      <c r="BS640" s="2188"/>
      <c r="BT640" s="2188"/>
      <c r="BU640" s="2188"/>
      <c r="BV640" s="2188"/>
      <c r="BW640" s="2188"/>
      <c r="BX640" s="2188"/>
      <c r="BY640" s="2188"/>
      <c r="BZ640" s="2188"/>
      <c r="CA640" s="2188"/>
      <c r="CB640" s="2188"/>
      <c r="CC640" s="2188"/>
      <c r="CD640" s="2185"/>
      <c r="CE640" s="2185"/>
      <c r="CF640" s="2185"/>
      <c r="CG640" s="2185"/>
      <c r="CH640" s="2185"/>
      <c r="CI640" s="2185"/>
      <c r="CJ640" s="2185"/>
      <c r="CK640" s="2185"/>
      <c r="CL640" s="2185"/>
      <c r="CM640" s="2185"/>
      <c r="CN640" s="2185"/>
      <c r="CO640" s="2185"/>
      <c r="CP640" s="2185"/>
      <c r="CQ640" s="2185"/>
      <c r="CR640" s="2185"/>
      <c r="CS640" s="2185"/>
      <c r="CT640" s="2185"/>
      <c r="CU640" s="2185"/>
      <c r="CV640" s="2185"/>
      <c r="CW640" s="2185"/>
      <c r="CX640" s="2185"/>
      <c r="CY640" s="2185"/>
      <c r="CZ640" s="2185"/>
      <c r="DA640" s="2185"/>
      <c r="DB640" s="2185"/>
      <c r="DC640" s="2185"/>
      <c r="DD640" s="2185"/>
      <c r="DE640" s="2185"/>
      <c r="DF640" s="2185"/>
      <c r="DG640" s="2185"/>
      <c r="DH640" s="2185"/>
      <c r="DI640" s="2185"/>
      <c r="DJ640" s="2185"/>
      <c r="DK640" s="2185"/>
      <c r="DL640" s="2185"/>
      <c r="DM640" s="2185"/>
      <c r="DN640" s="2185"/>
      <c r="DO640" s="2185"/>
      <c r="DP640" s="2185"/>
      <c r="DQ640" s="2185"/>
      <c r="DR640" s="2185"/>
      <c r="DS640" s="2185"/>
      <c r="DT640" s="2185"/>
      <c r="DU640" s="2185"/>
      <c r="DV640" s="2185"/>
      <c r="DW640" s="2185"/>
      <c r="DX640" s="2185"/>
      <c r="DY640" s="2185"/>
      <c r="DZ640" s="2185"/>
      <c r="EA640" s="2185"/>
      <c r="EB640" s="2185"/>
      <c r="EC640" s="2185"/>
      <c r="ED640" s="2185"/>
      <c r="EE640" s="2185"/>
      <c r="EF640" s="2185"/>
      <c r="EG640" s="2185"/>
      <c r="EH640" s="2185"/>
      <c r="EI640" s="2185"/>
      <c r="EJ640" s="2185"/>
      <c r="EK640" s="2185"/>
      <c r="EL640" s="2185"/>
      <c r="EM640" s="2185"/>
      <c r="EN640" s="2185"/>
      <c r="EO640" s="2185"/>
      <c r="EP640" s="2185"/>
      <c r="EQ640" s="2185"/>
      <c r="ER640" s="2185"/>
      <c r="ES640" s="2185"/>
      <c r="ET640" s="2185"/>
      <c r="EU640" s="2185"/>
      <c r="EV640" s="780"/>
      <c r="EW640" s="780"/>
      <c r="EX640" s="780"/>
      <c r="EY640" s="780"/>
      <c r="EZ640" s="780"/>
      <c r="FA640" s="780"/>
      <c r="FB640" s="780"/>
      <c r="FC640" s="780"/>
      <c r="FD640" s="780"/>
      <c r="FE640" s="780"/>
      <c r="FF640" s="780"/>
      <c r="FG640" s="780"/>
      <c r="FH640" s="780"/>
      <c r="FI640" s="780"/>
      <c r="FJ640" s="780"/>
      <c r="FK640" s="780"/>
      <c r="FL640" s="780"/>
      <c r="FM640" s="780"/>
      <c r="FN640" s="780"/>
      <c r="FO640" s="780"/>
      <c r="FP640" s="780"/>
      <c r="FQ640" s="780"/>
      <c r="FR640" s="780"/>
      <c r="FS640" s="780"/>
      <c r="FT640" s="780"/>
      <c r="FU640" s="780"/>
      <c r="FV640" s="780"/>
      <c r="FW640" s="780"/>
      <c r="FX640" s="780"/>
      <c r="FY640" s="780"/>
      <c r="FZ640" s="780"/>
      <c r="GA640" s="780"/>
      <c r="GB640" s="780"/>
      <c r="GC640" s="780"/>
      <c r="GD640" s="780"/>
      <c r="GE640" s="780"/>
      <c r="GF640" s="780"/>
      <c r="GG640" s="780"/>
      <c r="GH640" s="780"/>
      <c r="GI640" s="780"/>
      <c r="GO640" s="2185"/>
      <c r="GP640" s="2185"/>
      <c r="GQ640" s="2185"/>
      <c r="GR640" s="2185"/>
      <c r="GS640" s="2185"/>
      <c r="GT640" s="2185"/>
      <c r="GU640" s="2185"/>
      <c r="GV640" s="2185"/>
      <c r="GW640" s="2185"/>
      <c r="GX640" s="2185"/>
      <c r="GY640" s="2185"/>
      <c r="GZ640" s="2185"/>
      <c r="HA640" s="2185"/>
      <c r="HB640" s="2185"/>
      <c r="HC640" s="2185"/>
      <c r="HD640" s="2185"/>
      <c r="HE640" s="2185"/>
      <c r="HF640" s="2185"/>
      <c r="HG640" s="2185"/>
      <c r="HH640" s="2185"/>
      <c r="HI640" s="2185"/>
      <c r="HJ640" s="2185"/>
      <c r="HK640" s="2185"/>
      <c r="HL640" s="2185"/>
      <c r="HM640" s="2185"/>
    </row>
    <row r="641" spans="1:221" s="583" customFormat="1" ht="13.9" customHeight="1">
      <c r="A641" s="2187" t="str">
        <f>IF(A682&gt;0,"Finish!","")</f>
        <v/>
      </c>
      <c r="B641" s="586"/>
      <c r="D641" s="586"/>
      <c r="J641" s="890" t="s">
        <v>2560</v>
      </c>
      <c r="N641" s="604"/>
      <c r="O641" s="604"/>
      <c r="P641" s="604"/>
      <c r="Q641" s="604"/>
      <c r="R641" s="605"/>
      <c r="S641" s="606" t="s">
        <v>2916</v>
      </c>
      <c r="T641" s="604"/>
      <c r="V641" s="2188"/>
      <c r="W641" s="2188"/>
      <c r="X641" s="2188"/>
      <c r="Y641" s="2188"/>
      <c r="Z641" s="2188"/>
      <c r="AA641" s="2188"/>
      <c r="AB641" s="2188"/>
      <c r="AC641" s="2188"/>
      <c r="AD641" s="2188"/>
      <c r="AE641" s="2188"/>
      <c r="AF641" s="2188"/>
      <c r="AG641" s="2188"/>
      <c r="AH641" s="2188"/>
      <c r="AI641" s="2188"/>
      <c r="AJ641" s="2188"/>
      <c r="AK641" s="2188"/>
      <c r="AL641" s="2188"/>
      <c r="AM641" s="2188"/>
      <c r="AN641" s="2188"/>
      <c r="AO641" s="2188"/>
      <c r="AP641" s="2188"/>
      <c r="AQ641" s="2188"/>
      <c r="AR641" s="2188"/>
      <c r="AS641" s="2188"/>
      <c r="AT641" s="2188"/>
      <c r="AU641" s="2188"/>
      <c r="AV641" s="2188"/>
      <c r="AW641" s="2188"/>
      <c r="AX641" s="2188"/>
      <c r="AY641" s="2188"/>
      <c r="AZ641" s="2188"/>
      <c r="BA641" s="2188"/>
      <c r="BB641" s="2188"/>
      <c r="BC641" s="2188"/>
      <c r="BD641" s="2188"/>
      <c r="BE641" s="2188"/>
      <c r="BF641" s="2188"/>
      <c r="BG641" s="2188"/>
      <c r="BH641" s="2188"/>
      <c r="BI641" s="2188"/>
      <c r="BJ641" s="2188"/>
      <c r="BK641" s="2188"/>
      <c r="BL641" s="2188"/>
      <c r="BM641" s="2188"/>
      <c r="BN641" s="2188"/>
      <c r="BO641" s="2188"/>
      <c r="BP641" s="2188"/>
      <c r="BQ641" s="2188"/>
      <c r="BR641" s="2188"/>
      <c r="BS641" s="2188"/>
      <c r="BT641" s="2188"/>
      <c r="BU641" s="2188"/>
      <c r="BV641" s="2188"/>
      <c r="BW641" s="2188"/>
      <c r="BX641" s="2188"/>
      <c r="BY641" s="2188"/>
      <c r="BZ641" s="2188"/>
      <c r="CA641" s="2188"/>
      <c r="CB641" s="2188"/>
      <c r="CC641" s="2188"/>
      <c r="CD641" s="2185"/>
      <c r="CE641" s="2185"/>
      <c r="CF641" s="2185"/>
      <c r="CG641" s="2185"/>
      <c r="CH641" s="2185"/>
      <c r="CI641" s="2185"/>
      <c r="CJ641" s="2185"/>
      <c r="CK641" s="2185"/>
      <c r="CL641" s="2185"/>
      <c r="CM641" s="2185"/>
      <c r="CN641" s="2185"/>
      <c r="CO641" s="2185"/>
      <c r="CP641" s="2185"/>
      <c r="CQ641" s="2185"/>
      <c r="CR641" s="2185"/>
      <c r="CS641" s="2185"/>
      <c r="CT641" s="2185"/>
      <c r="CU641" s="2185"/>
      <c r="CV641" s="2185"/>
      <c r="CW641" s="2185"/>
      <c r="CX641" s="2185"/>
      <c r="CY641" s="2185"/>
      <c r="CZ641" s="2185"/>
      <c r="DA641" s="2185"/>
      <c r="DB641" s="2185"/>
      <c r="DC641" s="2185"/>
      <c r="DD641" s="2185"/>
      <c r="DE641" s="2185"/>
      <c r="DF641" s="2185"/>
      <c r="DG641" s="2185"/>
      <c r="DH641" s="2185"/>
      <c r="DI641" s="2185"/>
      <c r="DJ641" s="2185"/>
      <c r="DK641" s="2185"/>
      <c r="DL641" s="2185"/>
      <c r="DM641" s="2185"/>
      <c r="DN641" s="2185"/>
      <c r="DO641" s="2185"/>
      <c r="DP641" s="2185"/>
      <c r="DQ641" s="2185"/>
      <c r="DR641" s="2185"/>
      <c r="DS641" s="2185"/>
      <c r="DT641" s="2185"/>
      <c r="DU641" s="2185"/>
      <c r="DV641" s="2185"/>
      <c r="DW641" s="2185"/>
      <c r="DX641" s="2185"/>
      <c r="DY641" s="2185"/>
      <c r="DZ641" s="2185"/>
      <c r="EA641" s="2185"/>
      <c r="EB641" s="2185"/>
      <c r="EC641" s="2185"/>
      <c r="ED641" s="2185"/>
      <c r="EE641" s="2185"/>
      <c r="EF641" s="2185"/>
      <c r="EG641" s="2185"/>
      <c r="EH641" s="2185"/>
      <c r="EI641" s="2185"/>
      <c r="EJ641" s="2185"/>
      <c r="EK641" s="2185"/>
      <c r="EL641" s="2185"/>
      <c r="EM641" s="2185"/>
      <c r="EN641" s="2185"/>
      <c r="EO641" s="2185"/>
      <c r="EP641" s="2185"/>
      <c r="EQ641" s="2185"/>
      <c r="ER641" s="2185"/>
      <c r="ES641" s="2185"/>
      <c r="ET641" s="2185"/>
      <c r="EU641" s="2185"/>
      <c r="EV641" s="780"/>
      <c r="EW641" s="780"/>
      <c r="EX641" s="780"/>
      <c r="EY641" s="780"/>
      <c r="EZ641" s="780"/>
      <c r="FA641" s="780"/>
      <c r="FB641" s="780"/>
      <c r="FC641" s="780"/>
      <c r="FD641" s="780"/>
      <c r="FE641" s="780"/>
      <c r="FF641" s="780"/>
      <c r="FG641" s="780"/>
      <c r="FH641" s="780"/>
      <c r="FI641" s="780"/>
      <c r="FJ641" s="780"/>
      <c r="FK641" s="780"/>
      <c r="FL641" s="780"/>
      <c r="FM641" s="780"/>
      <c r="FN641" s="780"/>
      <c r="FO641" s="780"/>
      <c r="FP641" s="780"/>
      <c r="FQ641" s="780"/>
      <c r="FR641" s="780"/>
      <c r="FS641" s="780"/>
      <c r="FT641" s="780"/>
      <c r="FU641" s="780"/>
      <c r="FV641" s="780"/>
      <c r="FW641" s="780"/>
      <c r="FX641" s="780"/>
      <c r="FY641" s="780"/>
      <c r="FZ641" s="780"/>
      <c r="GA641" s="780"/>
      <c r="GB641" s="780"/>
      <c r="GC641" s="780"/>
      <c r="GD641" s="780"/>
      <c r="GE641" s="780"/>
      <c r="GF641" s="780"/>
      <c r="GG641" s="780"/>
      <c r="GH641" s="780"/>
      <c r="GI641" s="780"/>
      <c r="GO641" s="2185"/>
      <c r="GP641" s="2185"/>
      <c r="GQ641" s="2185"/>
      <c r="GR641" s="2185"/>
      <c r="GS641" s="2185"/>
      <c r="GT641" s="2185"/>
      <c r="GU641" s="2185"/>
      <c r="GV641" s="2185"/>
      <c r="GW641" s="2185"/>
      <c r="GX641" s="2185"/>
      <c r="GY641" s="2185"/>
      <c r="GZ641" s="2185"/>
      <c r="HA641" s="2185"/>
      <c r="HB641" s="2185"/>
      <c r="HC641" s="2185"/>
      <c r="HD641" s="2185"/>
      <c r="HE641" s="2185"/>
      <c r="HF641" s="2185"/>
      <c r="HG641" s="2185"/>
      <c r="HH641" s="2185"/>
      <c r="HI641" s="2185"/>
      <c r="HJ641" s="2185"/>
      <c r="HK641" s="2185"/>
      <c r="HL641" s="2185"/>
      <c r="HM641" s="2185"/>
    </row>
    <row r="642" spans="1:221" s="781" customFormat="1" ht="13.9" customHeight="1">
      <c r="A642" s="2187"/>
      <c r="B642" s="891" t="s">
        <v>1569</v>
      </c>
      <c r="C642" s="890" t="s">
        <v>179</v>
      </c>
      <c r="D642" s="890" t="s">
        <v>573</v>
      </c>
      <c r="E642" s="890" t="s">
        <v>1567</v>
      </c>
      <c r="F642" s="890" t="s">
        <v>1567</v>
      </c>
      <c r="G642" s="890" t="s">
        <v>2537</v>
      </c>
      <c r="H642" s="890" t="s">
        <v>2535</v>
      </c>
      <c r="I642" s="890" t="s">
        <v>846</v>
      </c>
      <c r="J642" s="890" t="s">
        <v>3393</v>
      </c>
      <c r="K642" s="2137" t="s">
        <v>148</v>
      </c>
      <c r="L642" s="2137"/>
      <c r="M642" s="890" t="s">
        <v>2513</v>
      </c>
      <c r="N642" s="890" t="s">
        <v>560</v>
      </c>
      <c r="O642" s="890" t="s">
        <v>402</v>
      </c>
      <c r="P642" s="2137" t="s">
        <v>1098</v>
      </c>
      <c r="Q642" s="2137"/>
      <c r="R642" s="890" t="s">
        <v>2915</v>
      </c>
      <c r="S642" s="890" t="s">
        <v>2917</v>
      </c>
      <c r="T642" s="890"/>
      <c r="V642" s="2188"/>
      <c r="W642" s="2188"/>
      <c r="X642" s="2188"/>
      <c r="Y642" s="2188"/>
      <c r="Z642" s="2188"/>
      <c r="AA642" s="2188"/>
      <c r="AB642" s="2188"/>
      <c r="AC642" s="2188"/>
      <c r="AD642" s="2188"/>
      <c r="AE642" s="2188"/>
      <c r="AF642" s="2188"/>
      <c r="AG642" s="2188"/>
      <c r="AH642" s="2188"/>
      <c r="AI642" s="2188"/>
      <c r="AJ642" s="2188"/>
      <c r="AK642" s="2188"/>
      <c r="AL642" s="2188"/>
      <c r="AM642" s="2188"/>
      <c r="AN642" s="2188"/>
      <c r="AO642" s="2188"/>
      <c r="AP642" s="2188"/>
      <c r="AQ642" s="2188"/>
      <c r="AR642" s="2188"/>
      <c r="AS642" s="2188"/>
      <c r="AT642" s="2188"/>
      <c r="AU642" s="2188"/>
      <c r="AV642" s="2188"/>
      <c r="AW642" s="2188"/>
      <c r="AX642" s="2188"/>
      <c r="AY642" s="2188"/>
      <c r="AZ642" s="2188"/>
      <c r="BA642" s="2188"/>
      <c r="BB642" s="2188"/>
      <c r="BC642" s="2188"/>
      <c r="BD642" s="2188"/>
      <c r="BE642" s="2188"/>
      <c r="BF642" s="2188"/>
      <c r="BG642" s="2188"/>
      <c r="BH642" s="2188"/>
      <c r="BI642" s="2188"/>
      <c r="BJ642" s="2188"/>
      <c r="BK642" s="2188"/>
      <c r="BL642" s="2188"/>
      <c r="BM642" s="2188"/>
      <c r="BN642" s="2188"/>
      <c r="BO642" s="2188"/>
      <c r="BP642" s="2188"/>
      <c r="BQ642" s="2188"/>
      <c r="BR642" s="2188"/>
      <c r="BS642" s="2188"/>
      <c r="BT642" s="2188"/>
      <c r="BU642" s="2188"/>
      <c r="BV642" s="2188"/>
      <c r="BW642" s="2188"/>
      <c r="BX642" s="2188"/>
      <c r="BY642" s="2188"/>
      <c r="BZ642" s="2188"/>
      <c r="CA642" s="2188"/>
      <c r="CB642" s="2188"/>
      <c r="CC642" s="2188"/>
      <c r="CD642" s="2185"/>
      <c r="CE642" s="2185"/>
      <c r="CF642" s="2185"/>
      <c r="CG642" s="2185"/>
      <c r="CH642" s="2185"/>
      <c r="CI642" s="2185"/>
      <c r="CJ642" s="2185"/>
      <c r="CK642" s="2185"/>
      <c r="CL642" s="2185"/>
      <c r="CM642" s="2185"/>
      <c r="CN642" s="2185"/>
      <c r="CO642" s="2185"/>
      <c r="CP642" s="2185"/>
      <c r="CQ642" s="2185"/>
      <c r="CR642" s="2185"/>
      <c r="CS642" s="2185"/>
      <c r="CT642" s="2185"/>
      <c r="CU642" s="2185"/>
      <c r="CV642" s="2185"/>
      <c r="CW642" s="2185"/>
      <c r="CX642" s="2185"/>
      <c r="CY642" s="2185"/>
      <c r="CZ642" s="2185"/>
      <c r="DA642" s="2185"/>
      <c r="DB642" s="2185"/>
      <c r="DC642" s="2185"/>
      <c r="DD642" s="2185"/>
      <c r="DE642" s="2185"/>
      <c r="DF642" s="2185"/>
      <c r="DG642" s="2185"/>
      <c r="DH642" s="2185"/>
      <c r="DI642" s="2185"/>
      <c r="DJ642" s="2185"/>
      <c r="DK642" s="2185"/>
      <c r="DL642" s="2185"/>
      <c r="DM642" s="2185"/>
      <c r="DN642" s="2185"/>
      <c r="DO642" s="2185"/>
      <c r="DP642" s="2185"/>
      <c r="DQ642" s="2185"/>
      <c r="DR642" s="2185"/>
      <c r="DS642" s="2185"/>
      <c r="DT642" s="2185"/>
      <c r="DU642" s="2185"/>
      <c r="DV642" s="2185"/>
      <c r="DW642" s="2185"/>
      <c r="DX642" s="2185"/>
      <c r="DY642" s="2185"/>
      <c r="DZ642" s="2185"/>
      <c r="EA642" s="2185"/>
      <c r="EB642" s="2185"/>
      <c r="EC642" s="2185"/>
      <c r="ED642" s="2185"/>
      <c r="EE642" s="2185"/>
      <c r="EF642" s="2185"/>
      <c r="EG642" s="2185"/>
      <c r="EH642" s="2185"/>
      <c r="EI642" s="2185"/>
      <c r="EJ642" s="2185"/>
      <c r="EK642" s="2185"/>
      <c r="EL642" s="2185"/>
      <c r="EM642" s="2185"/>
      <c r="EN642" s="2185"/>
      <c r="EO642" s="2185"/>
      <c r="EP642" s="2185"/>
      <c r="EQ642" s="2185"/>
      <c r="ER642" s="2185"/>
      <c r="ES642" s="2185"/>
      <c r="ET642" s="2185"/>
      <c r="EU642" s="2185"/>
      <c r="EV642" s="2185" t="s">
        <v>1551</v>
      </c>
      <c r="EW642" s="784" t="s">
        <v>2595</v>
      </c>
      <c r="EX642" s="784" t="s">
        <v>2596</v>
      </c>
      <c r="EY642" s="784" t="s">
        <v>2597</v>
      </c>
      <c r="EZ642" s="784" t="s">
        <v>2598</v>
      </c>
      <c r="FA642" s="2185" t="s">
        <v>2656</v>
      </c>
      <c r="FB642" s="2185" t="s">
        <v>2656</v>
      </c>
      <c r="FC642" s="2185" t="s">
        <v>2656</v>
      </c>
      <c r="FD642" s="2185" t="s">
        <v>2656</v>
      </c>
      <c r="FE642" s="2185" t="s">
        <v>2656</v>
      </c>
      <c r="FF642" s="784" t="s">
        <v>512</v>
      </c>
      <c r="FG642" s="784" t="s">
        <v>2595</v>
      </c>
      <c r="FH642" s="784" t="s">
        <v>2596</v>
      </c>
      <c r="FI642" s="784" t="s">
        <v>2597</v>
      </c>
      <c r="FJ642" s="784" t="s">
        <v>2598</v>
      </c>
      <c r="FK642" s="2185" t="s">
        <v>2658</v>
      </c>
      <c r="FL642" s="2185" t="s">
        <v>2658</v>
      </c>
      <c r="FM642" s="2185" t="s">
        <v>2658</v>
      </c>
      <c r="FN642" s="2185" t="s">
        <v>2658</v>
      </c>
      <c r="FO642" s="2185" t="s">
        <v>2658</v>
      </c>
      <c r="FP642" s="2185" t="s">
        <v>377</v>
      </c>
      <c r="FQ642" s="2185" t="s">
        <v>377</v>
      </c>
      <c r="FR642" s="2185" t="s">
        <v>377</v>
      </c>
      <c r="FS642" s="2185" t="s">
        <v>377</v>
      </c>
      <c r="FT642" s="2185" t="s">
        <v>377</v>
      </c>
      <c r="FU642" s="2185" t="s">
        <v>378</v>
      </c>
      <c r="FV642" s="2185" t="s">
        <v>378</v>
      </c>
      <c r="FW642" s="2185" t="s">
        <v>378</v>
      </c>
      <c r="FX642" s="2185" t="s">
        <v>378</v>
      </c>
      <c r="FY642" s="2185" t="s">
        <v>378</v>
      </c>
      <c r="FZ642" s="2185" t="s">
        <v>379</v>
      </c>
      <c r="GA642" s="2185" t="s">
        <v>379</v>
      </c>
      <c r="GB642" s="2185" t="s">
        <v>379</v>
      </c>
      <c r="GC642" s="2185" t="s">
        <v>379</v>
      </c>
      <c r="GD642" s="2185" t="s">
        <v>379</v>
      </c>
      <c r="GE642" s="2185" t="s">
        <v>380</v>
      </c>
      <c r="GF642" s="2185" t="s">
        <v>380</v>
      </c>
      <c r="GG642" s="2185" t="s">
        <v>380</v>
      </c>
      <c r="GH642" s="2185" t="s">
        <v>380</v>
      </c>
      <c r="GI642" s="2185" t="s">
        <v>380</v>
      </c>
      <c r="GJ642" s="2185" t="s">
        <v>1550</v>
      </c>
      <c r="GK642" s="2185" t="s">
        <v>1550</v>
      </c>
      <c r="GL642" s="2185" t="s">
        <v>1550</v>
      </c>
      <c r="GM642" s="2185" t="s">
        <v>1550</v>
      </c>
      <c r="GN642" s="2185" t="s">
        <v>1550</v>
      </c>
      <c r="GO642" s="2185"/>
      <c r="GP642" s="2185"/>
      <c r="GQ642" s="2185"/>
      <c r="GR642" s="2185"/>
      <c r="GS642" s="2185"/>
      <c r="GT642" s="2185"/>
      <c r="GU642" s="2185"/>
      <c r="GV642" s="2185"/>
      <c r="GW642" s="2185"/>
      <c r="GX642" s="2185"/>
      <c r="GY642" s="2185"/>
      <c r="GZ642" s="2185"/>
      <c r="HA642" s="2185"/>
      <c r="HB642" s="2185"/>
      <c r="HC642" s="2185"/>
      <c r="HD642" s="2185"/>
      <c r="HE642" s="2185"/>
      <c r="HF642" s="2185"/>
      <c r="HG642" s="2185"/>
      <c r="HH642" s="2185"/>
      <c r="HI642" s="2185"/>
      <c r="HJ642" s="2185"/>
      <c r="HK642" s="2185"/>
      <c r="HL642" s="2185"/>
      <c r="HM642" s="2185"/>
    </row>
    <row r="643" spans="1:221" s="781" customFormat="1" ht="13.9" customHeight="1">
      <c r="A643" s="2187"/>
      <c r="B643" s="891" t="s">
        <v>1376</v>
      </c>
      <c r="C643" s="890" t="s">
        <v>178</v>
      </c>
      <c r="D643" s="890" t="s">
        <v>180</v>
      </c>
      <c r="E643" s="890" t="s">
        <v>1568</v>
      </c>
      <c r="F643" s="890" t="s">
        <v>1353</v>
      </c>
      <c r="G643" s="890" t="s">
        <v>1354</v>
      </c>
      <c r="H643" s="890" t="s">
        <v>2536</v>
      </c>
      <c r="I643" s="890" t="s">
        <v>847</v>
      </c>
      <c r="J643" s="892" t="s">
        <v>368</v>
      </c>
      <c r="K643" s="890" t="s">
        <v>1628</v>
      </c>
      <c r="L643" s="890" t="s">
        <v>567</v>
      </c>
      <c r="M643" s="890" t="s">
        <v>1567</v>
      </c>
      <c r="N643" s="890" t="s">
        <v>1376</v>
      </c>
      <c r="O643" s="890" t="s">
        <v>403</v>
      </c>
      <c r="P643" s="890" t="s">
        <v>1096</v>
      </c>
      <c r="Q643" s="890" t="s">
        <v>1097</v>
      </c>
      <c r="R643" s="890" t="s">
        <v>1569</v>
      </c>
      <c r="S643" s="890" t="s">
        <v>2918</v>
      </c>
      <c r="T643" s="2183" t="s">
        <v>1966</v>
      </c>
      <c r="U643" s="2183"/>
      <c r="V643" s="2188"/>
      <c r="W643" s="2188"/>
      <c r="X643" s="2188"/>
      <c r="Y643" s="2188"/>
      <c r="Z643" s="2188"/>
      <c r="AA643" s="2188"/>
      <c r="AB643" s="2188"/>
      <c r="AC643" s="2188"/>
      <c r="AD643" s="2188"/>
      <c r="AE643" s="2188"/>
      <c r="AF643" s="2188"/>
      <c r="AG643" s="2188"/>
      <c r="AH643" s="2188"/>
      <c r="AI643" s="2188"/>
      <c r="AJ643" s="2188"/>
      <c r="AK643" s="2188"/>
      <c r="AL643" s="2188"/>
      <c r="AM643" s="2188"/>
      <c r="AN643" s="2188"/>
      <c r="AO643" s="2188"/>
      <c r="AP643" s="2188"/>
      <c r="AQ643" s="2188"/>
      <c r="AR643" s="2188"/>
      <c r="AS643" s="2188"/>
      <c r="AT643" s="2188"/>
      <c r="AU643" s="2188"/>
      <c r="AV643" s="2188"/>
      <c r="AW643" s="2188"/>
      <c r="AX643" s="2188"/>
      <c r="AY643" s="2188"/>
      <c r="AZ643" s="2188"/>
      <c r="BA643" s="2188"/>
      <c r="BB643" s="2188"/>
      <c r="BC643" s="2188"/>
      <c r="BD643" s="2188"/>
      <c r="BE643" s="2188"/>
      <c r="BF643" s="2188"/>
      <c r="BG643" s="2188"/>
      <c r="BH643" s="2188"/>
      <c r="BI643" s="2188"/>
      <c r="BJ643" s="2188"/>
      <c r="BK643" s="2188"/>
      <c r="BL643" s="2188"/>
      <c r="BM643" s="2188"/>
      <c r="BN643" s="2188"/>
      <c r="BO643" s="2188"/>
      <c r="BP643" s="2188"/>
      <c r="BQ643" s="2188"/>
      <c r="BR643" s="2188"/>
      <c r="BS643" s="2188"/>
      <c r="BT643" s="2188"/>
      <c r="BU643" s="2188"/>
      <c r="BV643" s="2188"/>
      <c r="BW643" s="2188"/>
      <c r="BX643" s="2188"/>
      <c r="BY643" s="2188"/>
      <c r="BZ643" s="2188"/>
      <c r="CA643" s="2188"/>
      <c r="CB643" s="2188"/>
      <c r="CC643" s="2188"/>
      <c r="CD643" s="2185"/>
      <c r="CE643" s="2185"/>
      <c r="CF643" s="2185"/>
      <c r="CG643" s="2185"/>
      <c r="CH643" s="2185"/>
      <c r="CI643" s="2185"/>
      <c r="CJ643" s="2185"/>
      <c r="CK643" s="2185"/>
      <c r="CL643" s="2185"/>
      <c r="CM643" s="2185"/>
      <c r="CN643" s="2185"/>
      <c r="CO643" s="2185"/>
      <c r="CP643" s="2185"/>
      <c r="CQ643" s="2185"/>
      <c r="CR643" s="2185"/>
      <c r="CS643" s="2185"/>
      <c r="CT643" s="2185"/>
      <c r="CU643" s="2185"/>
      <c r="CV643" s="2185"/>
      <c r="CW643" s="2185"/>
      <c r="CX643" s="2185"/>
      <c r="CY643" s="2185"/>
      <c r="CZ643" s="2185"/>
      <c r="DA643" s="2185"/>
      <c r="DB643" s="2185"/>
      <c r="DC643" s="2185"/>
      <c r="DD643" s="2185"/>
      <c r="DE643" s="2185"/>
      <c r="DF643" s="2185"/>
      <c r="DG643" s="2185"/>
      <c r="DH643" s="2185"/>
      <c r="DI643" s="2185"/>
      <c r="DJ643" s="2185"/>
      <c r="DK643" s="2185"/>
      <c r="DL643" s="2185"/>
      <c r="DM643" s="2185"/>
      <c r="DN643" s="2185"/>
      <c r="DO643" s="2185"/>
      <c r="DP643" s="2185"/>
      <c r="DQ643" s="2185"/>
      <c r="DR643" s="2185"/>
      <c r="DS643" s="2185"/>
      <c r="DT643" s="2185"/>
      <c r="DU643" s="2185"/>
      <c r="DV643" s="2185"/>
      <c r="DW643" s="2185"/>
      <c r="DX643" s="2185"/>
      <c r="DY643" s="2185"/>
      <c r="DZ643" s="2185"/>
      <c r="EA643" s="2185"/>
      <c r="EB643" s="2185"/>
      <c r="EC643" s="2185"/>
      <c r="ED643" s="2185"/>
      <c r="EE643" s="2185"/>
      <c r="EF643" s="2185"/>
      <c r="EG643" s="2185"/>
      <c r="EH643" s="2185"/>
      <c r="EI643" s="2185"/>
      <c r="EJ643" s="2185"/>
      <c r="EK643" s="2185"/>
      <c r="EL643" s="2185"/>
      <c r="EM643" s="2185"/>
      <c r="EN643" s="2185"/>
      <c r="EO643" s="2185"/>
      <c r="EP643" s="2185"/>
      <c r="EQ643" s="2185"/>
      <c r="ER643" s="2185"/>
      <c r="ES643" s="2185"/>
      <c r="ET643" s="2185"/>
      <c r="EU643" s="2185"/>
      <c r="EV643" s="2185"/>
      <c r="EW643" s="784" t="s">
        <v>2655</v>
      </c>
      <c r="EX643" s="784" t="s">
        <v>2655</v>
      </c>
      <c r="EY643" s="784" t="s">
        <v>2655</v>
      </c>
      <c r="EZ643" s="784" t="s">
        <v>2655</v>
      </c>
      <c r="FA643" s="2185"/>
      <c r="FB643" s="2185"/>
      <c r="FC643" s="2185"/>
      <c r="FD643" s="2185"/>
      <c r="FE643" s="2185"/>
      <c r="FF643" s="784" t="s">
        <v>2657</v>
      </c>
      <c r="FG643" s="784" t="s">
        <v>2657</v>
      </c>
      <c r="FH643" s="784" t="s">
        <v>2657</v>
      </c>
      <c r="FI643" s="784" t="s">
        <v>2657</v>
      </c>
      <c r="FJ643" s="784" t="s">
        <v>2657</v>
      </c>
      <c r="FK643" s="2185"/>
      <c r="FL643" s="2185"/>
      <c r="FM643" s="2185"/>
      <c r="FN643" s="2185"/>
      <c r="FO643" s="2185"/>
      <c r="FP643" s="2185"/>
      <c r="FQ643" s="2185"/>
      <c r="FR643" s="2185"/>
      <c r="FS643" s="2185"/>
      <c r="FT643" s="2185"/>
      <c r="FU643" s="2185"/>
      <c r="FV643" s="2185"/>
      <c r="FW643" s="2185"/>
      <c r="FX643" s="2185"/>
      <c r="FY643" s="2185"/>
      <c r="FZ643" s="2185"/>
      <c r="GA643" s="2185"/>
      <c r="GB643" s="2185"/>
      <c r="GC643" s="2185"/>
      <c r="GD643" s="2185"/>
      <c r="GE643" s="2185"/>
      <c r="GF643" s="2185"/>
      <c r="GG643" s="2185"/>
      <c r="GH643" s="2185"/>
      <c r="GI643" s="2185"/>
      <c r="GJ643" s="2185"/>
      <c r="GK643" s="2185"/>
      <c r="GL643" s="2185"/>
      <c r="GM643" s="2185"/>
      <c r="GN643" s="2185"/>
      <c r="GO643" s="2185"/>
      <c r="GP643" s="2185"/>
      <c r="GQ643" s="2185"/>
      <c r="GR643" s="2185"/>
      <c r="GS643" s="2185"/>
      <c r="GT643" s="2185"/>
      <c r="GU643" s="2185"/>
      <c r="GV643" s="2185"/>
      <c r="GW643" s="2185"/>
      <c r="GX643" s="2185"/>
      <c r="GY643" s="2185"/>
      <c r="GZ643" s="2185"/>
      <c r="HA643" s="2185"/>
      <c r="HB643" s="2185"/>
      <c r="HC643" s="2185"/>
      <c r="HD643" s="2185"/>
      <c r="HE643" s="2185"/>
      <c r="HF643" s="2185"/>
      <c r="HG643" s="2185"/>
      <c r="HH643" s="2185"/>
      <c r="HI643" s="2185"/>
      <c r="HJ643" s="2185"/>
      <c r="HK643" s="2185"/>
      <c r="HL643" s="2185"/>
      <c r="HM643" s="2185"/>
    </row>
    <row r="644" spans="1:221" ht="13.15" customHeight="1">
      <c r="A644" s="888" t="str">
        <f>IF(AND(E644&gt;0,OR(B644="",C644="",D644="",F644="",G644="", H644="",M644="",N644="",O644="")),1,"")</f>
        <v/>
      </c>
      <c r="B644" s="1054" t="str">
        <f>'Part VI-Revenues &amp; Expenses'!B10</f>
        <v>50% AMI</v>
      </c>
      <c r="C644" s="1055">
        <f>'Part VI-Revenues &amp; Expenses'!C10</f>
        <v>1</v>
      </c>
      <c r="D644" s="1056">
        <f>'Part VI-Revenues &amp; Expenses'!D10</f>
        <v>1</v>
      </c>
      <c r="E644" s="1057">
        <f>'Part VI-Revenues &amp; Expenses'!E10</f>
        <v>13</v>
      </c>
      <c r="F644" s="1057">
        <f>'Part VI-Revenues &amp; Expenses'!F10</f>
        <v>650</v>
      </c>
      <c r="G644" s="1057">
        <f>'Part VI-Revenues &amp; Expenses'!G10</f>
        <v>491</v>
      </c>
      <c r="H644" s="1057">
        <f>'Part VI-Revenues &amp; Expenses'!H10</f>
        <v>491</v>
      </c>
      <c r="I644" s="1057">
        <f>'Part VI-Revenues &amp; Expenses'!I10</f>
        <v>128</v>
      </c>
      <c r="J644" s="818">
        <f>'Part VI-Revenues &amp; Expenses'!J10</f>
        <v>0</v>
      </c>
      <c r="K644" s="893">
        <f>MAX(0,H644-I644)</f>
        <v>363</v>
      </c>
      <c r="L644" s="893">
        <f t="shared" ref="L644:L681" si="0">MAX(0,E644*K644)</f>
        <v>4719</v>
      </c>
      <c r="M644" s="783" t="str">
        <f>'Part VI-Revenues &amp; Expenses'!M10</f>
        <v>No</v>
      </c>
      <c r="N644" s="783" t="str">
        <f>'Part VI-Revenues &amp; Expenses'!N10</f>
        <v>3+ Story</v>
      </c>
      <c r="O644" s="783" t="str">
        <f>'Part VI-Revenues &amp; Expenses'!O10</f>
        <v>New Construction</v>
      </c>
      <c r="P644" s="894">
        <f>IF(H644="","",H644*12/0.3)</f>
        <v>19640</v>
      </c>
      <c r="Q644" s="895">
        <f>'Part VI-Revenues &amp; Expenses'!Q10</f>
        <v>0.50070108349267051</v>
      </c>
      <c r="R644" s="894"/>
      <c r="S644" s="895"/>
      <c r="T644" s="2130"/>
      <c r="U644" s="2130"/>
      <c r="V644" s="580" t="str">
        <f t="shared" ref="V644:V681" si="1">IF(AND(C644="Efficiency",B644="60% AMI",NOT(M644="Common")),E644,"")</f>
        <v/>
      </c>
      <c r="W644" s="580" t="str">
        <f t="shared" ref="W644:W681" si="2">IF(AND(C644=1,B644="60% AMI",NOT(M644="Common")),E644,"")</f>
        <v/>
      </c>
      <c r="X644" s="580" t="str">
        <f t="shared" ref="X644:X681" si="3">IF(AND(C644=2,B644="60% AMI",NOT(M644="Common")),E644,"")</f>
        <v/>
      </c>
      <c r="Y644" s="580" t="str">
        <f t="shared" ref="Y644:Y681" si="4">IF(AND(C644=3,B644="60% AMI",NOT(M644="Common")),E644,"")</f>
        <v/>
      </c>
      <c r="Z644" s="580" t="str">
        <f t="shared" ref="Z644:Z681" si="5">IF(AND(C644=4,B644="60% AMI",NOT(M644="Common")),E644,"")</f>
        <v/>
      </c>
      <c r="AA644" s="580" t="str">
        <f t="shared" ref="AA644:AA681" si="6">IF(AND(C644="Efficiency",B644="50% AMI",NOT(M644="Common")),E644,"")</f>
        <v/>
      </c>
      <c r="AB644" s="580">
        <f t="shared" ref="AB644:AB681" si="7">IF(AND(C644=1,B644="50% AMI",NOT(M644="Common")),E644,"")</f>
        <v>13</v>
      </c>
      <c r="AC644" s="580" t="str">
        <f t="shared" ref="AC644:AC681" si="8">IF(AND(C644=2,B644="50% AMI",NOT(M644="Common")),E644,"")</f>
        <v/>
      </c>
      <c r="AD644" s="580" t="str">
        <f t="shared" ref="AD644:AD681" si="9">IF(AND(C644=3,B644="50% AMI",NOT(M644="Common")),E644,"")</f>
        <v/>
      </c>
      <c r="AE644" s="580" t="str">
        <f t="shared" ref="AE644:AE681" si="10">IF(AND(C644=4,B644="50% AMI",NOT(M644="Common")),E644,"")</f>
        <v/>
      </c>
      <c r="AF644" s="580" t="str">
        <f t="shared" ref="AF644:AF681" si="11">IF(AND(C644="Efficiency",B644="30% AMI",NOT(M644="Common")),E644,"")</f>
        <v/>
      </c>
      <c r="AG644" s="580" t="str">
        <f t="shared" ref="AG644:AG681" si="12">IF(AND(C644=1,B644="30% AMI",NOT(M644="Common")),E644,"")</f>
        <v/>
      </c>
      <c r="AH644" s="580" t="str">
        <f t="shared" ref="AH644:AH681" si="13">IF(AND(C644=2,B644="30% AMI",NOT(M644="Common")),E644,"")</f>
        <v/>
      </c>
      <c r="AI644" s="580" t="str">
        <f t="shared" ref="AI644:AI681" si="14">IF(AND(C644=3,B644="30% AMI",NOT(M644="Common")),E644,"")</f>
        <v/>
      </c>
      <c r="AJ644" s="580" t="str">
        <f t="shared" ref="AJ644:AJ681" si="15">IF(AND(C644=4,B644="30% AMI",NOT(M644="Common")),E644,"")</f>
        <v/>
      </c>
      <c r="AK644" s="580" t="str">
        <f t="shared" ref="AK644:AK681" si="16">IF(AND(C644="Efficiency",B644="Unrestricted",NOT(M644="Common")),E644,"")</f>
        <v/>
      </c>
      <c r="AL644" s="580" t="str">
        <f t="shared" ref="AL644:AL681" si="17">IF(AND(C644=1,B644="Unrestricted",NOT(M644="Common")),E644,"")</f>
        <v/>
      </c>
      <c r="AM644" s="580" t="str">
        <f t="shared" ref="AM644:AM681" si="18">IF(AND(C644=2,B644="Unrestricted",NOT(M644="Common")),E644,"")</f>
        <v/>
      </c>
      <c r="AN644" s="580" t="str">
        <f t="shared" ref="AN644:AN681" si="19">IF(AND(C644=3,B644="Unrestricted",NOT(M644="Common")),E644,"")</f>
        <v/>
      </c>
      <c r="AO644" s="580" t="str">
        <f t="shared" ref="AO644:AO681" si="20">IF(AND(C644=4,B644="Unrestricted",NOT(M644="Common")),E644,"")</f>
        <v/>
      </c>
      <c r="AP644" s="580" t="str">
        <f>IF(OR(AND($C644="Efficiency",NOT($J644=""),NOT($J644="PHA Oper Sub"),$B644="30% AMI",NOT($M644="Common")),AND($C644="Efficiency",NOT($J644=""),NOT($J644="PHA Oper Sub"),$B644="HOME 30% AMI",NOT($M644="Common"))),$E644,"")</f>
        <v/>
      </c>
      <c r="AQ644" s="580" t="str">
        <f>IF(OR(AND($C644=1,NOT($J644=""),NOT($J644="PHA Oper Sub"),$B644="30% AMI",NOT($M644="Common")),AND($C644=1,NOT($J644=""),NOT($J644="PHA Oper Sub"),$B644="HOME 30% AMI",NOT($M644="Common"))),$E644,"")</f>
        <v/>
      </c>
      <c r="AR644" s="580" t="str">
        <f>IF(OR(AND($C644=2,NOT($J644=""),NOT($J644="PHA Oper Sub"),$B644="30% AMI",NOT($M644="Common")),AND($C644=2,NOT($J644=""),NOT($J644="PHA Oper Sub"),$B644="HOME 30% AMI",NOT($M644="Common"))),$E644,"")</f>
        <v/>
      </c>
      <c r="AS644" s="580" t="str">
        <f>IF(OR(AND($C644=3,NOT($J644=""),NOT($J644="PHA Oper Sub"),$B644="30% AMI",NOT($M644="Common")),AND($C644=3,NOT($J644=""),NOT($J644="PHA Oper Sub"),$B644="HOME 30% AMI",NOT($M644="Common"))),$E644,"")</f>
        <v/>
      </c>
      <c r="AT644" s="580" t="str">
        <f>IF(OR(AND($C644=4,NOT($J644=""),NOT($J644="PHA Oper Sub"),$B644="30% AMI",NOT($M644="Common")),AND($C644=4,NOT($J644=""),NOT($J644="PHA Oper Sub"),$B644="HOME 30% AMI",NOT($M644="Common"))),$E644,"")</f>
        <v/>
      </c>
      <c r="AU644" s="580" t="str">
        <f>IF(OR(AND($C644="Efficiency",NOT($J644=""),NOT($J644="PHA Oper Sub"),NOT($J644=0),$B644="50% AMI",NOT($M644="Common")),AND($C644="Efficiency",NOT($J644=""),NOT($J644=0),NOT($J644="PHA Oper Sub"),$B644="HOME 50% AMI",NOT($M644="Common"))),$E644,"")</f>
        <v/>
      </c>
      <c r="AV644" s="580" t="str">
        <f>IF(OR(AND($C644=1,NOT($J644=""),NOT($J644=0),NOT($J644="PHA Oper Sub"),$B644="50% AMI",NOT($M644="Common")),AND($C644=1,NOT($J644=""),NOT($J644=0),NOT($J644="PHA Oper Sub"),$B644="HOME 50% AMI",NOT($M644="Common"))),$E644,"")</f>
        <v/>
      </c>
      <c r="AW644" s="580" t="str">
        <f>IF(OR(AND($C644=2,NOT($J644=""),NOT($J644=0),NOT($J644="PHA Oper Sub"),$B644="50% AMI",NOT($M644="Common")),AND($C644=2,NOT($J644=""),NOT($J644=0),NOT($J644="PHA Oper Sub"),$B644="HOME 50% AMI",NOT($M644="Common"))),$E644,"")</f>
        <v/>
      </c>
      <c r="AX644" s="580" t="str">
        <f>IF(OR(AND($C644=3,NOT($J644=""),NOT($J644=0),NOT($J644="PHA Oper Sub"),$B644="50% AMI",NOT($M644="Common")),AND($C644=3,NOT($J644=""),NOT($J644=0),NOT($J644="PHA Oper Sub"),$B644="HOME 50% AMI",NOT($M644="Common"))),$E644,"")</f>
        <v/>
      </c>
      <c r="AY644" s="580" t="str">
        <f>IF(OR(AND($C644=4,NOT($J644=""),NOT($J644=0),NOT($J644="PHA Oper Sub"),$B644="50% AMI",NOT($M644="Common")),AND($C644=4,NOT($J644=""),NOT($J644=0),NOT($J644="PHA Oper Sub"),$B644="HOME 50% AMI",NOT($M644="Common"))),$E644,"")</f>
        <v/>
      </c>
      <c r="AZ644" s="580" t="str">
        <f>IF(OR(AND($C644="Efficiency",NOT($J644=""),NOT($J644=0),NOT($J644="PHA Oper Sub"),$B644="60% AMI",NOT($M644="Common")),AND($C644="Efficiency",NOT($J644=""),NOT($J644=0),NOT($J644="PHA Oper Sub"),$B644="HOME 60% AMI",NOT($M644="Common"))),$E644,"")</f>
        <v/>
      </c>
      <c r="BA644" s="580" t="str">
        <f>IF(OR(AND($C644=1,NOT($J644=""),NOT($J644=0),NOT($J644="PHA Oper Sub"),$B644="60% AMI",NOT($M644="Common")),AND($C644=1,NOT($J644=""),NOT($J644=0),NOT($J644="PHA Oper Sub"),$B644="HOME 60% AMI",NOT($M644="Common"))),$E644,"")</f>
        <v/>
      </c>
      <c r="BB644" s="580" t="str">
        <f>IF(OR(AND($C644=2,NOT($J644=""),NOT($J644=0),NOT($J644="PHA Oper Sub"),$B644="60% AMI",NOT($M644="Common")),AND($C644=2,NOT($J644=""),NOT($J644=0),NOT($J644="PHA Oper Sub"),$B644="HOME 60% AMI",NOT($M644="Common"))),$E644,"")</f>
        <v/>
      </c>
      <c r="BC644" s="580" t="str">
        <f>IF(OR(AND($C644=3,NOT($J644=""),NOT($J644=0),NOT($J644="PHA Oper Sub"),$B644="60% AMI",NOT($M644="Common")),AND($C644=3,NOT($J644=""),NOT($J644=0),NOT($J644="PHA Oper Sub"),$B644="HOME 60% AMI",NOT($M644="Common"))),$E644,"")</f>
        <v/>
      </c>
      <c r="BD644" s="580" t="str">
        <f>IF(OR(AND($C644=4,NOT($J644=""),NOT($J644=0),NOT($J644="PHA Oper Sub"),$B644="60% AMI",NOT($M644="Common")),AND($C644=4,NOT($J644=""),NOT($J644=0),NOT($J644="PHA Oper Sub"),$B644="HOME 60% AMI",NOT($M644="Common"))),$E644,"")</f>
        <v/>
      </c>
      <c r="BE644" s="580" t="str">
        <f>IF(OR(AND($C644="Efficiency",$J644="PHA Oper Sub",$B644="30% AMI",NOT($M644="Common")),AND($C644="Efficiency",$J644="PHA Oper Sub",$B644="HOME 30% AMI",NOT($M644="Common"))),$E644,"")</f>
        <v/>
      </c>
      <c r="BF644" s="580" t="str">
        <f>IF(OR(AND($C644=1,$J644="PHA Oper Sub",$B644="30% AMI",NOT($M644="Common")),AND($C644=1,$J644="PHA Oper Sub",$B644="HOME 30% AMI",NOT($M644="Common"))),$E644,"")</f>
        <v/>
      </c>
      <c r="BG644" s="580" t="str">
        <f>IF(OR(AND($C644=2,$J644="PHA Oper Sub",$B644="30% AMI",NOT($M644="Common")),AND($C644=2,$J644="PHA Oper Sub",$B644="HOME 30% AMI",NOT($M644="Common"))),$E644,"")</f>
        <v/>
      </c>
      <c r="BH644" s="580" t="str">
        <f>IF(OR(AND($C644=3,$J644="PHA Oper Sub",$B644="30% AMI",NOT($M644="Common")),AND($C644=3,$J644="PHA Oper Sub",$B644="HOME 30% AMI",NOT($M644="Common"))),$E644,"")</f>
        <v/>
      </c>
      <c r="BI644" s="580" t="str">
        <f>IF(OR(AND($C644=4,$J644="PHA Oper Sub",$B644="30% AMI",NOT($M644="Common")),AND($C644=4,$J644="PHA Oper Sub",$B644="HOME 30% AMI",NOT($M644="Common"))),$E644,"")</f>
        <v/>
      </c>
      <c r="BJ644" s="580" t="str">
        <f>IF(OR(AND($C644="Efficiency",$J644="PHA Oper Sub",$B644="50% AMI",NOT($M644="Common")),AND($C644="Efficiency",$J644="PHA Oper Sub",$B644="HOME 50% AMI",NOT($M644="Common"))),$E644,"")</f>
        <v/>
      </c>
      <c r="BK644" s="580" t="str">
        <f>IF(OR(AND($C644=1,$J644="PHA Oper Sub",$B644="50% AMI",NOT($M644="Common")),AND($C644=1,$J644="PHA Oper Sub",$B644="HOME 50% AMI",NOT($M644="Common"))),$E644,"")</f>
        <v/>
      </c>
      <c r="BL644" s="580" t="str">
        <f>IF(OR(AND($C644=2,$J644="PHA Oper Sub",$B644="50% AMI",NOT($M644="Common")),AND($C644=2,$J644="PHA Oper Sub",$B644="HOME 50% AMI",NOT($M644="Common"))),$E644,"")</f>
        <v/>
      </c>
      <c r="BM644" s="580" t="str">
        <f>IF(OR(AND($C644=3,$J644="PHA Oper Sub",$B644="50% AMI",NOT($M644="Common")),AND($C644=3,$J644="PHA Oper Sub",$B644="HOME 50% AMI",NOT($M644="Common"))),$E644,"")</f>
        <v/>
      </c>
      <c r="BN644" s="580" t="str">
        <f>IF(OR(AND($C644=4,$J644="PHA Oper Sub",$B644="50% AMI",NOT($M644="Common")),AND($C644=4,$J644="PHA Oper Sub",$B644="HOME 50% AMI",NOT($M644="Common"))),$E644,"")</f>
        <v/>
      </c>
      <c r="BO644" s="580" t="str">
        <f>IF(OR(AND($C644="Efficiency",$J644="PHA Oper Sub",$B644="60% AMI",NOT($M644="Common")),AND($C644="Efficiency",$J644="PHA Oper Sub",$B644="HOME 60% AMI",NOT($M644="Common"))),$E644,"")</f>
        <v/>
      </c>
      <c r="BP644" s="580" t="str">
        <f>IF(OR(AND($C644=1,$J644="PHA Oper Sub",$B644="60% AMI",NOT($M644="Common")),AND($C644=1,$J644="PHA Oper Sub",$B644="HOME 60% AMI",NOT($M644="Common"))),$E644,"")</f>
        <v/>
      </c>
      <c r="BQ644" s="580" t="str">
        <f>IF(OR(AND($C644=2,$J644="PHA Oper Sub",$B644="60% AMI",NOT($M644="Common")),AND($C644=2,$J644="PHA Oper Sub",$B644="HOME 60% AMI",NOT($M644="Common"))),$E644,"")</f>
        <v/>
      </c>
      <c r="BR644" s="580" t="str">
        <f>IF(OR(AND($C644=3,$J644="PHA Oper Sub",$B644="60% AMI",NOT($M644="Common")),AND($C644=3,$J644="PHA Oper Sub",$B644="HOME 60% AMI",NOT($M644="Common"))),$E644,"")</f>
        <v/>
      </c>
      <c r="BS644" s="580" t="str">
        <f>IF(OR(AND($C644=4,$J644="PHA Oper Sub",$B644="60% AMI",NOT($M644="Common")),AND($C644=4,$J644="PHA Oper Sub",$B644="HOME 60% AMI",NOT($M644="Common"))),$E644,"")</f>
        <v/>
      </c>
      <c r="BT644" s="580" t="str">
        <f t="shared" ref="BT644:BT681" si="21">IF(AND(C644="Efficiency",M644="Common"),E644,"")</f>
        <v/>
      </c>
      <c r="BU644" s="580" t="str">
        <f t="shared" ref="BU644:BU681" si="22">IF(AND(C644=1,M644="Common"),E644,"")</f>
        <v/>
      </c>
      <c r="BV644" s="580" t="str">
        <f t="shared" ref="BV644:BV681" si="23">IF(AND(C644=2,M644="Common"),E644,"")</f>
        <v/>
      </c>
      <c r="BW644" s="580" t="str">
        <f t="shared" ref="BW644:BW681" si="24">IF(AND(C644=3,M644="Common"),E644,"")</f>
        <v/>
      </c>
      <c r="BX644" s="580" t="str">
        <f t="shared" ref="BX644:BX681" si="25">IF(AND(C644=4,M644="Common"),E644,"")</f>
        <v/>
      </c>
      <c r="BY644" s="580" t="str">
        <f t="shared" ref="BY644:BY681" si="26">IF(OR(AND(C644="Efficiency",B644="60% AMI",NOT(M644="Common")),AND(C644="Efficiency",B644="HOME 60% AMI",NOT(M644="Common"))),E644*F644,"")</f>
        <v/>
      </c>
      <c r="BZ644" s="580" t="str">
        <f t="shared" ref="BZ644:BZ681" si="27">IF(OR(AND(C644=1,B644="60% AMI",NOT(M644="Common")),AND(C644=1,B644="HOME 60% AMI",NOT(M644="Common"))),E644*F644,"")</f>
        <v/>
      </c>
      <c r="CA644" s="580" t="str">
        <f t="shared" ref="CA644:CA681" si="28">IF(OR(AND(C644=2,B644="60% AMI",NOT(M644="Common")),AND(C644=2,B644="HOME 60% AMI",NOT(M644="Common"))),E644*F644,"")</f>
        <v/>
      </c>
      <c r="CB644" s="580" t="str">
        <f t="shared" ref="CB644:CB681" si="29">IF(OR(AND(C644=3,B644="60% AMI",NOT(M644="Common")),AND(C644=3,B644="HOME 60% AMI",NOT(M644="Common"))),E644*F644,"")</f>
        <v/>
      </c>
      <c r="CC644" s="580" t="str">
        <f t="shared" ref="CC644:CC681" si="30">IF(OR(AND(C644=4,B644="60% AMI",NOT(M644="Common")),AND(C644=4,B644="HOME 60% AMI",NOT(M644="Common"))),E644*F644,"")</f>
        <v/>
      </c>
      <c r="CD644" s="580" t="str">
        <f t="shared" ref="CD644:CD681" si="31">IF(OR(AND(C644="Efficiency",B644="50% AMI",NOT(M644="Common")),AND(C644="Efficiency",B644="HOME 50% AMI",NOT(M644="Common"))),E644*F644,"")</f>
        <v/>
      </c>
      <c r="CE644" s="580">
        <f t="shared" ref="CE644:CE681" si="32">IF(OR(AND(C644=1,B644="50% AMI",NOT(M644="Common")),AND(C644=1,B644="HOME 50% AMI",NOT(M644="Common"))),E644*F644,"")</f>
        <v>8450</v>
      </c>
      <c r="CF644" s="580" t="str">
        <f t="shared" ref="CF644:CF681" si="33">IF(OR(AND(C644=2,B644="50% AMI",NOT(M644="Common")),AND(C644=2,B644="HOME 50% AMI",NOT(M644="Common"))),E644*F644,"")</f>
        <v/>
      </c>
      <c r="CG644" s="580" t="str">
        <f t="shared" ref="CG644:CG681" si="34">IF(OR(AND(C644=3,B644="50% AMI",NOT(M644="Common")),AND(C644=3,B644="HOME 50% AMI",NOT(M644="Common"))),E644*F644,"")</f>
        <v/>
      </c>
      <c r="CH644" s="580" t="str">
        <f t="shared" ref="CH644:CH681" si="35">IF(OR(AND(C644=4,B644="50% AMI",NOT(M644="Common")),AND(C644=4,B644="HOME 50% AMI",NOT(M644="Common"))),E644*F644,"")</f>
        <v/>
      </c>
      <c r="CI644" s="580" t="str">
        <f t="shared" ref="CI644:CI681" si="36">IF(OR(AND(C644="Efficiency",B644="30% AMI",NOT(M644="Common")),AND(C644="Efficiency",B644="HOME 30% AMI",NOT(M644="Common"))),E644*F644,"")</f>
        <v/>
      </c>
      <c r="CJ644" s="580" t="str">
        <f t="shared" ref="CJ644:CJ681" si="37">IF(OR(AND(C644=1,B644="30% AMI",NOT(M644="Common")),AND(C644=1,B644="HOME 30% AMI",NOT(M644="Common"))),E644*F644,"")</f>
        <v/>
      </c>
      <c r="CK644" s="580" t="str">
        <f t="shared" ref="CK644:CK681" si="38">IF(OR(AND(C644=2,B644="30% AMI",NOT(M644="Common")),AND(C644=2,B644="HOME 30% AMI",NOT(M644="Common"))),E644*F644,"")</f>
        <v/>
      </c>
      <c r="CL644" s="580" t="str">
        <f t="shared" ref="CL644:CL681" si="39">IF(OR(AND(C644=3,B644="30% AMI",NOT(M644="Common")),AND(C644=3,B644="HOME 30% AMI",NOT(M644="Common"))),E644*F644,"")</f>
        <v/>
      </c>
      <c r="CM644" s="580" t="str">
        <f t="shared" ref="CM644:CM681" si="40">IF(OR(AND(C644=4,B644="30% AMI",NOT(M644="Common")),AND(C644=4,B644="HOME 30% AMI",NOT(M644="Common"))),E644*F644,"")</f>
        <v/>
      </c>
      <c r="CN644" s="580" t="str">
        <f t="shared" ref="CN644:CN681" si="41">IF(AND(C644="Efficiency",B644="Unrestricted",NOT(M644="Common")),E644*F644,"")</f>
        <v/>
      </c>
      <c r="CO644" s="580" t="str">
        <f t="shared" ref="CO644:CO681" si="42">IF(AND(C644=1,B644="Unrestricted",NOT(M644="Common")),E644*F644,"")</f>
        <v/>
      </c>
      <c r="CP644" s="580" t="str">
        <f t="shared" ref="CP644:CP681" si="43">IF(AND(C644=2,B644="Unrestricted",NOT(M644="Common")),E644*F644,"")</f>
        <v/>
      </c>
      <c r="CQ644" s="580" t="str">
        <f t="shared" ref="CQ644:CQ681" si="44">IF(AND(C644=3,B644="Unrestricted",NOT(M644="Common")),E644*F644,"")</f>
        <v/>
      </c>
      <c r="CR644" s="580" t="str">
        <f t="shared" ref="CR644:CR681" si="45">IF(AND(C644=4,B644="Unrestricted",NOT(M644="Common")),E644*F644,"")</f>
        <v/>
      </c>
      <c r="CS644" s="580" t="str">
        <f t="shared" ref="CS644:CS681" si="46">IF(AND(C644="Efficiency",NOT(J644=""),NOT($J644=0),NOT(M644="Common")),E644*F644,"")</f>
        <v/>
      </c>
      <c r="CT644" s="580" t="str">
        <f t="shared" ref="CT644:CT681" si="47">IF(AND(C644=1,NOT(J644=""),NOT($J644=0),NOT(M644="Common")),E644*F644,"")</f>
        <v/>
      </c>
      <c r="CU644" s="580" t="str">
        <f t="shared" ref="CU644:CU681" si="48">IF(AND(C644=2,NOT(J644=""),NOT($J644=0),NOT(M644="Common")),E644*F644,"")</f>
        <v/>
      </c>
      <c r="CV644" s="580" t="str">
        <f t="shared" ref="CV644:CV681" si="49">IF(AND(C644=3,NOT(J644=""),NOT($J644=0),NOT(M644="Common")),E644*F644,"")</f>
        <v/>
      </c>
      <c r="CW644" s="580" t="str">
        <f t="shared" ref="CW644:CW681" si="50">IF(AND(C644=4,NOT(J644=""),NOT($J644=0),NOT(M644="Common")),E644*F644,"")</f>
        <v/>
      </c>
      <c r="CX644" s="580" t="str">
        <f t="shared" ref="CX644:CX681" si="51">IF(AND(C644="Efficiency",M644="Common"),E644*F644,"")</f>
        <v/>
      </c>
      <c r="CY644" s="580" t="str">
        <f t="shared" ref="CY644:CY681" si="52">IF(AND(C644=1,M644="Common"),E644*F644,"")</f>
        <v/>
      </c>
      <c r="CZ644" s="580" t="str">
        <f t="shared" ref="CZ644:CZ681" si="53">IF(AND(C644=2,M644="Common"),E644*F644,"")</f>
        <v/>
      </c>
      <c r="DA644" s="580" t="str">
        <f t="shared" ref="DA644:DA681" si="54">IF(AND(C644=3,M644="Common"),E644*F644,"")</f>
        <v/>
      </c>
      <c r="DB644" s="580" t="str">
        <f t="shared" ref="DB644:DB681" si="55">IF(AND(C644=4,M644="Common"),E644*F644,"")</f>
        <v/>
      </c>
      <c r="DC644" s="580" t="str">
        <f t="shared" ref="DC644:DC681" si="56">IF(AND($C644="Efficiency", $O644="New Construction",NOT($B644="Unrestricted"),NOT($B644="NSP 120% AMI"),NOT($B644="N/A-CS"),NOT($M644="Common")),$E644,"")</f>
        <v/>
      </c>
      <c r="DD644" s="580">
        <f t="shared" ref="DD644:DD681" si="57">IF(AND($C644=1, $O644="New Construction",NOT($B644="Unrestricted"),NOT($B644="NSP 120% AMI"),NOT($B644="N/A-CS"),NOT($M644="Common")),$E644,"")</f>
        <v>13</v>
      </c>
      <c r="DE644" s="580" t="str">
        <f t="shared" ref="DE644:DE681" si="58">IF(AND($C644=2, $O644="New Construction",NOT($B644="Unrestricted"),NOT($B644="NSP 120% AMI"),NOT($B644="N/A-CS"),NOT($M644="Common")),$E644,"")</f>
        <v/>
      </c>
      <c r="DF644" s="580" t="str">
        <f t="shared" ref="DF644:DF681" si="59">IF(AND($C644=3, $O644="New Construction",NOT($B644="Unrestricted"),NOT($B644="NSP 120% AMI"),NOT($B644="N/A-CS"),NOT($M644="Common")),$E644,"")</f>
        <v/>
      </c>
      <c r="DG644" s="580" t="str">
        <f t="shared" ref="DG644:DG681" si="60">IF(AND($C644=4, $O644="New Construction",NOT($B644="Unrestricted"),NOT($B644="NSP 120% AMI"),NOT($B644="N/A-CS"),NOT($M644="Common")),$E644,"")</f>
        <v/>
      </c>
      <c r="DH644" s="580" t="str">
        <f t="shared" ref="DH644:DH681" si="61">IF(AND($C644="Efficiency", $O644="New Construction",$B644="Unrestricted",NOT($B644="N/A-CS"),NOT($M644="Common")),$E644,"")</f>
        <v/>
      </c>
      <c r="DI644" s="580" t="str">
        <f t="shared" ref="DI644:DI681" si="62">IF(AND($C644=1, $O644="New Construction",$B644="Unrestricted",NOT($B644="N/A-CS"),NOT($M644="Common")),$E644,"")</f>
        <v/>
      </c>
      <c r="DJ644" s="580" t="str">
        <f t="shared" ref="DJ644:DJ681" si="63">IF(AND($C644=2, $O644="New Construction",$B644="Unrestricted",NOT($B644="N/A-CS"),NOT($M644="Common")),$E644,"")</f>
        <v/>
      </c>
      <c r="DK644" s="580" t="str">
        <f t="shared" ref="DK644:DK681" si="64">IF(AND($C644=3, $O644="New Construction",$B644="Unrestricted",NOT($B644="N/A-CS"),NOT($M644="Common")),$E644,"")</f>
        <v/>
      </c>
      <c r="DL644" s="580" t="str">
        <f t="shared" ref="DL644:DL681" si="65">IF(AND($C644=4, $O644="New Construction",$B644="Unrestricted",NOT($B644="N/A-CS"),NOT($M644="Common")),$E644,"")</f>
        <v/>
      </c>
      <c r="DM644" s="580" t="str">
        <f t="shared" ref="DM644:DM681" si="66">IF(AND($C644="Efficiency", $O644="New Construction",$B644="N/A-CS",$M644="Common"),$E644,"")</f>
        <v/>
      </c>
      <c r="DN644" s="580" t="str">
        <f t="shared" ref="DN644:DN681" si="67">IF(AND($C644=1, $O644="New Construction",$B644="N/A-CS",$M644="Common"),$E644,"")</f>
        <v/>
      </c>
      <c r="DO644" s="580" t="str">
        <f t="shared" ref="DO644:DO681" si="68">IF(AND($C644=2, $O644="New Construction",$B644="N/A-CS",$M644="Common"),$E644,"")</f>
        <v/>
      </c>
      <c r="DP644" s="580" t="str">
        <f t="shared" ref="DP644:DP681" si="69">IF(AND($C644=3, $O644="New Construction",$B644="N/A-CS",$M644="Common"),$E644,"")</f>
        <v/>
      </c>
      <c r="DQ644" s="580" t="str">
        <f t="shared" ref="DQ644:DQ681" si="70">IF(AND($C644=4, $O644="New Construction",$B644="N/A-CS",$M644="Common"),$E644,"")</f>
        <v/>
      </c>
      <c r="DR644" s="580" t="str">
        <f t="shared" ref="DR644:DR681" si="71">IF(AND($C644="Efficiency", $O644="Acquisition/Rehab",NOT($B644="Unrestricted"),NOT($B644="NSP 120% AMI"),NOT($B644="N/A-CS"),NOT($M644="Common")),$E644,"")</f>
        <v/>
      </c>
      <c r="DS644" s="580" t="str">
        <f t="shared" ref="DS644:DS681" si="72">IF(AND($C644=1, $O644="Acquisition/Rehab",NOT($B644="Unrestricted"),NOT($B644="NSP 120% AMI"),NOT($B644="N/A-CS"),NOT($M644="Common")),$E644,"")</f>
        <v/>
      </c>
      <c r="DT644" s="580" t="str">
        <f t="shared" ref="DT644:DT681" si="73">IF(AND($C644=2, $O644="Acquisition/Rehab",NOT($B644="Unrestricted"),NOT($B644="NSP 120% AMI"),NOT($B644="N/A-CS"),NOT($M644="Common")),$E644,"")</f>
        <v/>
      </c>
      <c r="DU644" s="580" t="str">
        <f t="shared" ref="DU644:DU681" si="74">IF(AND($C644=3, $O644="Acquisition/Rehab",NOT($B644="Unrestricted"),NOT($B644="NSP 120% AMI"),NOT($B644="N/A-CS"),NOT($M644="Common")),$E644,"")</f>
        <v/>
      </c>
      <c r="DV644" s="580" t="str">
        <f t="shared" ref="DV644:DV681" si="75">IF(AND($C644=4, $O644="Acquisition/Rehab",NOT($B644="Unrestricted"),NOT($B644="NSP 120% AMI"),NOT($B644="N/A-CS"),NOT($M644="Common")),$E644,"")</f>
        <v/>
      </c>
      <c r="DW644" s="580" t="str">
        <f t="shared" ref="DW644:DW681" si="76">IF(AND($C644="Efficiency", $O644="Acquisition/Rehab",$B644="Unrestricted",NOT($B644="N/A-CS"),NOT($M644="Common")),$E644,"")</f>
        <v/>
      </c>
      <c r="DX644" s="580" t="str">
        <f t="shared" ref="DX644:DX681" si="77">IF(AND($C644=1, $O644="Acquisition/Rehab",$B644="Unrestricted",NOT($B644="N/A-CS"),NOT($M644="Common")),$E644,"")</f>
        <v/>
      </c>
      <c r="DY644" s="580" t="str">
        <f t="shared" ref="DY644:DY681" si="78">IF(AND($C644=2, $O644="Acquisition/Rehab",$B644="Unrestricted",NOT($B644="N/A-CS"),NOT($M644="Common")),$E644,"")</f>
        <v/>
      </c>
      <c r="DZ644" s="580" t="str">
        <f t="shared" ref="DZ644:DZ681" si="79">IF(AND($C644=3, $O644="Acquisition/Rehab",$B644="Unrestricted",NOT($B644="N/A-CS"),NOT($M644="Common")),$E644,"")</f>
        <v/>
      </c>
      <c r="EA644" s="580" t="str">
        <f t="shared" ref="EA644:EA681" si="80">IF(AND($C644=4, $O644="Acquisition/Rehab",$B644="Unrestricted",NOT($B644="N/A-CS"),NOT($M644="Common")),$E644,"")</f>
        <v/>
      </c>
      <c r="EB644" s="580" t="str">
        <f t="shared" ref="EB644:EB681" si="81">IF(AND($C644="Efficiency", $O644="Acquisition/Rehab",$B644="N/A-CS",$M644="Common"),$E644,"")</f>
        <v/>
      </c>
      <c r="EC644" s="580" t="str">
        <f t="shared" ref="EC644:EC681" si="82">IF(AND($C644=1, $O644="Acquisition/Rehab",$B644="N/A-CS",$M644="Common"),$E644,"")</f>
        <v/>
      </c>
      <c r="ED644" s="580" t="str">
        <f t="shared" ref="ED644:ED681" si="83">IF(AND($C644=2, $O644="Acquisition/Rehab",$B644="N/A-CS",$M644="Common"),$E644,"")</f>
        <v/>
      </c>
      <c r="EE644" s="580" t="str">
        <f t="shared" ref="EE644:EE681" si="84">IF(AND($C644=3, $O644="Acquisition/Rehab",$B644="N/A-CS",$M644="Common"),$E644,"")</f>
        <v/>
      </c>
      <c r="EF644" s="580" t="str">
        <f t="shared" ref="EF644:EF681" si="85">IF(AND($C644=4, $O644="Acquisition/Rehab",$B644="N/A-CS",$M644="Common"),$E644,"")</f>
        <v/>
      </c>
      <c r="EG644" s="580" t="str">
        <f t="shared" ref="EG644:EG681" si="86">IF(AND($C644="Efficiency", $O644="Rehabilitation",NOT($B644="Unrestricted"),NOT($B644="NSP 120% AMI"),NOT($B644="N/A-CS"),NOT($M644="Common")),$E644,"")</f>
        <v/>
      </c>
      <c r="EH644" s="580" t="str">
        <f t="shared" ref="EH644:EH681" si="87">IF(AND($C644=1, $O644="Rehabilitation",NOT($B644="Unrestricted"),NOT($B644="NSP 120% AMI"),NOT($B644="N/A-CS"),NOT($M644="Common")),$E644,"")</f>
        <v/>
      </c>
      <c r="EI644" s="580" t="str">
        <f t="shared" ref="EI644:EI681" si="88">IF(AND($C644=2, $O644="Rehabilitation",NOT($B644="Unrestricted"),NOT($B644="NSP 120% AMI"),NOT($B644="N/A-CS"),NOT($M644="Common")),$E644,"")</f>
        <v/>
      </c>
      <c r="EJ644" s="580" t="str">
        <f t="shared" ref="EJ644:EJ681" si="89">IF(AND($C644=3, $O644="Rehabilitation",NOT($B644="Unrestricted"),NOT($B644="NSP 120% AMI"),NOT($B644="N/A-CS"),NOT($M644="Common")),$E644,"")</f>
        <v/>
      </c>
      <c r="EK644" s="580" t="str">
        <f t="shared" ref="EK644:EK681" si="90">IF(AND($C644=4, $O644="Rehabilitation",NOT($B644="Unrestricted"),NOT($B644="NSP 120% AMI"),NOT($B644="N/A-CS"),NOT($M644="Common")),$E644,"")</f>
        <v/>
      </c>
      <c r="EL644" s="580" t="str">
        <f t="shared" ref="EL644:EL681" si="91">IF(AND($C644="Efficiency", $O644="Rehabilitation",$B644="Unrestricted",NOT($B644="N/A-CS"),NOT($M644="Common")),$E644,"")</f>
        <v/>
      </c>
      <c r="EM644" s="580" t="str">
        <f t="shared" ref="EM644:EM681" si="92">IF(AND($C644=1, $O644="Rehabilitation",$B644="Unrestricted",NOT($B644="N/A-CS"),NOT($M644="Common")),$E644,"")</f>
        <v/>
      </c>
      <c r="EN644" s="580" t="str">
        <f t="shared" ref="EN644:EN681" si="93">IF(AND($C644=2, $O644="Rehabilitation",$B644="Unrestricted",NOT($B644="N/A-CS"),NOT($M644="Common")),$E644,"")</f>
        <v/>
      </c>
      <c r="EO644" s="580" t="str">
        <f t="shared" ref="EO644:EO681" si="94">IF(AND($C644=3, $O644="Rehabilitation",$B644="Unrestricted",NOT($B644="N/A-CS"),NOT($M644="Common")),$E644,"")</f>
        <v/>
      </c>
      <c r="EP644" s="580" t="str">
        <f t="shared" ref="EP644:EP681" si="95">IF(AND($C644=4, $O644="Rehabilitation",$B644="Unrestricted",NOT($B644="N/A-CS"),NOT($M644="Common")),$E644,"")</f>
        <v/>
      </c>
      <c r="EQ644" s="580" t="str">
        <f t="shared" ref="EQ644:EQ681" si="96">IF(AND($C644="Efficiency", $O644="Rehabilitation",$B644="N/A-CS",$M644="Common"),$E644,"")</f>
        <v/>
      </c>
      <c r="ER644" s="580" t="str">
        <f t="shared" ref="ER644:ER681" si="97">IF(AND($C644=1, $O644="Rehabilitation",$B644="N/A-CS",$M644="Common"),$E644,"")</f>
        <v/>
      </c>
      <c r="ES644" s="580" t="str">
        <f t="shared" ref="ES644:ES681" si="98">IF(AND($C644=2, $O644="Rehabilitation",$B644="N/A-CS",$M644="Common"),$E644,"")</f>
        <v/>
      </c>
      <c r="ET644" s="580" t="str">
        <f t="shared" ref="ET644:ET681" si="99">IF(AND($C644=3, $O644="Rehabilitation",$B644="N/A-CS",$M644="Common"),$E644,"")</f>
        <v/>
      </c>
      <c r="EU644" s="580" t="str">
        <f t="shared" ref="EU644:EU681" si="100">IF(AND($C644=4, $O644="Rehabilitation",$B644="N/A-CS",$M644="Common"),$E644,"")</f>
        <v/>
      </c>
      <c r="EV644" s="785" t="str">
        <f t="shared" ref="EV644:EV681" si="101">IF(AND($C644="Efficiency", NOT(OR($N644="SF Detached",$N644="Mfd Home",$N644="Duplex",$N644="Townhome"))),$E644,"")</f>
        <v/>
      </c>
      <c r="EW644" s="785">
        <f t="shared" ref="EW644:EW681" si="102">IF(AND($C644=1, NOT(OR($N644="SF Detached",$N644="Mfd Home",$N644="Duplex",$N644="Townhome"))),$E644,"")</f>
        <v>13</v>
      </c>
      <c r="EX644" s="785" t="str">
        <f t="shared" ref="EX644:EX681" si="103">IF(AND($C644=2, NOT(OR($N644="SF Detached",$N644="Mfd Home",$N644="Duplex",$N644="Townhome"))),$E644,"")</f>
        <v/>
      </c>
      <c r="EY644" s="785" t="str">
        <f t="shared" ref="EY644:EY681" si="104">IF(AND($C644=3, NOT(OR($N644="SF Detached",$N644="Mfd Home",$N644="Duplex",$N644="Townhome"))),$E644,"")</f>
        <v/>
      </c>
      <c r="EZ644" s="785" t="str">
        <f t="shared" ref="EZ644:EZ681" si="105">IF(AND($C644=4, NOT(OR($N644="SF Detached",$N644="Mfd Home",$N644="Duplex",$N644="Townhome"))),$E644,"")</f>
        <v/>
      </c>
      <c r="FA644" s="785" t="str">
        <f t="shared" ref="FA644:FA681" si="106">IF(AND($C644="Efficiency", $N644="SF Detached"),$E644,"")</f>
        <v/>
      </c>
      <c r="FB644" s="785" t="str">
        <f t="shared" ref="FB644:FB681" si="107">IF(AND($C644=1, $N644="SF Detached"),$E644,"")</f>
        <v/>
      </c>
      <c r="FC644" s="785" t="str">
        <f t="shared" ref="FC644:FC681" si="108">IF(AND($C644=2, $N644="SF Detached"),$E644,"")</f>
        <v/>
      </c>
      <c r="FD644" s="785" t="str">
        <f t="shared" ref="FD644:FD681" si="109">IF(AND($C644=3, $N644="SF Detached"),$E644,"")</f>
        <v/>
      </c>
      <c r="FE644" s="785" t="str">
        <f t="shared" ref="FE644:FE681" si="110">IF(AND($C644=4, $N644="SF Detached"),$E644,"")</f>
        <v/>
      </c>
      <c r="FF644" s="785" t="str">
        <f t="shared" ref="FF644:FF681" si="111">IF(AND($C644="Efficiency", $N644="MH"),$E644,"")</f>
        <v/>
      </c>
      <c r="FG644" s="785" t="str">
        <f t="shared" ref="FG644:FG681" si="112">IF(AND($C644=1, $N644="MH"),$E644,"")</f>
        <v/>
      </c>
      <c r="FH644" s="785" t="str">
        <f t="shared" ref="FH644:FH681" si="113">IF(AND($C644=2, $N644="MH"),$E644,"")</f>
        <v/>
      </c>
      <c r="FI644" s="785" t="str">
        <f t="shared" ref="FI644:FI681" si="114">IF(AND($C644=3, $N644="MH"),$E644,"")</f>
        <v/>
      </c>
      <c r="FJ644" s="785" t="str">
        <f t="shared" ref="FJ644:FJ681" si="115">IF(AND($C644=4, $N644="MH"),$E644,"")</f>
        <v/>
      </c>
      <c r="FK644" s="785" t="str">
        <f t="shared" ref="FK644:FK681" si="116">IF(AND($C644="Efficiency", $N644="Duplex"),$E644,"")</f>
        <v/>
      </c>
      <c r="FL644" s="785" t="str">
        <f t="shared" ref="FL644:FL681" si="117">IF(AND($C644=1, $N644="Duplex"),$E644,"")</f>
        <v/>
      </c>
      <c r="FM644" s="785" t="str">
        <f t="shared" ref="FM644:FM681" si="118">IF(AND($C644=2, $N644="Duplex"),$E644,"")</f>
        <v/>
      </c>
      <c r="FN644" s="785" t="str">
        <f t="shared" ref="FN644:FN681" si="119">IF(AND($C644=3, $N644="Duplex"),$E644,"")</f>
        <v/>
      </c>
      <c r="FO644" s="785" t="str">
        <f t="shared" ref="FO644:FO681" si="120">IF(AND($C644=4, $N644="Duplex"),$E644,"")</f>
        <v/>
      </c>
      <c r="FP644" s="785" t="str">
        <f t="shared" ref="FP644:FP681" si="121">IF(AND($C644="Efficiency", $N644="Townhome"),$E644,"")</f>
        <v/>
      </c>
      <c r="FQ644" s="785" t="str">
        <f t="shared" ref="FQ644:FQ681" si="122">IF(AND($C644=1, $N644="Townhome"),$E644,"")</f>
        <v/>
      </c>
      <c r="FR644" s="785" t="str">
        <f t="shared" ref="FR644:FR681" si="123">IF(AND($C644=2, $N644="Townhome"),$E644,"")</f>
        <v/>
      </c>
      <c r="FS644" s="785" t="str">
        <f t="shared" ref="FS644:FS681" si="124">IF(AND($C644=3, $N644="Townhome"),$E644,"")</f>
        <v/>
      </c>
      <c r="FT644" s="785" t="str">
        <f t="shared" ref="FT644:FT681" si="125">IF(AND($C644=4, $N644="Townhome"),$E644,"")</f>
        <v/>
      </c>
      <c r="FU644" s="785" t="str">
        <f t="shared" ref="FU644:FU681" si="126">IF(AND($C644="Efficiency", $N644="1-Story"),$E644,"")</f>
        <v/>
      </c>
      <c r="FV644" s="785" t="str">
        <f t="shared" ref="FV644:FV681" si="127">IF(AND($C644=1, $N644="1-Story"),$E644,"")</f>
        <v/>
      </c>
      <c r="FW644" s="785" t="str">
        <f t="shared" ref="FW644:FW681" si="128">IF(AND($C644=2, $N644="1-Story"),$E644,"")</f>
        <v/>
      </c>
      <c r="FX644" s="785" t="str">
        <f t="shared" ref="FX644:FX681" si="129">IF(AND($C644=3, $N644="1-Story"),$E644,"")</f>
        <v/>
      </c>
      <c r="FY644" s="785" t="str">
        <f t="shared" ref="FY644:FY681" si="130">IF(AND($C644=4, $N644="1-Story"),$E644,"")</f>
        <v/>
      </c>
      <c r="FZ644" s="785" t="str">
        <f t="shared" ref="FZ644:FZ681" si="131">IF(AND($C644="Efficiency", $N644="2-Story"),$E644,"")</f>
        <v/>
      </c>
      <c r="GA644" s="785" t="str">
        <f t="shared" ref="GA644:GA681" si="132">IF(AND($C644=1, $N644="2-Story"),$E644,"")</f>
        <v/>
      </c>
      <c r="GB644" s="785" t="str">
        <f t="shared" ref="GB644:GB681" si="133">IF(AND($C644=2, $N644="2-Story"),$E644,"")</f>
        <v/>
      </c>
      <c r="GC644" s="785" t="str">
        <f t="shared" ref="GC644:GC681" si="134">IF(AND($C644=3, $N644="2-Story"),$E644,"")</f>
        <v/>
      </c>
      <c r="GD644" s="785" t="str">
        <f t="shared" ref="GD644:GD681" si="135">IF(AND($C644=4, $N644="2-Story"),$E644,"")</f>
        <v/>
      </c>
      <c r="GE644" s="785" t="str">
        <f t="shared" ref="GE644:GE681" si="136">IF(AND($C644="Efficiency", $N644="2-Story Walkup"),$E644,"")</f>
        <v/>
      </c>
      <c r="GF644" s="785" t="str">
        <f t="shared" ref="GF644:GF681" si="137">IF(AND($C644=1, $N644="2-Story Walkup"),$E644,"")</f>
        <v/>
      </c>
      <c r="GG644" s="785" t="str">
        <f t="shared" ref="GG644:GG681" si="138">IF(AND($C644=2, $N644="2-Story Walkup"),$E644,"")</f>
        <v/>
      </c>
      <c r="GH644" s="785" t="str">
        <f t="shared" ref="GH644:GH681" si="139">IF(AND($C644=3, $N644="2-Story Walkup"),$E644,"")</f>
        <v/>
      </c>
      <c r="GI644" s="785" t="str">
        <f t="shared" ref="GI644:GI681" si="140">IF(AND($C644=4, $N644="2-Story Walkup"),$E644,"")</f>
        <v/>
      </c>
      <c r="GJ644" s="785" t="str">
        <f t="shared" ref="GJ644:GJ681" si="141">IF(AND($C644="Efficiency", $N644="3+ Story"),$E644,"")</f>
        <v/>
      </c>
      <c r="GK644" s="785">
        <f t="shared" ref="GK644:GK681" si="142">IF(AND($C644=1, $N644="3+ Story"),$E644,"")</f>
        <v>13</v>
      </c>
      <c r="GL644" s="785" t="str">
        <f t="shared" ref="GL644:GL681" si="143">IF(AND($C644=2, $N644="3+ Story"),$E644,"")</f>
        <v/>
      </c>
      <c r="GM644" s="785" t="str">
        <f t="shared" ref="GM644:GM681" si="144">IF(AND($C644=3, $N644="3+ Story"),$E644,"")</f>
        <v/>
      </c>
      <c r="GN644" s="785" t="str">
        <f t="shared" ref="GN644:GN681" si="145">IF(AND($C644=4, $N644="3+ Story"),$E644,"")</f>
        <v/>
      </c>
      <c r="GO644" s="786" t="str">
        <f t="shared" ref="GO644:GO681" si="146">IF(AND($B644="NSP 120% AMI",$C644="Efficiency", NOT($M644="Common")),$E644,"")</f>
        <v/>
      </c>
      <c r="GP644" s="786" t="str">
        <f t="shared" ref="GP644:GP681" si="147">IF(AND($B644="NSP 120% AMI",$C644=1,NOT($M644="Common")),$E644,"")</f>
        <v/>
      </c>
      <c r="GQ644" s="786" t="str">
        <f t="shared" ref="GQ644:GQ681" si="148">IF(AND($B644="NSP 120% AMI",$C644=2,NOT($M644="Common")),$E644,"")</f>
        <v/>
      </c>
      <c r="GR644" s="786" t="str">
        <f t="shared" ref="GR644:GR681" si="149">IF(AND($B644="NSP 120% AMI",$C644=3,NOT($M644="Common")),$E644,"")</f>
        <v/>
      </c>
      <c r="GS644" s="786" t="str">
        <f t="shared" ref="GS644:GS681" si="150">IF(AND($B644="NSP 120% AMI",$C644=4,NOT($M644="Common")),$E644,"")</f>
        <v/>
      </c>
      <c r="GT644" s="580" t="str">
        <f t="shared" ref="GT644:GT681" si="151">IF(AND(C644="Efficiency",B644="NSP 120% AMI",NOT(M644="Common")),E644*F644,"")</f>
        <v/>
      </c>
      <c r="GU644" s="580" t="str">
        <f t="shared" ref="GU644:GU681" si="152">IF(AND(C644=1,B644="NSP 120% AMI",NOT(M644="Common")),E644*F644,"")</f>
        <v/>
      </c>
      <c r="GV644" s="580" t="str">
        <f t="shared" ref="GV644:GV681" si="153">IF(AND(C644=2,B644="NSP 120% AMI",NOT(M644="Common")),E644*F644,"")</f>
        <v/>
      </c>
      <c r="GW644" s="580" t="str">
        <f t="shared" ref="GW644:GW681" si="154">IF(AND(C644=3,B644="NSP 120% AMI",NOT(M644="Common")),E644*F644,"")</f>
        <v/>
      </c>
      <c r="GX644" s="580" t="str">
        <f t="shared" ref="GX644:GX681" si="155">IF(AND(C644=4,B644="NSP 120% AMI",NOT(M644="Common")),E644*F644,"")</f>
        <v/>
      </c>
      <c r="GY644" s="580" t="str">
        <f t="shared" ref="GY644:GY681" si="156">IF(AND($C644="Efficiency", $O644="New Construction",$B644="NSP 120% AMI",NOT($M644="Common")),$E644,"")</f>
        <v/>
      </c>
      <c r="GZ644" s="580" t="str">
        <f t="shared" ref="GZ644:GZ681" si="157">IF(AND($C644=1, $O644="New Construction",$B644="NSP 120% AMI",NOT($M644="Common")),$E644,"")</f>
        <v/>
      </c>
      <c r="HA644" s="580" t="str">
        <f t="shared" ref="HA644:HA681" si="158">IF(AND($C644=2, $O644="New Construction",$B644="NSP 120% AMI",NOT($M644="Common")),$E644,"")</f>
        <v/>
      </c>
      <c r="HB644" s="580" t="str">
        <f t="shared" ref="HB644:HB681" si="159">IF(AND($C644=3, $O644="New Construction",$B644="NSP 120% AMI",NOT($M644="Common")),$E644,"")</f>
        <v/>
      </c>
      <c r="HC644" s="580" t="str">
        <f t="shared" ref="HC644:HC681" si="160">IF(AND($C644=4, $O644="New Construction",$B644="NSP 120% AMI",NOT($M644="Common")),$E644,"")</f>
        <v/>
      </c>
      <c r="HD644" s="580" t="str">
        <f t="shared" ref="HD644:HD681" si="161">IF(AND($C644="Efficiency", $O644="Acquisition/Rehab",$B644="NSP 120% AMI",NOT($M644="Common")),$E644,"")</f>
        <v/>
      </c>
      <c r="HE644" s="580" t="str">
        <f t="shared" ref="HE644:HE681" si="162">IF(AND($C644=1, $O644="Acquisition/Rehab",$B644="NSP 120% AMI",NOT($M644="Common")),$E644,"")</f>
        <v/>
      </c>
      <c r="HF644" s="580" t="str">
        <f t="shared" ref="HF644:HF681" si="163">IF(AND($C644=2, $O644="Acquisition/Rehab",$B644="NSP 120% AMI",NOT($M644="Common")),$E644,"")</f>
        <v/>
      </c>
      <c r="HG644" s="580" t="str">
        <f t="shared" ref="HG644:HG681" si="164">IF(AND($C644=3, $O644="Acquisition/Rehab",$B644="NSP 120% AMI",NOT($M644="Common")),$E644,"")</f>
        <v/>
      </c>
      <c r="HH644" s="580" t="str">
        <f t="shared" ref="HH644:HH681" si="165">IF(AND($C644=4, $O644="Acquisition/Rehab",$B644="NSP 120% AMI",NOT($M644="Common")),$E644,"")</f>
        <v/>
      </c>
      <c r="HI644" s="580" t="str">
        <f t="shared" ref="HI644:HI681" si="166">IF(AND($C644="Efficiency", $O644="Rehabilitation",$B644="NSP 120% AMI",NOT($M644="Common")),$E644,"")</f>
        <v/>
      </c>
      <c r="HJ644" s="580" t="str">
        <f t="shared" ref="HJ644:HJ681" si="167">IF(AND($C644=1, $O644="Rehabilitation",$B644="NSP 120% AMI",NOT($M644="Common")),$E644,"")</f>
        <v/>
      </c>
      <c r="HK644" s="580" t="str">
        <f t="shared" ref="HK644:HK681" si="168">IF(AND($C644=2, $O644="Rehabilitation",$B644="NSP 120% AMI",NOT($M644="Common")),$E644,"")</f>
        <v/>
      </c>
      <c r="HL644" s="580" t="str">
        <f t="shared" ref="HL644:HL681" si="169">IF(AND($C644=3, $O644="Rehabilitation",$B644="NSP 120% AMI",NOT($M644="Common")),$E644,"")</f>
        <v/>
      </c>
      <c r="HM644" s="580" t="str">
        <f t="shared" ref="HM644:HM681" si="170">IF(AND($C644=4, $O644="Rehabilitation",$B644="NSP 120% AMI",NOT($M644="Common")),$E644,"")</f>
        <v/>
      </c>
    </row>
    <row r="645" spans="1:221" ht="13.15" customHeight="1">
      <c r="A645" s="888" t="str">
        <f t="shared" ref="A645:A681" si="171">IF(AND(E645&gt;0,OR(B645="",C645="",D645="",F645="",G645="", H645="",M645="",N645="",O645="")),1,"")</f>
        <v/>
      </c>
      <c r="B645" s="1054" t="str">
        <f>'Part VI-Revenues &amp; Expenses'!B11</f>
        <v>60% AMI</v>
      </c>
      <c r="C645" s="1055">
        <f>'Part VI-Revenues &amp; Expenses'!C11</f>
        <v>1</v>
      </c>
      <c r="D645" s="1056">
        <f>'Part VI-Revenues &amp; Expenses'!D11</f>
        <v>1</v>
      </c>
      <c r="E645" s="1057">
        <f>'Part VI-Revenues &amp; Expenses'!E11</f>
        <v>10</v>
      </c>
      <c r="F645" s="1057">
        <f>'Part VI-Revenues &amp; Expenses'!F11</f>
        <v>650</v>
      </c>
      <c r="G645" s="1057">
        <f>'Part VI-Revenues &amp; Expenses'!G11</f>
        <v>589</v>
      </c>
      <c r="H645" s="1057">
        <f>'Part VI-Revenues &amp; Expenses'!H11</f>
        <v>589</v>
      </c>
      <c r="I645" s="1057">
        <f>'Part VI-Revenues &amp; Expenses'!I11</f>
        <v>128</v>
      </c>
      <c r="J645" s="818">
        <f>'Part VI-Revenues &amp; Expenses'!J11</f>
        <v>0</v>
      </c>
      <c r="K645" s="893">
        <f t="shared" ref="K645:K661" si="172">MAX(0,H645-I645)</f>
        <v>461</v>
      </c>
      <c r="L645" s="893">
        <f t="shared" si="0"/>
        <v>4610</v>
      </c>
      <c r="M645" s="783" t="str">
        <f>'Part VI-Revenues &amp; Expenses'!M11</f>
        <v>No</v>
      </c>
      <c r="N645" s="783" t="str">
        <f>'Part VI-Revenues &amp; Expenses'!N11</f>
        <v>3+ Story</v>
      </c>
      <c r="O645" s="783" t="str">
        <f>'Part VI-Revenues &amp; Expenses'!O11</f>
        <v>New Construction</v>
      </c>
      <c r="P645" s="894">
        <f>IF(H645="","",H645*12/0.3)</f>
        <v>23560</v>
      </c>
      <c r="Q645" s="895">
        <f>'Part VI-Revenues &amp; Expenses'!Q11</f>
        <v>0.60063734862970042</v>
      </c>
      <c r="R645" s="894"/>
      <c r="S645" s="895"/>
      <c r="T645" s="2130"/>
      <c r="U645" s="2130"/>
      <c r="V645" s="580" t="str">
        <f t="shared" si="1"/>
        <v/>
      </c>
      <c r="W645" s="580">
        <f t="shared" si="2"/>
        <v>10</v>
      </c>
      <c r="X645" s="580" t="str">
        <f t="shared" si="3"/>
        <v/>
      </c>
      <c r="Y645" s="580" t="str">
        <f t="shared" si="4"/>
        <v/>
      </c>
      <c r="Z645" s="580" t="str">
        <f t="shared" si="5"/>
        <v/>
      </c>
      <c r="AA645" s="580" t="str">
        <f t="shared" si="6"/>
        <v/>
      </c>
      <c r="AB645" s="580" t="str">
        <f t="shared" si="7"/>
        <v/>
      </c>
      <c r="AC645" s="580" t="str">
        <f t="shared" si="8"/>
        <v/>
      </c>
      <c r="AD645" s="580" t="str">
        <f t="shared" si="9"/>
        <v/>
      </c>
      <c r="AE645" s="580" t="str">
        <f t="shared" si="10"/>
        <v/>
      </c>
      <c r="AF645" s="580" t="str">
        <f t="shared" si="11"/>
        <v/>
      </c>
      <c r="AG645" s="580" t="str">
        <f t="shared" si="12"/>
        <v/>
      </c>
      <c r="AH645" s="580" t="str">
        <f t="shared" si="13"/>
        <v/>
      </c>
      <c r="AI645" s="580" t="str">
        <f t="shared" si="14"/>
        <v/>
      </c>
      <c r="AJ645" s="580" t="str">
        <f t="shared" si="15"/>
        <v/>
      </c>
      <c r="AK645" s="580" t="str">
        <f t="shared" si="16"/>
        <v/>
      </c>
      <c r="AL645" s="580" t="str">
        <f t="shared" si="17"/>
        <v/>
      </c>
      <c r="AM645" s="580" t="str">
        <f t="shared" si="18"/>
        <v/>
      </c>
      <c r="AN645" s="580" t="str">
        <f t="shared" si="19"/>
        <v/>
      </c>
      <c r="AO645" s="580" t="str">
        <f t="shared" si="20"/>
        <v/>
      </c>
      <c r="AP645" s="580" t="str">
        <f t="shared" ref="AP645:AP681" si="173">IF(OR(AND($C645="Efficiency",NOT($J645=""),NOT($J645="PHA Oper Sub"),$B645="30% AMI",NOT($M645="Common")),AND($C645="Efficiency",NOT($J645=""),NOT($J645="PHA Oper Sub"),$B645="HOME 30% AMI",NOT($M645="Common"))),$E645,"")</f>
        <v/>
      </c>
      <c r="AQ645" s="580" t="str">
        <f t="shared" ref="AQ645:AQ681" si="174">IF(OR(AND($C645=1,NOT($J645=""),NOT($J645="PHA Oper Sub"),$B645="30% AMI",NOT($M645="Common")),AND($C645=1,NOT($J645=""),NOT($J645="PHA Oper Sub"),$B645="HOME 30% AMI",NOT($M645="Common"))),$E645,"")</f>
        <v/>
      </c>
      <c r="AR645" s="580" t="str">
        <f t="shared" ref="AR645:AR681" si="175">IF(OR(AND($C645=2,NOT($J645=""),NOT($J645="PHA Oper Sub"),$B645="30% AMI",NOT($M645="Common")),AND($C645=2,NOT($J645=""),NOT($J645="PHA Oper Sub"),$B645="HOME 30% AMI",NOT($M645="Common"))),$E645,"")</f>
        <v/>
      </c>
      <c r="AS645" s="580" t="str">
        <f t="shared" ref="AS645:AS681" si="176">IF(OR(AND($C645=3,NOT($J645=""),NOT($J645="PHA Oper Sub"),$B645="30% AMI",NOT($M645="Common")),AND($C645=3,NOT($J645=""),NOT($J645="PHA Oper Sub"),$B645="HOME 30% AMI",NOT($M645="Common"))),$E645,"")</f>
        <v/>
      </c>
      <c r="AT645" s="580" t="str">
        <f t="shared" ref="AT645:AT681" si="177">IF(OR(AND($C645=4,NOT($J645=""),NOT($J645="PHA Oper Sub"),$B645="30% AMI",NOT($M645="Common")),AND($C645=4,NOT($J645=""),NOT($J645="PHA Oper Sub"),$B645="HOME 30% AMI",NOT($M645="Common"))),$E645,"")</f>
        <v/>
      </c>
      <c r="AU645" s="580" t="str">
        <f t="shared" ref="AU645:AU681" si="178">IF(OR(AND($C645="Efficiency",NOT($J645=""),NOT($J645="PHA Oper Sub"),NOT($J645=0),$B645="50% AMI",NOT($M645="Common")),AND($C645="Efficiency",NOT($J645=""),NOT($J645=0),NOT($J645="PHA Oper Sub"),$B645="HOME 50% AMI",NOT($M645="Common"))),$E645,"")</f>
        <v/>
      </c>
      <c r="AV645" s="580" t="str">
        <f t="shared" ref="AV645:AV681" si="179">IF(OR(AND($C645=1,NOT($J645=""),NOT($J645=0),NOT($J645="PHA Oper Sub"),$B645="50% AMI",NOT($M645="Common")),AND($C645=1,NOT($J645=""),NOT($J645=0),NOT($J645="PHA Oper Sub"),$B645="HOME 50% AMI",NOT($M645="Common"))),$E645,"")</f>
        <v/>
      </c>
      <c r="AW645" s="580" t="str">
        <f t="shared" ref="AW645:AW681" si="180">IF(OR(AND($C645=2,NOT($J645=""),NOT($J645=0),NOT($J645="PHA Oper Sub"),$B645="50% AMI",NOT($M645="Common")),AND($C645=2,NOT($J645=""),NOT($J645=0),NOT($J645="PHA Oper Sub"),$B645="HOME 50% AMI",NOT($M645="Common"))),$E645,"")</f>
        <v/>
      </c>
      <c r="AX645" s="580" t="str">
        <f t="shared" ref="AX645:AX681" si="181">IF(OR(AND($C645=3,NOT($J645=""),NOT($J645=0),NOT($J645="PHA Oper Sub"),$B645="50% AMI",NOT($M645="Common")),AND($C645=3,NOT($J645=""),NOT($J645=0),NOT($J645="PHA Oper Sub"),$B645="HOME 50% AMI",NOT($M645="Common"))),$E645,"")</f>
        <v/>
      </c>
      <c r="AY645" s="580" t="str">
        <f t="shared" ref="AY645:AY681" si="182">IF(OR(AND($C645=4,NOT($J645=""),NOT($J645=0),NOT($J645="PHA Oper Sub"),$B645="50% AMI",NOT($M645="Common")),AND($C645=4,NOT($J645=""),NOT($J645=0),NOT($J645="PHA Oper Sub"),$B645="HOME 50% AMI",NOT($M645="Common"))),$E645,"")</f>
        <v/>
      </c>
      <c r="AZ645" s="580" t="str">
        <f t="shared" ref="AZ645:AZ681" si="183">IF(OR(AND($C645="Efficiency",NOT($J645=""),NOT($J645=0),NOT($J645="PHA Oper Sub"),$B645="60% AMI",NOT($M645="Common")),AND($C645="Efficiency",NOT($J645=""),NOT($J645=0),NOT($J645="PHA Oper Sub"),$B645="HOME 60% AMI",NOT($M645="Common"))),$E645,"")</f>
        <v/>
      </c>
      <c r="BA645" s="580" t="str">
        <f t="shared" ref="BA645:BA681" si="184">IF(OR(AND($C645=1,NOT($J645=""),NOT($J645=0),NOT($J645="PHA Oper Sub"),$B645="60% AMI",NOT($M645="Common")),AND($C645=1,NOT($J645=""),NOT($J645=0),NOT($J645="PHA Oper Sub"),$B645="HOME 60% AMI",NOT($M645="Common"))),$E645,"")</f>
        <v/>
      </c>
      <c r="BB645" s="580" t="str">
        <f t="shared" ref="BB645:BB681" si="185">IF(OR(AND($C645=2,NOT($J645=""),NOT($J645=0),NOT($J645="PHA Oper Sub"),$B645="60% AMI",NOT($M645="Common")),AND($C645=2,NOT($J645=""),NOT($J645=0),NOT($J645="PHA Oper Sub"),$B645="HOME 60% AMI",NOT($M645="Common"))),$E645,"")</f>
        <v/>
      </c>
      <c r="BC645" s="580" t="str">
        <f t="shared" ref="BC645:BC681" si="186">IF(OR(AND($C645=3,NOT($J645=""),NOT($J645=0),NOT($J645="PHA Oper Sub"),$B645="60% AMI",NOT($M645="Common")),AND($C645=3,NOT($J645=""),NOT($J645=0),NOT($J645="PHA Oper Sub"),$B645="HOME 60% AMI",NOT($M645="Common"))),$E645,"")</f>
        <v/>
      </c>
      <c r="BD645" s="580" t="str">
        <f t="shared" ref="BD645:BD681" si="187">IF(OR(AND($C645=4,NOT($J645=""),NOT($J645=0),NOT($J645="PHA Oper Sub"),$B645="60% AMI",NOT($M645="Common")),AND($C645=4,NOT($J645=""),NOT($J645=0),NOT($J645="PHA Oper Sub"),$B645="HOME 60% AMI",NOT($M645="Common"))),$E645,"")</f>
        <v/>
      </c>
      <c r="BE645" s="580" t="str">
        <f t="shared" ref="BE645:BE681" si="188">IF(OR(AND($C645="Efficiency",$J645="PHA Oper Sub",$B645="30% AMI",NOT($M645="Common")),AND($C645="Efficiency",$J645="PHA Oper Sub",$B645="HOME 30% AMI",NOT($M645="Common"))),$E645,"")</f>
        <v/>
      </c>
      <c r="BF645" s="580" t="str">
        <f t="shared" ref="BF645:BF681" si="189">IF(OR(AND($C645=1,$J645="PHA Oper Sub",$B645="30% AMI",NOT($M645="Common")),AND($C645=1,$J645="PHA Oper Sub",$B645="HOME 30% AMI",NOT($M645="Common"))),$E645,"")</f>
        <v/>
      </c>
      <c r="BG645" s="580" t="str">
        <f t="shared" ref="BG645:BG681" si="190">IF(OR(AND($C645=2,$J645="PHA Oper Sub",$B645="30% AMI",NOT($M645="Common")),AND($C645=2,$J645="PHA Oper Sub",$B645="HOME 30% AMI",NOT($M645="Common"))),$E645,"")</f>
        <v/>
      </c>
      <c r="BH645" s="580" t="str">
        <f t="shared" ref="BH645:BH681" si="191">IF(OR(AND($C645=3,$J645="PHA Oper Sub",$B645="30% AMI",NOT($M645="Common")),AND($C645=3,$J645="PHA Oper Sub",$B645="HOME 30% AMI",NOT($M645="Common"))),$E645,"")</f>
        <v/>
      </c>
      <c r="BI645" s="580" t="str">
        <f t="shared" ref="BI645:BI681" si="192">IF(OR(AND($C645=4,$J645="PHA Oper Sub",$B645="30% AMI",NOT($M645="Common")),AND($C645=4,$J645="PHA Oper Sub",$B645="HOME 30% AMI",NOT($M645="Common"))),$E645,"")</f>
        <v/>
      </c>
      <c r="BJ645" s="580" t="str">
        <f t="shared" ref="BJ645:BJ681" si="193">IF(OR(AND($C645="Efficiency",$J645="PHA Oper Sub",$B645="50% AMI",NOT($M645="Common")),AND($C645="Efficiency",$J645="PHA Oper Sub",$B645="HOME 50% AMI",NOT($M645="Common"))),$E645,"")</f>
        <v/>
      </c>
      <c r="BK645" s="580" t="str">
        <f t="shared" ref="BK645:BK681" si="194">IF(OR(AND($C645=1,$J645="PHA Oper Sub",$B645="50% AMI",NOT($M645="Common")),AND($C645=1,$J645="PHA Oper Sub",$B645="HOME 50% AMI",NOT($M645="Common"))),$E645,"")</f>
        <v/>
      </c>
      <c r="BL645" s="580" t="str">
        <f t="shared" ref="BL645:BL681" si="195">IF(OR(AND($C645=2,$J645="PHA Oper Sub",$B645="50% AMI",NOT($M645="Common")),AND($C645=2,$J645="PHA Oper Sub",$B645="HOME 50% AMI",NOT($M645="Common"))),$E645,"")</f>
        <v/>
      </c>
      <c r="BM645" s="580" t="str">
        <f t="shared" ref="BM645:BM681" si="196">IF(OR(AND($C645=3,$J645="PHA Oper Sub",$B645="50% AMI",NOT($M645="Common")),AND($C645=3,$J645="PHA Oper Sub",$B645="HOME 50% AMI",NOT($M645="Common"))),$E645,"")</f>
        <v/>
      </c>
      <c r="BN645" s="580" t="str">
        <f t="shared" ref="BN645:BN681" si="197">IF(OR(AND($C645=4,$J645="PHA Oper Sub",$B645="50% AMI",NOT($M645="Common")),AND($C645=4,$J645="PHA Oper Sub",$B645="HOME 50% AMI",NOT($M645="Common"))),$E645,"")</f>
        <v/>
      </c>
      <c r="BO645" s="580" t="str">
        <f t="shared" ref="BO645:BO681" si="198">IF(OR(AND($C645="Efficiency",$J645="PHA Oper Sub",$B645="60% AMI",NOT($M645="Common")),AND($C645="Efficiency",$J645="PHA Oper Sub",$B645="HOME 60% AMI",NOT($M645="Common"))),$E645,"")</f>
        <v/>
      </c>
      <c r="BP645" s="580" t="str">
        <f t="shared" ref="BP645:BP681" si="199">IF(OR(AND($C645=1,$J645="PHA Oper Sub",$B645="60% AMI",NOT($M645="Common")),AND($C645=1,$J645="PHA Oper Sub",$B645="HOME 60% AMI",NOT($M645="Common"))),$E645,"")</f>
        <v/>
      </c>
      <c r="BQ645" s="580" t="str">
        <f t="shared" ref="BQ645:BQ681" si="200">IF(OR(AND($C645=2,$J645="PHA Oper Sub",$B645="60% AMI",NOT($M645="Common")),AND($C645=2,$J645="PHA Oper Sub",$B645="HOME 60% AMI",NOT($M645="Common"))),$E645,"")</f>
        <v/>
      </c>
      <c r="BR645" s="580" t="str">
        <f t="shared" ref="BR645:BR681" si="201">IF(OR(AND($C645=3,$J645="PHA Oper Sub",$B645="60% AMI",NOT($M645="Common")),AND($C645=3,$J645="PHA Oper Sub",$B645="HOME 60% AMI",NOT($M645="Common"))),$E645,"")</f>
        <v/>
      </c>
      <c r="BS645" s="580" t="str">
        <f t="shared" ref="BS645:BS681" si="202">IF(OR(AND($C645=4,$J645="PHA Oper Sub",$B645="60% AMI",NOT($M645="Common")),AND($C645=4,$J645="PHA Oper Sub",$B645="HOME 60% AMI",NOT($M645="Common"))),$E645,"")</f>
        <v/>
      </c>
      <c r="BT645" s="580" t="str">
        <f t="shared" si="21"/>
        <v/>
      </c>
      <c r="BU645" s="580" t="str">
        <f t="shared" si="22"/>
        <v/>
      </c>
      <c r="BV645" s="580" t="str">
        <f t="shared" si="23"/>
        <v/>
      </c>
      <c r="BW645" s="580" t="str">
        <f t="shared" si="24"/>
        <v/>
      </c>
      <c r="BX645" s="580" t="str">
        <f t="shared" si="25"/>
        <v/>
      </c>
      <c r="BY645" s="580" t="str">
        <f t="shared" si="26"/>
        <v/>
      </c>
      <c r="BZ645" s="580">
        <f t="shared" si="27"/>
        <v>6500</v>
      </c>
      <c r="CA645" s="580" t="str">
        <f t="shared" si="28"/>
        <v/>
      </c>
      <c r="CB645" s="580" t="str">
        <f t="shared" si="29"/>
        <v/>
      </c>
      <c r="CC645" s="580" t="str">
        <f t="shared" si="30"/>
        <v/>
      </c>
      <c r="CD645" s="580" t="str">
        <f t="shared" si="31"/>
        <v/>
      </c>
      <c r="CE645" s="580" t="str">
        <f t="shared" si="32"/>
        <v/>
      </c>
      <c r="CF645" s="580" t="str">
        <f t="shared" si="33"/>
        <v/>
      </c>
      <c r="CG645" s="580" t="str">
        <f t="shared" si="34"/>
        <v/>
      </c>
      <c r="CH645" s="580" t="str">
        <f t="shared" si="35"/>
        <v/>
      </c>
      <c r="CI645" s="580" t="str">
        <f t="shared" si="36"/>
        <v/>
      </c>
      <c r="CJ645" s="580" t="str">
        <f t="shared" si="37"/>
        <v/>
      </c>
      <c r="CK645" s="580" t="str">
        <f t="shared" si="38"/>
        <v/>
      </c>
      <c r="CL645" s="580" t="str">
        <f t="shared" si="39"/>
        <v/>
      </c>
      <c r="CM645" s="580" t="str">
        <f t="shared" si="40"/>
        <v/>
      </c>
      <c r="CN645" s="580" t="str">
        <f t="shared" si="41"/>
        <v/>
      </c>
      <c r="CO645" s="580" t="str">
        <f t="shared" si="42"/>
        <v/>
      </c>
      <c r="CP645" s="580" t="str">
        <f t="shared" si="43"/>
        <v/>
      </c>
      <c r="CQ645" s="580" t="str">
        <f t="shared" si="44"/>
        <v/>
      </c>
      <c r="CR645" s="580" t="str">
        <f t="shared" si="45"/>
        <v/>
      </c>
      <c r="CS645" s="580" t="str">
        <f t="shared" si="46"/>
        <v/>
      </c>
      <c r="CT645" s="580" t="str">
        <f t="shared" si="47"/>
        <v/>
      </c>
      <c r="CU645" s="580" t="str">
        <f t="shared" si="48"/>
        <v/>
      </c>
      <c r="CV645" s="580" t="str">
        <f t="shared" si="49"/>
        <v/>
      </c>
      <c r="CW645" s="580" t="str">
        <f t="shared" si="50"/>
        <v/>
      </c>
      <c r="CX645" s="580" t="str">
        <f t="shared" si="51"/>
        <v/>
      </c>
      <c r="CY645" s="580" t="str">
        <f t="shared" si="52"/>
        <v/>
      </c>
      <c r="CZ645" s="580" t="str">
        <f t="shared" si="53"/>
        <v/>
      </c>
      <c r="DA645" s="580" t="str">
        <f t="shared" si="54"/>
        <v/>
      </c>
      <c r="DB645" s="580" t="str">
        <f t="shared" si="55"/>
        <v/>
      </c>
      <c r="DC645" s="580" t="str">
        <f t="shared" si="56"/>
        <v/>
      </c>
      <c r="DD645" s="580">
        <f t="shared" si="57"/>
        <v>10</v>
      </c>
      <c r="DE645" s="580" t="str">
        <f t="shared" si="58"/>
        <v/>
      </c>
      <c r="DF645" s="580" t="str">
        <f t="shared" si="59"/>
        <v/>
      </c>
      <c r="DG645" s="580" t="str">
        <f t="shared" si="60"/>
        <v/>
      </c>
      <c r="DH645" s="580" t="str">
        <f t="shared" si="61"/>
        <v/>
      </c>
      <c r="DI645" s="580" t="str">
        <f t="shared" si="62"/>
        <v/>
      </c>
      <c r="DJ645" s="580" t="str">
        <f t="shared" si="63"/>
        <v/>
      </c>
      <c r="DK645" s="580" t="str">
        <f t="shared" si="64"/>
        <v/>
      </c>
      <c r="DL645" s="580" t="str">
        <f t="shared" si="65"/>
        <v/>
      </c>
      <c r="DM645" s="580" t="str">
        <f t="shared" si="66"/>
        <v/>
      </c>
      <c r="DN645" s="580" t="str">
        <f t="shared" si="67"/>
        <v/>
      </c>
      <c r="DO645" s="580" t="str">
        <f t="shared" si="68"/>
        <v/>
      </c>
      <c r="DP645" s="580" t="str">
        <f t="shared" si="69"/>
        <v/>
      </c>
      <c r="DQ645" s="580" t="str">
        <f t="shared" si="70"/>
        <v/>
      </c>
      <c r="DR645" s="580" t="str">
        <f t="shared" si="71"/>
        <v/>
      </c>
      <c r="DS645" s="580" t="str">
        <f t="shared" si="72"/>
        <v/>
      </c>
      <c r="DT645" s="580" t="str">
        <f t="shared" si="73"/>
        <v/>
      </c>
      <c r="DU645" s="580" t="str">
        <f t="shared" si="74"/>
        <v/>
      </c>
      <c r="DV645" s="580" t="str">
        <f t="shared" si="75"/>
        <v/>
      </c>
      <c r="DW645" s="580" t="str">
        <f t="shared" si="76"/>
        <v/>
      </c>
      <c r="DX645" s="580" t="str">
        <f t="shared" si="77"/>
        <v/>
      </c>
      <c r="DY645" s="580" t="str">
        <f t="shared" si="78"/>
        <v/>
      </c>
      <c r="DZ645" s="580" t="str">
        <f t="shared" si="79"/>
        <v/>
      </c>
      <c r="EA645" s="580" t="str">
        <f t="shared" si="80"/>
        <v/>
      </c>
      <c r="EB645" s="580" t="str">
        <f t="shared" si="81"/>
        <v/>
      </c>
      <c r="EC645" s="580" t="str">
        <f t="shared" si="82"/>
        <v/>
      </c>
      <c r="ED645" s="580" t="str">
        <f t="shared" si="83"/>
        <v/>
      </c>
      <c r="EE645" s="580" t="str">
        <f t="shared" si="84"/>
        <v/>
      </c>
      <c r="EF645" s="580" t="str">
        <f t="shared" si="85"/>
        <v/>
      </c>
      <c r="EG645" s="580" t="str">
        <f t="shared" si="86"/>
        <v/>
      </c>
      <c r="EH645" s="580" t="str">
        <f t="shared" si="87"/>
        <v/>
      </c>
      <c r="EI645" s="580" t="str">
        <f t="shared" si="88"/>
        <v/>
      </c>
      <c r="EJ645" s="580" t="str">
        <f t="shared" si="89"/>
        <v/>
      </c>
      <c r="EK645" s="580" t="str">
        <f t="shared" si="90"/>
        <v/>
      </c>
      <c r="EL645" s="580" t="str">
        <f t="shared" si="91"/>
        <v/>
      </c>
      <c r="EM645" s="580" t="str">
        <f t="shared" si="92"/>
        <v/>
      </c>
      <c r="EN645" s="580" t="str">
        <f t="shared" si="93"/>
        <v/>
      </c>
      <c r="EO645" s="580" t="str">
        <f t="shared" si="94"/>
        <v/>
      </c>
      <c r="EP645" s="580" t="str">
        <f t="shared" si="95"/>
        <v/>
      </c>
      <c r="EQ645" s="580" t="str">
        <f t="shared" si="96"/>
        <v/>
      </c>
      <c r="ER645" s="580" t="str">
        <f t="shared" si="97"/>
        <v/>
      </c>
      <c r="ES645" s="580" t="str">
        <f t="shared" si="98"/>
        <v/>
      </c>
      <c r="ET645" s="580" t="str">
        <f t="shared" si="99"/>
        <v/>
      </c>
      <c r="EU645" s="580" t="str">
        <f t="shared" si="100"/>
        <v/>
      </c>
      <c r="EV645" s="785" t="str">
        <f t="shared" si="101"/>
        <v/>
      </c>
      <c r="EW645" s="785">
        <f t="shared" si="102"/>
        <v>10</v>
      </c>
      <c r="EX645" s="785" t="str">
        <f t="shared" si="103"/>
        <v/>
      </c>
      <c r="EY645" s="785" t="str">
        <f t="shared" si="104"/>
        <v/>
      </c>
      <c r="EZ645" s="785" t="str">
        <f t="shared" si="105"/>
        <v/>
      </c>
      <c r="FA645" s="785" t="str">
        <f t="shared" si="106"/>
        <v/>
      </c>
      <c r="FB645" s="785" t="str">
        <f t="shared" si="107"/>
        <v/>
      </c>
      <c r="FC645" s="785" t="str">
        <f t="shared" si="108"/>
        <v/>
      </c>
      <c r="FD645" s="785" t="str">
        <f t="shared" si="109"/>
        <v/>
      </c>
      <c r="FE645" s="785" t="str">
        <f t="shared" si="110"/>
        <v/>
      </c>
      <c r="FF645" s="785" t="str">
        <f t="shared" si="111"/>
        <v/>
      </c>
      <c r="FG645" s="785" t="str">
        <f t="shared" si="112"/>
        <v/>
      </c>
      <c r="FH645" s="785" t="str">
        <f t="shared" si="113"/>
        <v/>
      </c>
      <c r="FI645" s="785" t="str">
        <f t="shared" si="114"/>
        <v/>
      </c>
      <c r="FJ645" s="785" t="str">
        <f t="shared" si="115"/>
        <v/>
      </c>
      <c r="FK645" s="785" t="str">
        <f t="shared" si="116"/>
        <v/>
      </c>
      <c r="FL645" s="785" t="str">
        <f t="shared" si="117"/>
        <v/>
      </c>
      <c r="FM645" s="785" t="str">
        <f t="shared" si="118"/>
        <v/>
      </c>
      <c r="FN645" s="785" t="str">
        <f t="shared" si="119"/>
        <v/>
      </c>
      <c r="FO645" s="785" t="str">
        <f t="shared" si="120"/>
        <v/>
      </c>
      <c r="FP645" s="785" t="str">
        <f t="shared" si="121"/>
        <v/>
      </c>
      <c r="FQ645" s="785" t="str">
        <f t="shared" si="122"/>
        <v/>
      </c>
      <c r="FR645" s="785" t="str">
        <f t="shared" si="123"/>
        <v/>
      </c>
      <c r="FS645" s="785" t="str">
        <f t="shared" si="124"/>
        <v/>
      </c>
      <c r="FT645" s="785" t="str">
        <f t="shared" si="125"/>
        <v/>
      </c>
      <c r="FU645" s="785" t="str">
        <f t="shared" si="126"/>
        <v/>
      </c>
      <c r="FV645" s="785" t="str">
        <f t="shared" si="127"/>
        <v/>
      </c>
      <c r="FW645" s="785" t="str">
        <f t="shared" si="128"/>
        <v/>
      </c>
      <c r="FX645" s="785" t="str">
        <f t="shared" si="129"/>
        <v/>
      </c>
      <c r="FY645" s="785" t="str">
        <f t="shared" si="130"/>
        <v/>
      </c>
      <c r="FZ645" s="785" t="str">
        <f t="shared" si="131"/>
        <v/>
      </c>
      <c r="GA645" s="785" t="str">
        <f t="shared" si="132"/>
        <v/>
      </c>
      <c r="GB645" s="785" t="str">
        <f t="shared" si="133"/>
        <v/>
      </c>
      <c r="GC645" s="785" t="str">
        <f t="shared" si="134"/>
        <v/>
      </c>
      <c r="GD645" s="785" t="str">
        <f t="shared" si="135"/>
        <v/>
      </c>
      <c r="GE645" s="785" t="str">
        <f t="shared" si="136"/>
        <v/>
      </c>
      <c r="GF645" s="785" t="str">
        <f t="shared" si="137"/>
        <v/>
      </c>
      <c r="GG645" s="785" t="str">
        <f t="shared" si="138"/>
        <v/>
      </c>
      <c r="GH645" s="785" t="str">
        <f t="shared" si="139"/>
        <v/>
      </c>
      <c r="GI645" s="785" t="str">
        <f t="shared" si="140"/>
        <v/>
      </c>
      <c r="GJ645" s="785" t="str">
        <f t="shared" si="141"/>
        <v/>
      </c>
      <c r="GK645" s="785">
        <f t="shared" si="142"/>
        <v>10</v>
      </c>
      <c r="GL645" s="785" t="str">
        <f t="shared" si="143"/>
        <v/>
      </c>
      <c r="GM645" s="785" t="str">
        <f t="shared" si="144"/>
        <v/>
      </c>
      <c r="GN645" s="785" t="str">
        <f t="shared" si="145"/>
        <v/>
      </c>
      <c r="GO645" s="786" t="str">
        <f t="shared" si="146"/>
        <v/>
      </c>
      <c r="GP645" s="786" t="str">
        <f t="shared" si="147"/>
        <v/>
      </c>
      <c r="GQ645" s="786" t="str">
        <f t="shared" si="148"/>
        <v/>
      </c>
      <c r="GR645" s="786" t="str">
        <f t="shared" si="149"/>
        <v/>
      </c>
      <c r="GS645" s="786" t="str">
        <f t="shared" si="150"/>
        <v/>
      </c>
      <c r="GT645" s="580" t="str">
        <f t="shared" si="151"/>
        <v/>
      </c>
      <c r="GU645" s="580" t="str">
        <f t="shared" si="152"/>
        <v/>
      </c>
      <c r="GV645" s="580" t="str">
        <f t="shared" si="153"/>
        <v/>
      </c>
      <c r="GW645" s="580" t="str">
        <f t="shared" si="154"/>
        <v/>
      </c>
      <c r="GX645" s="580" t="str">
        <f t="shared" si="155"/>
        <v/>
      </c>
      <c r="GY645" s="580" t="str">
        <f t="shared" si="156"/>
        <v/>
      </c>
      <c r="GZ645" s="580" t="str">
        <f t="shared" si="157"/>
        <v/>
      </c>
      <c r="HA645" s="580" t="str">
        <f t="shared" si="158"/>
        <v/>
      </c>
      <c r="HB645" s="580" t="str">
        <f t="shared" si="159"/>
        <v/>
      </c>
      <c r="HC645" s="580" t="str">
        <f t="shared" si="160"/>
        <v/>
      </c>
      <c r="HD645" s="580" t="str">
        <f t="shared" si="161"/>
        <v/>
      </c>
      <c r="HE645" s="580" t="str">
        <f t="shared" si="162"/>
        <v/>
      </c>
      <c r="HF645" s="580" t="str">
        <f t="shared" si="163"/>
        <v/>
      </c>
      <c r="HG645" s="580" t="str">
        <f t="shared" si="164"/>
        <v/>
      </c>
      <c r="HH645" s="580" t="str">
        <f t="shared" si="165"/>
        <v/>
      </c>
      <c r="HI645" s="580" t="str">
        <f t="shared" si="166"/>
        <v/>
      </c>
      <c r="HJ645" s="580" t="str">
        <f t="shared" si="167"/>
        <v/>
      </c>
      <c r="HK645" s="580" t="str">
        <f t="shared" si="168"/>
        <v/>
      </c>
      <c r="HL645" s="580" t="str">
        <f t="shared" si="169"/>
        <v/>
      </c>
      <c r="HM645" s="580" t="str">
        <f t="shared" si="170"/>
        <v/>
      </c>
    </row>
    <row r="646" spans="1:221" ht="13.15" customHeight="1">
      <c r="A646" s="888" t="str">
        <f t="shared" si="171"/>
        <v/>
      </c>
      <c r="B646" s="1054" t="str">
        <f>'Part VI-Revenues &amp; Expenses'!B12</f>
        <v>Unrestricted</v>
      </c>
      <c r="C646" s="1055">
        <f>'Part VI-Revenues &amp; Expenses'!C12</f>
        <v>1</v>
      </c>
      <c r="D646" s="1056">
        <f>'Part VI-Revenues &amp; Expenses'!D12</f>
        <v>1</v>
      </c>
      <c r="E646" s="1057">
        <f>'Part VI-Revenues &amp; Expenses'!E12</f>
        <v>1</v>
      </c>
      <c r="F646" s="1057">
        <f>'Part VI-Revenues &amp; Expenses'!F12</f>
        <v>650</v>
      </c>
      <c r="G646" s="1057">
        <f>'Part VI-Revenues &amp; Expenses'!G12</f>
        <v>580</v>
      </c>
      <c r="H646" s="1057">
        <f>'Part VI-Revenues &amp; Expenses'!H12</f>
        <v>580</v>
      </c>
      <c r="I646" s="1057">
        <f>'Part VI-Revenues &amp; Expenses'!I12</f>
        <v>0</v>
      </c>
      <c r="J646" s="818">
        <f>'Part VI-Revenues &amp; Expenses'!J12</f>
        <v>0</v>
      </c>
      <c r="K646" s="893">
        <f t="shared" si="172"/>
        <v>580</v>
      </c>
      <c r="L646" s="893">
        <f t="shared" si="0"/>
        <v>580</v>
      </c>
      <c r="M646" s="783" t="str">
        <f>'Part VI-Revenues &amp; Expenses'!M12</f>
        <v>No</v>
      </c>
      <c r="N646" s="783" t="str">
        <f>'Part VI-Revenues &amp; Expenses'!N12</f>
        <v>3+ Story</v>
      </c>
      <c r="O646" s="783" t="str">
        <f>'Part VI-Revenues &amp; Expenses'!O12</f>
        <v>New Construction</v>
      </c>
      <c r="P646" s="894">
        <f>IF(H646="","",H646*12/0.3)</f>
        <v>23200</v>
      </c>
      <c r="Q646" s="895">
        <f>'Part VI-Revenues &amp; Expenses'!Q12</f>
        <v>0.59145952836201399</v>
      </c>
      <c r="R646" s="894"/>
      <c r="S646" s="895"/>
      <c r="T646" s="2130"/>
      <c r="U646" s="2130"/>
      <c r="V646" s="580" t="str">
        <f t="shared" si="1"/>
        <v/>
      </c>
      <c r="W646" s="580" t="str">
        <f t="shared" si="2"/>
        <v/>
      </c>
      <c r="X646" s="580" t="str">
        <f t="shared" si="3"/>
        <v/>
      </c>
      <c r="Y646" s="580" t="str">
        <f t="shared" si="4"/>
        <v/>
      </c>
      <c r="Z646" s="580" t="str">
        <f t="shared" si="5"/>
        <v/>
      </c>
      <c r="AA646" s="580" t="str">
        <f t="shared" si="6"/>
        <v/>
      </c>
      <c r="AB646" s="580" t="str">
        <f t="shared" si="7"/>
        <v/>
      </c>
      <c r="AC646" s="580" t="str">
        <f t="shared" si="8"/>
        <v/>
      </c>
      <c r="AD646" s="580" t="str">
        <f t="shared" si="9"/>
        <v/>
      </c>
      <c r="AE646" s="580" t="str">
        <f t="shared" si="10"/>
        <v/>
      </c>
      <c r="AF646" s="580" t="str">
        <f t="shared" si="11"/>
        <v/>
      </c>
      <c r="AG646" s="580" t="str">
        <f t="shared" si="12"/>
        <v/>
      </c>
      <c r="AH646" s="580" t="str">
        <f t="shared" si="13"/>
        <v/>
      </c>
      <c r="AI646" s="580" t="str">
        <f t="shared" si="14"/>
        <v/>
      </c>
      <c r="AJ646" s="580" t="str">
        <f t="shared" si="15"/>
        <v/>
      </c>
      <c r="AK646" s="580" t="str">
        <f t="shared" si="16"/>
        <v/>
      </c>
      <c r="AL646" s="580">
        <f t="shared" si="17"/>
        <v>1</v>
      </c>
      <c r="AM646" s="580" t="str">
        <f t="shared" si="18"/>
        <v/>
      </c>
      <c r="AN646" s="580" t="str">
        <f t="shared" si="19"/>
        <v/>
      </c>
      <c r="AO646" s="580" t="str">
        <f t="shared" si="20"/>
        <v/>
      </c>
      <c r="AP646" s="580" t="str">
        <f t="shared" si="173"/>
        <v/>
      </c>
      <c r="AQ646" s="580" t="str">
        <f t="shared" si="174"/>
        <v/>
      </c>
      <c r="AR646" s="580" t="str">
        <f t="shared" si="175"/>
        <v/>
      </c>
      <c r="AS646" s="580" t="str">
        <f t="shared" si="176"/>
        <v/>
      </c>
      <c r="AT646" s="580" t="str">
        <f t="shared" si="177"/>
        <v/>
      </c>
      <c r="AU646" s="580" t="str">
        <f t="shared" si="178"/>
        <v/>
      </c>
      <c r="AV646" s="580" t="str">
        <f t="shared" si="179"/>
        <v/>
      </c>
      <c r="AW646" s="580" t="str">
        <f t="shared" si="180"/>
        <v/>
      </c>
      <c r="AX646" s="580" t="str">
        <f t="shared" si="181"/>
        <v/>
      </c>
      <c r="AY646" s="580" t="str">
        <f t="shared" si="182"/>
        <v/>
      </c>
      <c r="AZ646" s="580" t="str">
        <f t="shared" si="183"/>
        <v/>
      </c>
      <c r="BA646" s="580" t="str">
        <f t="shared" si="184"/>
        <v/>
      </c>
      <c r="BB646" s="580" t="str">
        <f t="shared" si="185"/>
        <v/>
      </c>
      <c r="BC646" s="580" t="str">
        <f t="shared" si="186"/>
        <v/>
      </c>
      <c r="BD646" s="580" t="str">
        <f t="shared" si="187"/>
        <v/>
      </c>
      <c r="BE646" s="580" t="str">
        <f t="shared" si="188"/>
        <v/>
      </c>
      <c r="BF646" s="580" t="str">
        <f t="shared" si="189"/>
        <v/>
      </c>
      <c r="BG646" s="580" t="str">
        <f t="shared" si="190"/>
        <v/>
      </c>
      <c r="BH646" s="580" t="str">
        <f t="shared" si="191"/>
        <v/>
      </c>
      <c r="BI646" s="580" t="str">
        <f t="shared" si="192"/>
        <v/>
      </c>
      <c r="BJ646" s="580" t="str">
        <f t="shared" si="193"/>
        <v/>
      </c>
      <c r="BK646" s="580" t="str">
        <f t="shared" si="194"/>
        <v/>
      </c>
      <c r="BL646" s="580" t="str">
        <f t="shared" si="195"/>
        <v/>
      </c>
      <c r="BM646" s="580" t="str">
        <f t="shared" si="196"/>
        <v/>
      </c>
      <c r="BN646" s="580" t="str">
        <f t="shared" si="197"/>
        <v/>
      </c>
      <c r="BO646" s="580" t="str">
        <f t="shared" si="198"/>
        <v/>
      </c>
      <c r="BP646" s="580" t="str">
        <f t="shared" si="199"/>
        <v/>
      </c>
      <c r="BQ646" s="580" t="str">
        <f t="shared" si="200"/>
        <v/>
      </c>
      <c r="BR646" s="580" t="str">
        <f t="shared" si="201"/>
        <v/>
      </c>
      <c r="BS646" s="580" t="str">
        <f t="shared" si="202"/>
        <v/>
      </c>
      <c r="BT646" s="580" t="str">
        <f t="shared" si="21"/>
        <v/>
      </c>
      <c r="BU646" s="580" t="str">
        <f t="shared" si="22"/>
        <v/>
      </c>
      <c r="BV646" s="580" t="str">
        <f t="shared" si="23"/>
        <v/>
      </c>
      <c r="BW646" s="580" t="str">
        <f t="shared" si="24"/>
        <v/>
      </c>
      <c r="BX646" s="580" t="str">
        <f t="shared" si="25"/>
        <v/>
      </c>
      <c r="BY646" s="580" t="str">
        <f t="shared" si="26"/>
        <v/>
      </c>
      <c r="BZ646" s="580" t="str">
        <f t="shared" si="27"/>
        <v/>
      </c>
      <c r="CA646" s="580" t="str">
        <f t="shared" si="28"/>
        <v/>
      </c>
      <c r="CB646" s="580" t="str">
        <f t="shared" si="29"/>
        <v/>
      </c>
      <c r="CC646" s="580" t="str">
        <f t="shared" si="30"/>
        <v/>
      </c>
      <c r="CD646" s="580" t="str">
        <f t="shared" si="31"/>
        <v/>
      </c>
      <c r="CE646" s="580" t="str">
        <f t="shared" si="32"/>
        <v/>
      </c>
      <c r="CF646" s="580" t="str">
        <f t="shared" si="33"/>
        <v/>
      </c>
      <c r="CG646" s="580" t="str">
        <f t="shared" si="34"/>
        <v/>
      </c>
      <c r="CH646" s="580" t="str">
        <f t="shared" si="35"/>
        <v/>
      </c>
      <c r="CI646" s="580" t="str">
        <f t="shared" si="36"/>
        <v/>
      </c>
      <c r="CJ646" s="580" t="str">
        <f t="shared" si="37"/>
        <v/>
      </c>
      <c r="CK646" s="580" t="str">
        <f t="shared" si="38"/>
        <v/>
      </c>
      <c r="CL646" s="580" t="str">
        <f t="shared" si="39"/>
        <v/>
      </c>
      <c r="CM646" s="580" t="str">
        <f t="shared" si="40"/>
        <v/>
      </c>
      <c r="CN646" s="580" t="str">
        <f t="shared" si="41"/>
        <v/>
      </c>
      <c r="CO646" s="580">
        <f t="shared" si="42"/>
        <v>650</v>
      </c>
      <c r="CP646" s="580" t="str">
        <f t="shared" si="43"/>
        <v/>
      </c>
      <c r="CQ646" s="580" t="str">
        <f t="shared" si="44"/>
        <v/>
      </c>
      <c r="CR646" s="580" t="str">
        <f t="shared" si="45"/>
        <v/>
      </c>
      <c r="CS646" s="580" t="str">
        <f t="shared" si="46"/>
        <v/>
      </c>
      <c r="CT646" s="580" t="str">
        <f t="shared" si="47"/>
        <v/>
      </c>
      <c r="CU646" s="580" t="str">
        <f t="shared" si="48"/>
        <v/>
      </c>
      <c r="CV646" s="580" t="str">
        <f t="shared" si="49"/>
        <v/>
      </c>
      <c r="CW646" s="580" t="str">
        <f t="shared" si="50"/>
        <v/>
      </c>
      <c r="CX646" s="580" t="str">
        <f t="shared" si="51"/>
        <v/>
      </c>
      <c r="CY646" s="580" t="str">
        <f t="shared" si="52"/>
        <v/>
      </c>
      <c r="CZ646" s="580" t="str">
        <f t="shared" si="53"/>
        <v/>
      </c>
      <c r="DA646" s="580" t="str">
        <f t="shared" si="54"/>
        <v/>
      </c>
      <c r="DB646" s="580" t="str">
        <f t="shared" si="55"/>
        <v/>
      </c>
      <c r="DC646" s="580" t="str">
        <f t="shared" si="56"/>
        <v/>
      </c>
      <c r="DD646" s="580" t="str">
        <f t="shared" si="57"/>
        <v/>
      </c>
      <c r="DE646" s="580" t="str">
        <f t="shared" si="58"/>
        <v/>
      </c>
      <c r="DF646" s="580" t="str">
        <f t="shared" si="59"/>
        <v/>
      </c>
      <c r="DG646" s="580" t="str">
        <f t="shared" si="60"/>
        <v/>
      </c>
      <c r="DH646" s="580" t="str">
        <f t="shared" si="61"/>
        <v/>
      </c>
      <c r="DI646" s="580">
        <f t="shared" si="62"/>
        <v>1</v>
      </c>
      <c r="DJ646" s="580" t="str">
        <f t="shared" si="63"/>
        <v/>
      </c>
      <c r="DK646" s="580" t="str">
        <f t="shared" si="64"/>
        <v/>
      </c>
      <c r="DL646" s="580" t="str">
        <f t="shared" si="65"/>
        <v/>
      </c>
      <c r="DM646" s="580" t="str">
        <f t="shared" si="66"/>
        <v/>
      </c>
      <c r="DN646" s="580" t="str">
        <f t="shared" si="67"/>
        <v/>
      </c>
      <c r="DO646" s="580" t="str">
        <f t="shared" si="68"/>
        <v/>
      </c>
      <c r="DP646" s="580" t="str">
        <f t="shared" si="69"/>
        <v/>
      </c>
      <c r="DQ646" s="580" t="str">
        <f t="shared" si="70"/>
        <v/>
      </c>
      <c r="DR646" s="580" t="str">
        <f t="shared" si="71"/>
        <v/>
      </c>
      <c r="DS646" s="580" t="str">
        <f t="shared" si="72"/>
        <v/>
      </c>
      <c r="DT646" s="580" t="str">
        <f t="shared" si="73"/>
        <v/>
      </c>
      <c r="DU646" s="580" t="str">
        <f t="shared" si="74"/>
        <v/>
      </c>
      <c r="DV646" s="580" t="str">
        <f t="shared" si="75"/>
        <v/>
      </c>
      <c r="DW646" s="580" t="str">
        <f t="shared" si="76"/>
        <v/>
      </c>
      <c r="DX646" s="580" t="str">
        <f t="shared" si="77"/>
        <v/>
      </c>
      <c r="DY646" s="580" t="str">
        <f t="shared" si="78"/>
        <v/>
      </c>
      <c r="DZ646" s="580" t="str">
        <f t="shared" si="79"/>
        <v/>
      </c>
      <c r="EA646" s="580" t="str">
        <f t="shared" si="80"/>
        <v/>
      </c>
      <c r="EB646" s="580" t="str">
        <f t="shared" si="81"/>
        <v/>
      </c>
      <c r="EC646" s="580" t="str">
        <f t="shared" si="82"/>
        <v/>
      </c>
      <c r="ED646" s="580" t="str">
        <f t="shared" si="83"/>
        <v/>
      </c>
      <c r="EE646" s="580" t="str">
        <f t="shared" si="84"/>
        <v/>
      </c>
      <c r="EF646" s="580" t="str">
        <f t="shared" si="85"/>
        <v/>
      </c>
      <c r="EG646" s="580" t="str">
        <f t="shared" si="86"/>
        <v/>
      </c>
      <c r="EH646" s="580" t="str">
        <f t="shared" si="87"/>
        <v/>
      </c>
      <c r="EI646" s="580" t="str">
        <f t="shared" si="88"/>
        <v/>
      </c>
      <c r="EJ646" s="580" t="str">
        <f t="shared" si="89"/>
        <v/>
      </c>
      <c r="EK646" s="580" t="str">
        <f t="shared" si="90"/>
        <v/>
      </c>
      <c r="EL646" s="580" t="str">
        <f t="shared" si="91"/>
        <v/>
      </c>
      <c r="EM646" s="580" t="str">
        <f t="shared" si="92"/>
        <v/>
      </c>
      <c r="EN646" s="580" t="str">
        <f t="shared" si="93"/>
        <v/>
      </c>
      <c r="EO646" s="580" t="str">
        <f t="shared" si="94"/>
        <v/>
      </c>
      <c r="EP646" s="580" t="str">
        <f t="shared" si="95"/>
        <v/>
      </c>
      <c r="EQ646" s="580" t="str">
        <f t="shared" si="96"/>
        <v/>
      </c>
      <c r="ER646" s="580" t="str">
        <f t="shared" si="97"/>
        <v/>
      </c>
      <c r="ES646" s="580" t="str">
        <f t="shared" si="98"/>
        <v/>
      </c>
      <c r="ET646" s="580" t="str">
        <f t="shared" si="99"/>
        <v/>
      </c>
      <c r="EU646" s="580" t="str">
        <f t="shared" si="100"/>
        <v/>
      </c>
      <c r="EV646" s="785" t="str">
        <f t="shared" si="101"/>
        <v/>
      </c>
      <c r="EW646" s="785">
        <f t="shared" si="102"/>
        <v>1</v>
      </c>
      <c r="EX646" s="785" t="str">
        <f t="shared" si="103"/>
        <v/>
      </c>
      <c r="EY646" s="785" t="str">
        <f t="shared" si="104"/>
        <v/>
      </c>
      <c r="EZ646" s="785" t="str">
        <f t="shared" si="105"/>
        <v/>
      </c>
      <c r="FA646" s="785" t="str">
        <f t="shared" si="106"/>
        <v/>
      </c>
      <c r="FB646" s="785" t="str">
        <f t="shared" si="107"/>
        <v/>
      </c>
      <c r="FC646" s="785" t="str">
        <f t="shared" si="108"/>
        <v/>
      </c>
      <c r="FD646" s="785" t="str">
        <f t="shared" si="109"/>
        <v/>
      </c>
      <c r="FE646" s="785" t="str">
        <f t="shared" si="110"/>
        <v/>
      </c>
      <c r="FF646" s="785" t="str">
        <f t="shared" si="111"/>
        <v/>
      </c>
      <c r="FG646" s="785" t="str">
        <f t="shared" si="112"/>
        <v/>
      </c>
      <c r="FH646" s="785" t="str">
        <f t="shared" si="113"/>
        <v/>
      </c>
      <c r="FI646" s="785" t="str">
        <f t="shared" si="114"/>
        <v/>
      </c>
      <c r="FJ646" s="785" t="str">
        <f t="shared" si="115"/>
        <v/>
      </c>
      <c r="FK646" s="785" t="str">
        <f t="shared" si="116"/>
        <v/>
      </c>
      <c r="FL646" s="785" t="str">
        <f t="shared" si="117"/>
        <v/>
      </c>
      <c r="FM646" s="785" t="str">
        <f t="shared" si="118"/>
        <v/>
      </c>
      <c r="FN646" s="785" t="str">
        <f t="shared" si="119"/>
        <v/>
      </c>
      <c r="FO646" s="785" t="str">
        <f t="shared" si="120"/>
        <v/>
      </c>
      <c r="FP646" s="785" t="str">
        <f t="shared" si="121"/>
        <v/>
      </c>
      <c r="FQ646" s="785" t="str">
        <f t="shared" si="122"/>
        <v/>
      </c>
      <c r="FR646" s="785" t="str">
        <f t="shared" si="123"/>
        <v/>
      </c>
      <c r="FS646" s="785" t="str">
        <f t="shared" si="124"/>
        <v/>
      </c>
      <c r="FT646" s="785" t="str">
        <f t="shared" si="125"/>
        <v/>
      </c>
      <c r="FU646" s="785" t="str">
        <f t="shared" si="126"/>
        <v/>
      </c>
      <c r="FV646" s="785" t="str">
        <f t="shared" si="127"/>
        <v/>
      </c>
      <c r="FW646" s="785" t="str">
        <f t="shared" si="128"/>
        <v/>
      </c>
      <c r="FX646" s="785" t="str">
        <f t="shared" si="129"/>
        <v/>
      </c>
      <c r="FY646" s="785" t="str">
        <f t="shared" si="130"/>
        <v/>
      </c>
      <c r="FZ646" s="785" t="str">
        <f t="shared" si="131"/>
        <v/>
      </c>
      <c r="GA646" s="785" t="str">
        <f t="shared" si="132"/>
        <v/>
      </c>
      <c r="GB646" s="785" t="str">
        <f t="shared" si="133"/>
        <v/>
      </c>
      <c r="GC646" s="785" t="str">
        <f t="shared" si="134"/>
        <v/>
      </c>
      <c r="GD646" s="785" t="str">
        <f t="shared" si="135"/>
        <v/>
      </c>
      <c r="GE646" s="785" t="str">
        <f t="shared" si="136"/>
        <v/>
      </c>
      <c r="GF646" s="785" t="str">
        <f t="shared" si="137"/>
        <v/>
      </c>
      <c r="GG646" s="785" t="str">
        <f t="shared" si="138"/>
        <v/>
      </c>
      <c r="GH646" s="785" t="str">
        <f t="shared" si="139"/>
        <v/>
      </c>
      <c r="GI646" s="785" t="str">
        <f t="shared" si="140"/>
        <v/>
      </c>
      <c r="GJ646" s="785" t="str">
        <f t="shared" si="141"/>
        <v/>
      </c>
      <c r="GK646" s="785">
        <f t="shared" si="142"/>
        <v>1</v>
      </c>
      <c r="GL646" s="785" t="str">
        <f t="shared" si="143"/>
        <v/>
      </c>
      <c r="GM646" s="785" t="str">
        <f t="shared" si="144"/>
        <v/>
      </c>
      <c r="GN646" s="785" t="str">
        <f t="shared" si="145"/>
        <v/>
      </c>
      <c r="GO646" s="786" t="str">
        <f t="shared" si="146"/>
        <v/>
      </c>
      <c r="GP646" s="786" t="str">
        <f t="shared" si="147"/>
        <v/>
      </c>
      <c r="GQ646" s="786" t="str">
        <f t="shared" si="148"/>
        <v/>
      </c>
      <c r="GR646" s="786" t="str">
        <f t="shared" si="149"/>
        <v/>
      </c>
      <c r="GS646" s="786" t="str">
        <f t="shared" si="150"/>
        <v/>
      </c>
      <c r="GT646" s="580" t="str">
        <f t="shared" si="151"/>
        <v/>
      </c>
      <c r="GU646" s="580" t="str">
        <f t="shared" si="152"/>
        <v/>
      </c>
      <c r="GV646" s="580" t="str">
        <f t="shared" si="153"/>
        <v/>
      </c>
      <c r="GW646" s="580" t="str">
        <f t="shared" si="154"/>
        <v/>
      </c>
      <c r="GX646" s="580" t="str">
        <f t="shared" si="155"/>
        <v/>
      </c>
      <c r="GY646" s="580" t="str">
        <f t="shared" si="156"/>
        <v/>
      </c>
      <c r="GZ646" s="580" t="str">
        <f t="shared" si="157"/>
        <v/>
      </c>
      <c r="HA646" s="580" t="str">
        <f t="shared" si="158"/>
        <v/>
      </c>
      <c r="HB646" s="580" t="str">
        <f t="shared" si="159"/>
        <v/>
      </c>
      <c r="HC646" s="580" t="str">
        <f t="shared" si="160"/>
        <v/>
      </c>
      <c r="HD646" s="580" t="str">
        <f t="shared" si="161"/>
        <v/>
      </c>
      <c r="HE646" s="580" t="str">
        <f t="shared" si="162"/>
        <v/>
      </c>
      <c r="HF646" s="580" t="str">
        <f t="shared" si="163"/>
        <v/>
      </c>
      <c r="HG646" s="580" t="str">
        <f t="shared" si="164"/>
        <v/>
      </c>
      <c r="HH646" s="580" t="str">
        <f t="shared" si="165"/>
        <v/>
      </c>
      <c r="HI646" s="580" t="str">
        <f t="shared" si="166"/>
        <v/>
      </c>
      <c r="HJ646" s="580" t="str">
        <f t="shared" si="167"/>
        <v/>
      </c>
      <c r="HK646" s="580" t="str">
        <f t="shared" si="168"/>
        <v/>
      </c>
      <c r="HL646" s="580" t="str">
        <f t="shared" si="169"/>
        <v/>
      </c>
      <c r="HM646" s="580" t="str">
        <f t="shared" si="170"/>
        <v/>
      </c>
    </row>
    <row r="647" spans="1:221" ht="13.15" customHeight="1">
      <c r="A647" s="888" t="str">
        <f t="shared" si="171"/>
        <v/>
      </c>
      <c r="B647" s="1054" t="str">
        <f>'Part VI-Revenues &amp; Expenses'!B13</f>
        <v>50% AMI</v>
      </c>
      <c r="C647" s="1055">
        <f>'Part VI-Revenues &amp; Expenses'!C13</f>
        <v>2</v>
      </c>
      <c r="D647" s="1056">
        <f>'Part VI-Revenues &amp; Expenses'!D13</f>
        <v>1</v>
      </c>
      <c r="E647" s="1057">
        <f>'Part VI-Revenues &amp; Expenses'!E13</f>
        <v>5</v>
      </c>
      <c r="F647" s="1057">
        <f>'Part VI-Revenues &amp; Expenses'!F13</f>
        <v>900</v>
      </c>
      <c r="G647" s="1057">
        <f>'Part VI-Revenues &amp; Expenses'!G13</f>
        <v>588</v>
      </c>
      <c r="H647" s="1057">
        <f>'Part VI-Revenues &amp; Expenses'!H13</f>
        <v>588</v>
      </c>
      <c r="I647" s="1057">
        <f>'Part VI-Revenues &amp; Expenses'!I13</f>
        <v>160</v>
      </c>
      <c r="J647" s="818">
        <f>'Part VI-Revenues &amp; Expenses'!J13</f>
        <v>0</v>
      </c>
      <c r="K647" s="893">
        <f t="shared" si="172"/>
        <v>428</v>
      </c>
      <c r="L647" s="893">
        <f t="shared" si="0"/>
        <v>2140</v>
      </c>
      <c r="M647" s="783" t="str">
        <f>'Part VI-Revenues &amp; Expenses'!M13</f>
        <v>No</v>
      </c>
      <c r="N647" s="783" t="str">
        <f>'Part VI-Revenues &amp; Expenses'!N13</f>
        <v>3+ Story</v>
      </c>
      <c r="O647" s="783" t="str">
        <f>'Part VI-Revenues &amp; Expenses'!O13</f>
        <v>New Construction</v>
      </c>
      <c r="P647" s="894">
        <f>IF(H647="","",H647*12/0.3)</f>
        <v>23520</v>
      </c>
      <c r="Q647" s="895">
        <f>'Part VI-Revenues &amp; Expenses'!Q13</f>
        <v>0.49968132568514978</v>
      </c>
      <c r="R647" s="894"/>
      <c r="S647" s="895"/>
      <c r="T647" s="2130"/>
      <c r="U647" s="2130"/>
      <c r="V647" s="580" t="str">
        <f t="shared" si="1"/>
        <v/>
      </c>
      <c r="W647" s="580" t="str">
        <f t="shared" si="2"/>
        <v/>
      </c>
      <c r="X647" s="580" t="str">
        <f t="shared" si="3"/>
        <v/>
      </c>
      <c r="Y647" s="580" t="str">
        <f t="shared" si="4"/>
        <v/>
      </c>
      <c r="Z647" s="580" t="str">
        <f t="shared" si="5"/>
        <v/>
      </c>
      <c r="AA647" s="580" t="str">
        <f t="shared" si="6"/>
        <v/>
      </c>
      <c r="AB647" s="580" t="str">
        <f t="shared" si="7"/>
        <v/>
      </c>
      <c r="AC647" s="580">
        <f t="shared" si="8"/>
        <v>5</v>
      </c>
      <c r="AD647" s="580" t="str">
        <f t="shared" si="9"/>
        <v/>
      </c>
      <c r="AE647" s="580" t="str">
        <f t="shared" si="10"/>
        <v/>
      </c>
      <c r="AF647" s="580" t="str">
        <f t="shared" si="11"/>
        <v/>
      </c>
      <c r="AG647" s="580" t="str">
        <f t="shared" si="12"/>
        <v/>
      </c>
      <c r="AH647" s="580" t="str">
        <f t="shared" si="13"/>
        <v/>
      </c>
      <c r="AI647" s="580" t="str">
        <f t="shared" si="14"/>
        <v/>
      </c>
      <c r="AJ647" s="580" t="str">
        <f t="shared" si="15"/>
        <v/>
      </c>
      <c r="AK647" s="580" t="str">
        <f t="shared" si="16"/>
        <v/>
      </c>
      <c r="AL647" s="580" t="str">
        <f t="shared" si="17"/>
        <v/>
      </c>
      <c r="AM647" s="580" t="str">
        <f t="shared" si="18"/>
        <v/>
      </c>
      <c r="AN647" s="580" t="str">
        <f t="shared" si="19"/>
        <v/>
      </c>
      <c r="AO647" s="580" t="str">
        <f t="shared" si="20"/>
        <v/>
      </c>
      <c r="AP647" s="580" t="str">
        <f t="shared" si="173"/>
        <v/>
      </c>
      <c r="AQ647" s="580" t="str">
        <f t="shared" si="174"/>
        <v/>
      </c>
      <c r="AR647" s="580" t="str">
        <f t="shared" si="175"/>
        <v/>
      </c>
      <c r="AS647" s="580" t="str">
        <f t="shared" si="176"/>
        <v/>
      </c>
      <c r="AT647" s="580" t="str">
        <f t="shared" si="177"/>
        <v/>
      </c>
      <c r="AU647" s="580" t="str">
        <f t="shared" si="178"/>
        <v/>
      </c>
      <c r="AV647" s="580" t="str">
        <f t="shared" si="179"/>
        <v/>
      </c>
      <c r="AW647" s="580" t="str">
        <f t="shared" si="180"/>
        <v/>
      </c>
      <c r="AX647" s="580" t="str">
        <f t="shared" si="181"/>
        <v/>
      </c>
      <c r="AY647" s="580" t="str">
        <f t="shared" si="182"/>
        <v/>
      </c>
      <c r="AZ647" s="580" t="str">
        <f t="shared" si="183"/>
        <v/>
      </c>
      <c r="BA647" s="580" t="str">
        <f t="shared" si="184"/>
        <v/>
      </c>
      <c r="BB647" s="580" t="str">
        <f t="shared" si="185"/>
        <v/>
      </c>
      <c r="BC647" s="580" t="str">
        <f t="shared" si="186"/>
        <v/>
      </c>
      <c r="BD647" s="580" t="str">
        <f t="shared" si="187"/>
        <v/>
      </c>
      <c r="BE647" s="580" t="str">
        <f t="shared" si="188"/>
        <v/>
      </c>
      <c r="BF647" s="580" t="str">
        <f t="shared" si="189"/>
        <v/>
      </c>
      <c r="BG647" s="580" t="str">
        <f t="shared" si="190"/>
        <v/>
      </c>
      <c r="BH647" s="580" t="str">
        <f t="shared" si="191"/>
        <v/>
      </c>
      <c r="BI647" s="580" t="str">
        <f t="shared" si="192"/>
        <v/>
      </c>
      <c r="BJ647" s="580" t="str">
        <f t="shared" si="193"/>
        <v/>
      </c>
      <c r="BK647" s="580" t="str">
        <f t="shared" si="194"/>
        <v/>
      </c>
      <c r="BL647" s="580" t="str">
        <f t="shared" si="195"/>
        <v/>
      </c>
      <c r="BM647" s="580" t="str">
        <f t="shared" si="196"/>
        <v/>
      </c>
      <c r="BN647" s="580" t="str">
        <f t="shared" si="197"/>
        <v/>
      </c>
      <c r="BO647" s="580" t="str">
        <f t="shared" si="198"/>
        <v/>
      </c>
      <c r="BP647" s="580" t="str">
        <f t="shared" si="199"/>
        <v/>
      </c>
      <c r="BQ647" s="580" t="str">
        <f t="shared" si="200"/>
        <v/>
      </c>
      <c r="BR647" s="580" t="str">
        <f t="shared" si="201"/>
        <v/>
      </c>
      <c r="BS647" s="580" t="str">
        <f t="shared" si="202"/>
        <v/>
      </c>
      <c r="BT647" s="580" t="str">
        <f t="shared" si="21"/>
        <v/>
      </c>
      <c r="BU647" s="580" t="str">
        <f t="shared" si="22"/>
        <v/>
      </c>
      <c r="BV647" s="580" t="str">
        <f t="shared" si="23"/>
        <v/>
      </c>
      <c r="BW647" s="580" t="str">
        <f t="shared" si="24"/>
        <v/>
      </c>
      <c r="BX647" s="580" t="str">
        <f t="shared" si="25"/>
        <v/>
      </c>
      <c r="BY647" s="580" t="str">
        <f t="shared" si="26"/>
        <v/>
      </c>
      <c r="BZ647" s="580" t="str">
        <f t="shared" si="27"/>
        <v/>
      </c>
      <c r="CA647" s="580" t="str">
        <f t="shared" si="28"/>
        <v/>
      </c>
      <c r="CB647" s="580" t="str">
        <f t="shared" si="29"/>
        <v/>
      </c>
      <c r="CC647" s="580" t="str">
        <f t="shared" si="30"/>
        <v/>
      </c>
      <c r="CD647" s="580" t="str">
        <f t="shared" si="31"/>
        <v/>
      </c>
      <c r="CE647" s="580" t="str">
        <f t="shared" si="32"/>
        <v/>
      </c>
      <c r="CF647" s="580">
        <f t="shared" si="33"/>
        <v>4500</v>
      </c>
      <c r="CG647" s="580" t="str">
        <f t="shared" si="34"/>
        <v/>
      </c>
      <c r="CH647" s="580" t="str">
        <f t="shared" si="35"/>
        <v/>
      </c>
      <c r="CI647" s="580" t="str">
        <f t="shared" si="36"/>
        <v/>
      </c>
      <c r="CJ647" s="580" t="str">
        <f t="shared" si="37"/>
        <v/>
      </c>
      <c r="CK647" s="580" t="str">
        <f t="shared" si="38"/>
        <v/>
      </c>
      <c r="CL647" s="580" t="str">
        <f t="shared" si="39"/>
        <v/>
      </c>
      <c r="CM647" s="580" t="str">
        <f t="shared" si="40"/>
        <v/>
      </c>
      <c r="CN647" s="580" t="str">
        <f t="shared" si="41"/>
        <v/>
      </c>
      <c r="CO647" s="580" t="str">
        <f t="shared" si="42"/>
        <v/>
      </c>
      <c r="CP647" s="580" t="str">
        <f t="shared" si="43"/>
        <v/>
      </c>
      <c r="CQ647" s="580" t="str">
        <f t="shared" si="44"/>
        <v/>
      </c>
      <c r="CR647" s="580" t="str">
        <f t="shared" si="45"/>
        <v/>
      </c>
      <c r="CS647" s="580" t="str">
        <f t="shared" si="46"/>
        <v/>
      </c>
      <c r="CT647" s="580" t="str">
        <f t="shared" si="47"/>
        <v/>
      </c>
      <c r="CU647" s="580" t="str">
        <f t="shared" si="48"/>
        <v/>
      </c>
      <c r="CV647" s="580" t="str">
        <f t="shared" si="49"/>
        <v/>
      </c>
      <c r="CW647" s="580" t="str">
        <f t="shared" si="50"/>
        <v/>
      </c>
      <c r="CX647" s="580" t="str">
        <f t="shared" si="51"/>
        <v/>
      </c>
      <c r="CY647" s="580" t="str">
        <f t="shared" si="52"/>
        <v/>
      </c>
      <c r="CZ647" s="580" t="str">
        <f t="shared" si="53"/>
        <v/>
      </c>
      <c r="DA647" s="580" t="str">
        <f t="shared" si="54"/>
        <v/>
      </c>
      <c r="DB647" s="580" t="str">
        <f t="shared" si="55"/>
        <v/>
      </c>
      <c r="DC647" s="580" t="str">
        <f t="shared" si="56"/>
        <v/>
      </c>
      <c r="DD647" s="580" t="str">
        <f t="shared" si="57"/>
        <v/>
      </c>
      <c r="DE647" s="580">
        <f t="shared" si="58"/>
        <v>5</v>
      </c>
      <c r="DF647" s="580" t="str">
        <f t="shared" si="59"/>
        <v/>
      </c>
      <c r="DG647" s="580" t="str">
        <f t="shared" si="60"/>
        <v/>
      </c>
      <c r="DH647" s="580" t="str">
        <f t="shared" si="61"/>
        <v/>
      </c>
      <c r="DI647" s="580" t="str">
        <f t="shared" si="62"/>
        <v/>
      </c>
      <c r="DJ647" s="580" t="str">
        <f t="shared" si="63"/>
        <v/>
      </c>
      <c r="DK647" s="580" t="str">
        <f t="shared" si="64"/>
        <v/>
      </c>
      <c r="DL647" s="580" t="str">
        <f t="shared" si="65"/>
        <v/>
      </c>
      <c r="DM647" s="580" t="str">
        <f t="shared" si="66"/>
        <v/>
      </c>
      <c r="DN647" s="580" t="str">
        <f t="shared" si="67"/>
        <v/>
      </c>
      <c r="DO647" s="580" t="str">
        <f t="shared" si="68"/>
        <v/>
      </c>
      <c r="DP647" s="580" t="str">
        <f t="shared" si="69"/>
        <v/>
      </c>
      <c r="DQ647" s="580" t="str">
        <f t="shared" si="70"/>
        <v/>
      </c>
      <c r="DR647" s="580" t="str">
        <f t="shared" si="71"/>
        <v/>
      </c>
      <c r="DS647" s="580" t="str">
        <f t="shared" si="72"/>
        <v/>
      </c>
      <c r="DT647" s="580" t="str">
        <f t="shared" si="73"/>
        <v/>
      </c>
      <c r="DU647" s="580" t="str">
        <f t="shared" si="74"/>
        <v/>
      </c>
      <c r="DV647" s="580" t="str">
        <f t="shared" si="75"/>
        <v/>
      </c>
      <c r="DW647" s="580" t="str">
        <f t="shared" si="76"/>
        <v/>
      </c>
      <c r="DX647" s="580" t="str">
        <f t="shared" si="77"/>
        <v/>
      </c>
      <c r="DY647" s="580" t="str">
        <f t="shared" si="78"/>
        <v/>
      </c>
      <c r="DZ647" s="580" t="str">
        <f t="shared" si="79"/>
        <v/>
      </c>
      <c r="EA647" s="580" t="str">
        <f t="shared" si="80"/>
        <v/>
      </c>
      <c r="EB647" s="580" t="str">
        <f t="shared" si="81"/>
        <v/>
      </c>
      <c r="EC647" s="580" t="str">
        <f t="shared" si="82"/>
        <v/>
      </c>
      <c r="ED647" s="580" t="str">
        <f t="shared" si="83"/>
        <v/>
      </c>
      <c r="EE647" s="580" t="str">
        <f t="shared" si="84"/>
        <v/>
      </c>
      <c r="EF647" s="580" t="str">
        <f t="shared" si="85"/>
        <v/>
      </c>
      <c r="EG647" s="580" t="str">
        <f t="shared" si="86"/>
        <v/>
      </c>
      <c r="EH647" s="580" t="str">
        <f t="shared" si="87"/>
        <v/>
      </c>
      <c r="EI647" s="580" t="str">
        <f t="shared" si="88"/>
        <v/>
      </c>
      <c r="EJ647" s="580" t="str">
        <f t="shared" si="89"/>
        <v/>
      </c>
      <c r="EK647" s="580" t="str">
        <f t="shared" si="90"/>
        <v/>
      </c>
      <c r="EL647" s="580" t="str">
        <f t="shared" si="91"/>
        <v/>
      </c>
      <c r="EM647" s="580" t="str">
        <f t="shared" si="92"/>
        <v/>
      </c>
      <c r="EN647" s="580" t="str">
        <f t="shared" si="93"/>
        <v/>
      </c>
      <c r="EO647" s="580" t="str">
        <f t="shared" si="94"/>
        <v/>
      </c>
      <c r="EP647" s="580" t="str">
        <f t="shared" si="95"/>
        <v/>
      </c>
      <c r="EQ647" s="580" t="str">
        <f t="shared" si="96"/>
        <v/>
      </c>
      <c r="ER647" s="580" t="str">
        <f t="shared" si="97"/>
        <v/>
      </c>
      <c r="ES647" s="580" t="str">
        <f t="shared" si="98"/>
        <v/>
      </c>
      <c r="ET647" s="580" t="str">
        <f t="shared" si="99"/>
        <v/>
      </c>
      <c r="EU647" s="580" t="str">
        <f t="shared" si="100"/>
        <v/>
      </c>
      <c r="EV647" s="785" t="str">
        <f t="shared" si="101"/>
        <v/>
      </c>
      <c r="EW647" s="785" t="str">
        <f t="shared" si="102"/>
        <v/>
      </c>
      <c r="EX647" s="785">
        <f t="shared" si="103"/>
        <v>5</v>
      </c>
      <c r="EY647" s="785" t="str">
        <f t="shared" si="104"/>
        <v/>
      </c>
      <c r="EZ647" s="785" t="str">
        <f t="shared" si="105"/>
        <v/>
      </c>
      <c r="FA647" s="785" t="str">
        <f t="shared" si="106"/>
        <v/>
      </c>
      <c r="FB647" s="785" t="str">
        <f t="shared" si="107"/>
        <v/>
      </c>
      <c r="FC647" s="785" t="str">
        <f t="shared" si="108"/>
        <v/>
      </c>
      <c r="FD647" s="785" t="str">
        <f t="shared" si="109"/>
        <v/>
      </c>
      <c r="FE647" s="785" t="str">
        <f t="shared" si="110"/>
        <v/>
      </c>
      <c r="FF647" s="785" t="str">
        <f t="shared" si="111"/>
        <v/>
      </c>
      <c r="FG647" s="785" t="str">
        <f t="shared" si="112"/>
        <v/>
      </c>
      <c r="FH647" s="785" t="str">
        <f t="shared" si="113"/>
        <v/>
      </c>
      <c r="FI647" s="785" t="str">
        <f t="shared" si="114"/>
        <v/>
      </c>
      <c r="FJ647" s="785" t="str">
        <f t="shared" si="115"/>
        <v/>
      </c>
      <c r="FK647" s="785" t="str">
        <f t="shared" si="116"/>
        <v/>
      </c>
      <c r="FL647" s="785" t="str">
        <f t="shared" si="117"/>
        <v/>
      </c>
      <c r="FM647" s="785" t="str">
        <f t="shared" si="118"/>
        <v/>
      </c>
      <c r="FN647" s="785" t="str">
        <f t="shared" si="119"/>
        <v/>
      </c>
      <c r="FO647" s="785" t="str">
        <f t="shared" si="120"/>
        <v/>
      </c>
      <c r="FP647" s="785" t="str">
        <f t="shared" si="121"/>
        <v/>
      </c>
      <c r="FQ647" s="785" t="str">
        <f t="shared" si="122"/>
        <v/>
      </c>
      <c r="FR647" s="785" t="str">
        <f t="shared" si="123"/>
        <v/>
      </c>
      <c r="FS647" s="785" t="str">
        <f t="shared" si="124"/>
        <v/>
      </c>
      <c r="FT647" s="785" t="str">
        <f t="shared" si="125"/>
        <v/>
      </c>
      <c r="FU647" s="785" t="str">
        <f t="shared" si="126"/>
        <v/>
      </c>
      <c r="FV647" s="785" t="str">
        <f t="shared" si="127"/>
        <v/>
      </c>
      <c r="FW647" s="785" t="str">
        <f t="shared" si="128"/>
        <v/>
      </c>
      <c r="FX647" s="785" t="str">
        <f t="shared" si="129"/>
        <v/>
      </c>
      <c r="FY647" s="785" t="str">
        <f t="shared" si="130"/>
        <v/>
      </c>
      <c r="FZ647" s="785" t="str">
        <f t="shared" si="131"/>
        <v/>
      </c>
      <c r="GA647" s="785" t="str">
        <f t="shared" si="132"/>
        <v/>
      </c>
      <c r="GB647" s="785" t="str">
        <f t="shared" si="133"/>
        <v/>
      </c>
      <c r="GC647" s="785" t="str">
        <f t="shared" si="134"/>
        <v/>
      </c>
      <c r="GD647" s="785" t="str">
        <f t="shared" si="135"/>
        <v/>
      </c>
      <c r="GE647" s="785" t="str">
        <f t="shared" si="136"/>
        <v/>
      </c>
      <c r="GF647" s="785" t="str">
        <f t="shared" si="137"/>
        <v/>
      </c>
      <c r="GG647" s="785" t="str">
        <f t="shared" si="138"/>
        <v/>
      </c>
      <c r="GH647" s="785" t="str">
        <f t="shared" si="139"/>
        <v/>
      </c>
      <c r="GI647" s="785" t="str">
        <f t="shared" si="140"/>
        <v/>
      </c>
      <c r="GJ647" s="785" t="str">
        <f t="shared" si="141"/>
        <v/>
      </c>
      <c r="GK647" s="785" t="str">
        <f t="shared" si="142"/>
        <v/>
      </c>
      <c r="GL647" s="785">
        <f t="shared" si="143"/>
        <v>5</v>
      </c>
      <c r="GM647" s="785" t="str">
        <f t="shared" si="144"/>
        <v/>
      </c>
      <c r="GN647" s="785" t="str">
        <f t="shared" si="145"/>
        <v/>
      </c>
      <c r="GO647" s="786" t="str">
        <f t="shared" si="146"/>
        <v/>
      </c>
      <c r="GP647" s="786" t="str">
        <f t="shared" si="147"/>
        <v/>
      </c>
      <c r="GQ647" s="786" t="str">
        <f t="shared" si="148"/>
        <v/>
      </c>
      <c r="GR647" s="786" t="str">
        <f t="shared" si="149"/>
        <v/>
      </c>
      <c r="GS647" s="786" t="str">
        <f t="shared" si="150"/>
        <v/>
      </c>
      <c r="GT647" s="580" t="str">
        <f t="shared" si="151"/>
        <v/>
      </c>
      <c r="GU647" s="580" t="str">
        <f t="shared" si="152"/>
        <v/>
      </c>
      <c r="GV647" s="580" t="str">
        <f t="shared" si="153"/>
        <v/>
      </c>
      <c r="GW647" s="580" t="str">
        <f t="shared" si="154"/>
        <v/>
      </c>
      <c r="GX647" s="580" t="str">
        <f t="shared" si="155"/>
        <v/>
      </c>
      <c r="GY647" s="580" t="str">
        <f t="shared" si="156"/>
        <v/>
      </c>
      <c r="GZ647" s="580" t="str">
        <f t="shared" si="157"/>
        <v/>
      </c>
      <c r="HA647" s="580" t="str">
        <f t="shared" si="158"/>
        <v/>
      </c>
      <c r="HB647" s="580" t="str">
        <f t="shared" si="159"/>
        <v/>
      </c>
      <c r="HC647" s="580" t="str">
        <f t="shared" si="160"/>
        <v/>
      </c>
      <c r="HD647" s="580" t="str">
        <f t="shared" si="161"/>
        <v/>
      </c>
      <c r="HE647" s="580" t="str">
        <f t="shared" si="162"/>
        <v/>
      </c>
      <c r="HF647" s="580" t="str">
        <f t="shared" si="163"/>
        <v/>
      </c>
      <c r="HG647" s="580" t="str">
        <f t="shared" si="164"/>
        <v/>
      </c>
      <c r="HH647" s="580" t="str">
        <f t="shared" si="165"/>
        <v/>
      </c>
      <c r="HI647" s="580" t="str">
        <f t="shared" si="166"/>
        <v/>
      </c>
      <c r="HJ647" s="580" t="str">
        <f t="shared" si="167"/>
        <v/>
      </c>
      <c r="HK647" s="580" t="str">
        <f t="shared" si="168"/>
        <v/>
      </c>
      <c r="HL647" s="580" t="str">
        <f t="shared" si="169"/>
        <v/>
      </c>
      <c r="HM647" s="580" t="str">
        <f t="shared" si="170"/>
        <v/>
      </c>
    </row>
    <row r="648" spans="1:221" ht="13.15" customHeight="1">
      <c r="A648" s="888" t="str">
        <f t="shared" si="171"/>
        <v/>
      </c>
      <c r="B648" s="1054" t="str">
        <f>'Part VI-Revenues &amp; Expenses'!B14</f>
        <v>60% AMI</v>
      </c>
      <c r="C648" s="1055">
        <f>'Part VI-Revenues &amp; Expenses'!C14</f>
        <v>2</v>
      </c>
      <c r="D648" s="1056">
        <f>'Part VI-Revenues &amp; Expenses'!D14</f>
        <v>1</v>
      </c>
      <c r="E648" s="1057">
        <f>'Part VI-Revenues &amp; Expenses'!E14</f>
        <v>23</v>
      </c>
      <c r="F648" s="1057">
        <f>'Part VI-Revenues &amp; Expenses'!F14</f>
        <v>900</v>
      </c>
      <c r="G648" s="1057">
        <f>'Part VI-Revenues &amp; Expenses'!G14</f>
        <v>706</v>
      </c>
      <c r="H648" s="1057">
        <f>'Part VI-Revenues &amp; Expenses'!H14</f>
        <v>706</v>
      </c>
      <c r="I648" s="1057">
        <f>'Part VI-Revenues &amp; Expenses'!I14</f>
        <v>160</v>
      </c>
      <c r="J648" s="818">
        <f>'Part VI-Revenues &amp; Expenses'!J14</f>
        <v>0</v>
      </c>
      <c r="K648" s="893">
        <f t="shared" si="172"/>
        <v>546</v>
      </c>
      <c r="L648" s="893">
        <f t="shared" si="0"/>
        <v>12558</v>
      </c>
      <c r="M648" s="783" t="str">
        <f>'Part VI-Revenues &amp; Expenses'!M14</f>
        <v>No</v>
      </c>
      <c r="N648" s="783" t="str">
        <f>'Part VI-Revenues &amp; Expenses'!N14</f>
        <v>3+ Story</v>
      </c>
      <c r="O648" s="783" t="str">
        <f>'Part VI-Revenues &amp; Expenses'!O14</f>
        <v>New Construction</v>
      </c>
      <c r="P648" s="894">
        <f>IF(H648="","",H648*12/0.3)</f>
        <v>28240</v>
      </c>
      <c r="Q648" s="895">
        <f>'Part VI-Revenues &amp; Expenses'!Q14</f>
        <v>0.59995751009135334</v>
      </c>
      <c r="R648" s="894"/>
      <c r="S648" s="895"/>
      <c r="T648" s="2130"/>
      <c r="U648" s="2130"/>
      <c r="V648" s="580" t="str">
        <f t="shared" si="1"/>
        <v/>
      </c>
      <c r="W648" s="580" t="str">
        <f t="shared" si="2"/>
        <v/>
      </c>
      <c r="X648" s="580">
        <f t="shared" si="3"/>
        <v>23</v>
      </c>
      <c r="Y648" s="580" t="str">
        <f t="shared" si="4"/>
        <v/>
      </c>
      <c r="Z648" s="580" t="str">
        <f t="shared" si="5"/>
        <v/>
      </c>
      <c r="AA648" s="580" t="str">
        <f t="shared" si="6"/>
        <v/>
      </c>
      <c r="AB648" s="580" t="str">
        <f t="shared" si="7"/>
        <v/>
      </c>
      <c r="AC648" s="580" t="str">
        <f t="shared" si="8"/>
        <v/>
      </c>
      <c r="AD648" s="580" t="str">
        <f t="shared" si="9"/>
        <v/>
      </c>
      <c r="AE648" s="580" t="str">
        <f t="shared" si="10"/>
        <v/>
      </c>
      <c r="AF648" s="580" t="str">
        <f t="shared" si="11"/>
        <v/>
      </c>
      <c r="AG648" s="580" t="str">
        <f t="shared" si="12"/>
        <v/>
      </c>
      <c r="AH648" s="580" t="str">
        <f t="shared" si="13"/>
        <v/>
      </c>
      <c r="AI648" s="580" t="str">
        <f t="shared" si="14"/>
        <v/>
      </c>
      <c r="AJ648" s="580" t="str">
        <f t="shared" si="15"/>
        <v/>
      </c>
      <c r="AK648" s="580" t="str">
        <f t="shared" si="16"/>
        <v/>
      </c>
      <c r="AL648" s="580" t="str">
        <f t="shared" si="17"/>
        <v/>
      </c>
      <c r="AM648" s="580" t="str">
        <f t="shared" si="18"/>
        <v/>
      </c>
      <c r="AN648" s="580" t="str">
        <f t="shared" si="19"/>
        <v/>
      </c>
      <c r="AO648" s="580" t="str">
        <f t="shared" si="20"/>
        <v/>
      </c>
      <c r="AP648" s="580" t="str">
        <f t="shared" si="173"/>
        <v/>
      </c>
      <c r="AQ648" s="580" t="str">
        <f t="shared" si="174"/>
        <v/>
      </c>
      <c r="AR648" s="580" t="str">
        <f t="shared" si="175"/>
        <v/>
      </c>
      <c r="AS648" s="580" t="str">
        <f t="shared" si="176"/>
        <v/>
      </c>
      <c r="AT648" s="580" t="str">
        <f t="shared" si="177"/>
        <v/>
      </c>
      <c r="AU648" s="580" t="str">
        <f t="shared" si="178"/>
        <v/>
      </c>
      <c r="AV648" s="580" t="str">
        <f t="shared" si="179"/>
        <v/>
      </c>
      <c r="AW648" s="580" t="str">
        <f t="shared" si="180"/>
        <v/>
      </c>
      <c r="AX648" s="580" t="str">
        <f t="shared" si="181"/>
        <v/>
      </c>
      <c r="AY648" s="580" t="str">
        <f t="shared" si="182"/>
        <v/>
      </c>
      <c r="AZ648" s="580" t="str">
        <f t="shared" si="183"/>
        <v/>
      </c>
      <c r="BA648" s="580" t="str">
        <f t="shared" si="184"/>
        <v/>
      </c>
      <c r="BB648" s="580" t="str">
        <f t="shared" si="185"/>
        <v/>
      </c>
      <c r="BC648" s="580" t="str">
        <f t="shared" si="186"/>
        <v/>
      </c>
      <c r="BD648" s="580" t="str">
        <f t="shared" si="187"/>
        <v/>
      </c>
      <c r="BE648" s="580" t="str">
        <f t="shared" si="188"/>
        <v/>
      </c>
      <c r="BF648" s="580" t="str">
        <f t="shared" si="189"/>
        <v/>
      </c>
      <c r="BG648" s="580" t="str">
        <f t="shared" si="190"/>
        <v/>
      </c>
      <c r="BH648" s="580" t="str">
        <f t="shared" si="191"/>
        <v/>
      </c>
      <c r="BI648" s="580" t="str">
        <f t="shared" si="192"/>
        <v/>
      </c>
      <c r="BJ648" s="580" t="str">
        <f t="shared" si="193"/>
        <v/>
      </c>
      <c r="BK648" s="580" t="str">
        <f t="shared" si="194"/>
        <v/>
      </c>
      <c r="BL648" s="580" t="str">
        <f t="shared" si="195"/>
        <v/>
      </c>
      <c r="BM648" s="580" t="str">
        <f t="shared" si="196"/>
        <v/>
      </c>
      <c r="BN648" s="580" t="str">
        <f t="shared" si="197"/>
        <v/>
      </c>
      <c r="BO648" s="580" t="str">
        <f t="shared" si="198"/>
        <v/>
      </c>
      <c r="BP648" s="580" t="str">
        <f t="shared" si="199"/>
        <v/>
      </c>
      <c r="BQ648" s="580" t="str">
        <f t="shared" si="200"/>
        <v/>
      </c>
      <c r="BR648" s="580" t="str">
        <f t="shared" si="201"/>
        <v/>
      </c>
      <c r="BS648" s="580" t="str">
        <f t="shared" si="202"/>
        <v/>
      </c>
      <c r="BT648" s="580" t="str">
        <f t="shared" si="21"/>
        <v/>
      </c>
      <c r="BU648" s="580" t="str">
        <f t="shared" si="22"/>
        <v/>
      </c>
      <c r="BV648" s="580" t="str">
        <f t="shared" si="23"/>
        <v/>
      </c>
      <c r="BW648" s="580" t="str">
        <f t="shared" si="24"/>
        <v/>
      </c>
      <c r="BX648" s="580" t="str">
        <f t="shared" si="25"/>
        <v/>
      </c>
      <c r="BY648" s="580" t="str">
        <f t="shared" si="26"/>
        <v/>
      </c>
      <c r="BZ648" s="580" t="str">
        <f t="shared" si="27"/>
        <v/>
      </c>
      <c r="CA648" s="580">
        <f t="shared" si="28"/>
        <v>20700</v>
      </c>
      <c r="CB648" s="580" t="str">
        <f t="shared" si="29"/>
        <v/>
      </c>
      <c r="CC648" s="580" t="str">
        <f t="shared" si="30"/>
        <v/>
      </c>
      <c r="CD648" s="580" t="str">
        <f t="shared" si="31"/>
        <v/>
      </c>
      <c r="CE648" s="580" t="str">
        <f t="shared" si="32"/>
        <v/>
      </c>
      <c r="CF648" s="580" t="str">
        <f t="shared" si="33"/>
        <v/>
      </c>
      <c r="CG648" s="580" t="str">
        <f t="shared" si="34"/>
        <v/>
      </c>
      <c r="CH648" s="580" t="str">
        <f t="shared" si="35"/>
        <v/>
      </c>
      <c r="CI648" s="580" t="str">
        <f t="shared" si="36"/>
        <v/>
      </c>
      <c r="CJ648" s="580" t="str">
        <f t="shared" si="37"/>
        <v/>
      </c>
      <c r="CK648" s="580" t="str">
        <f t="shared" si="38"/>
        <v/>
      </c>
      <c r="CL648" s="580" t="str">
        <f t="shared" si="39"/>
        <v/>
      </c>
      <c r="CM648" s="580" t="str">
        <f t="shared" si="40"/>
        <v/>
      </c>
      <c r="CN648" s="580" t="str">
        <f t="shared" si="41"/>
        <v/>
      </c>
      <c r="CO648" s="580" t="str">
        <f t="shared" si="42"/>
        <v/>
      </c>
      <c r="CP648" s="580" t="str">
        <f t="shared" si="43"/>
        <v/>
      </c>
      <c r="CQ648" s="580" t="str">
        <f t="shared" si="44"/>
        <v/>
      </c>
      <c r="CR648" s="580" t="str">
        <f t="shared" si="45"/>
        <v/>
      </c>
      <c r="CS648" s="580" t="str">
        <f t="shared" si="46"/>
        <v/>
      </c>
      <c r="CT648" s="580" t="str">
        <f t="shared" si="47"/>
        <v/>
      </c>
      <c r="CU648" s="580" t="str">
        <f t="shared" si="48"/>
        <v/>
      </c>
      <c r="CV648" s="580" t="str">
        <f t="shared" si="49"/>
        <v/>
      </c>
      <c r="CW648" s="580" t="str">
        <f t="shared" si="50"/>
        <v/>
      </c>
      <c r="CX648" s="580" t="str">
        <f t="shared" si="51"/>
        <v/>
      </c>
      <c r="CY648" s="580" t="str">
        <f t="shared" si="52"/>
        <v/>
      </c>
      <c r="CZ648" s="580" t="str">
        <f t="shared" si="53"/>
        <v/>
      </c>
      <c r="DA648" s="580" t="str">
        <f t="shared" si="54"/>
        <v/>
      </c>
      <c r="DB648" s="580" t="str">
        <f t="shared" si="55"/>
        <v/>
      </c>
      <c r="DC648" s="580" t="str">
        <f t="shared" si="56"/>
        <v/>
      </c>
      <c r="DD648" s="580" t="str">
        <f t="shared" si="57"/>
        <v/>
      </c>
      <c r="DE648" s="580">
        <f t="shared" si="58"/>
        <v>23</v>
      </c>
      <c r="DF648" s="580" t="str">
        <f t="shared" si="59"/>
        <v/>
      </c>
      <c r="DG648" s="580" t="str">
        <f t="shared" si="60"/>
        <v/>
      </c>
      <c r="DH648" s="580" t="str">
        <f t="shared" si="61"/>
        <v/>
      </c>
      <c r="DI648" s="580" t="str">
        <f t="shared" si="62"/>
        <v/>
      </c>
      <c r="DJ648" s="580" t="str">
        <f t="shared" si="63"/>
        <v/>
      </c>
      <c r="DK648" s="580" t="str">
        <f t="shared" si="64"/>
        <v/>
      </c>
      <c r="DL648" s="580" t="str">
        <f t="shared" si="65"/>
        <v/>
      </c>
      <c r="DM648" s="580" t="str">
        <f t="shared" si="66"/>
        <v/>
      </c>
      <c r="DN648" s="580" t="str">
        <f t="shared" si="67"/>
        <v/>
      </c>
      <c r="DO648" s="580" t="str">
        <f t="shared" si="68"/>
        <v/>
      </c>
      <c r="DP648" s="580" t="str">
        <f t="shared" si="69"/>
        <v/>
      </c>
      <c r="DQ648" s="580" t="str">
        <f t="shared" si="70"/>
        <v/>
      </c>
      <c r="DR648" s="580" t="str">
        <f t="shared" si="71"/>
        <v/>
      </c>
      <c r="DS648" s="580" t="str">
        <f t="shared" si="72"/>
        <v/>
      </c>
      <c r="DT648" s="580" t="str">
        <f t="shared" si="73"/>
        <v/>
      </c>
      <c r="DU648" s="580" t="str">
        <f t="shared" si="74"/>
        <v/>
      </c>
      <c r="DV648" s="580" t="str">
        <f t="shared" si="75"/>
        <v/>
      </c>
      <c r="DW648" s="580" t="str">
        <f t="shared" si="76"/>
        <v/>
      </c>
      <c r="DX648" s="580" t="str">
        <f t="shared" si="77"/>
        <v/>
      </c>
      <c r="DY648" s="580" t="str">
        <f t="shared" si="78"/>
        <v/>
      </c>
      <c r="DZ648" s="580" t="str">
        <f t="shared" si="79"/>
        <v/>
      </c>
      <c r="EA648" s="580" t="str">
        <f t="shared" si="80"/>
        <v/>
      </c>
      <c r="EB648" s="580" t="str">
        <f t="shared" si="81"/>
        <v/>
      </c>
      <c r="EC648" s="580" t="str">
        <f t="shared" si="82"/>
        <v/>
      </c>
      <c r="ED648" s="580" t="str">
        <f t="shared" si="83"/>
        <v/>
      </c>
      <c r="EE648" s="580" t="str">
        <f t="shared" si="84"/>
        <v/>
      </c>
      <c r="EF648" s="580" t="str">
        <f t="shared" si="85"/>
        <v/>
      </c>
      <c r="EG648" s="580" t="str">
        <f t="shared" si="86"/>
        <v/>
      </c>
      <c r="EH648" s="580" t="str">
        <f t="shared" si="87"/>
        <v/>
      </c>
      <c r="EI648" s="580" t="str">
        <f t="shared" si="88"/>
        <v/>
      </c>
      <c r="EJ648" s="580" t="str">
        <f t="shared" si="89"/>
        <v/>
      </c>
      <c r="EK648" s="580" t="str">
        <f t="shared" si="90"/>
        <v/>
      </c>
      <c r="EL648" s="580" t="str">
        <f t="shared" si="91"/>
        <v/>
      </c>
      <c r="EM648" s="580" t="str">
        <f t="shared" si="92"/>
        <v/>
      </c>
      <c r="EN648" s="580" t="str">
        <f t="shared" si="93"/>
        <v/>
      </c>
      <c r="EO648" s="580" t="str">
        <f t="shared" si="94"/>
        <v/>
      </c>
      <c r="EP648" s="580" t="str">
        <f t="shared" si="95"/>
        <v/>
      </c>
      <c r="EQ648" s="580" t="str">
        <f t="shared" si="96"/>
        <v/>
      </c>
      <c r="ER648" s="580" t="str">
        <f t="shared" si="97"/>
        <v/>
      </c>
      <c r="ES648" s="580" t="str">
        <f t="shared" si="98"/>
        <v/>
      </c>
      <c r="ET648" s="580" t="str">
        <f t="shared" si="99"/>
        <v/>
      </c>
      <c r="EU648" s="580" t="str">
        <f t="shared" si="100"/>
        <v/>
      </c>
      <c r="EV648" s="785" t="str">
        <f t="shared" si="101"/>
        <v/>
      </c>
      <c r="EW648" s="785" t="str">
        <f t="shared" si="102"/>
        <v/>
      </c>
      <c r="EX648" s="785">
        <f t="shared" si="103"/>
        <v>23</v>
      </c>
      <c r="EY648" s="785" t="str">
        <f t="shared" si="104"/>
        <v/>
      </c>
      <c r="EZ648" s="785" t="str">
        <f t="shared" si="105"/>
        <v/>
      </c>
      <c r="FA648" s="785" t="str">
        <f t="shared" si="106"/>
        <v/>
      </c>
      <c r="FB648" s="785" t="str">
        <f t="shared" si="107"/>
        <v/>
      </c>
      <c r="FC648" s="785" t="str">
        <f t="shared" si="108"/>
        <v/>
      </c>
      <c r="FD648" s="785" t="str">
        <f t="shared" si="109"/>
        <v/>
      </c>
      <c r="FE648" s="785" t="str">
        <f t="shared" si="110"/>
        <v/>
      </c>
      <c r="FF648" s="785" t="str">
        <f t="shared" si="111"/>
        <v/>
      </c>
      <c r="FG648" s="785" t="str">
        <f t="shared" si="112"/>
        <v/>
      </c>
      <c r="FH648" s="785" t="str">
        <f t="shared" si="113"/>
        <v/>
      </c>
      <c r="FI648" s="785" t="str">
        <f t="shared" si="114"/>
        <v/>
      </c>
      <c r="FJ648" s="785" t="str">
        <f t="shared" si="115"/>
        <v/>
      </c>
      <c r="FK648" s="785" t="str">
        <f t="shared" si="116"/>
        <v/>
      </c>
      <c r="FL648" s="785" t="str">
        <f t="shared" si="117"/>
        <v/>
      </c>
      <c r="FM648" s="785" t="str">
        <f t="shared" si="118"/>
        <v/>
      </c>
      <c r="FN648" s="785" t="str">
        <f t="shared" si="119"/>
        <v/>
      </c>
      <c r="FO648" s="785" t="str">
        <f t="shared" si="120"/>
        <v/>
      </c>
      <c r="FP648" s="785" t="str">
        <f t="shared" si="121"/>
        <v/>
      </c>
      <c r="FQ648" s="785" t="str">
        <f t="shared" si="122"/>
        <v/>
      </c>
      <c r="FR648" s="785" t="str">
        <f t="shared" si="123"/>
        <v/>
      </c>
      <c r="FS648" s="785" t="str">
        <f t="shared" si="124"/>
        <v/>
      </c>
      <c r="FT648" s="785" t="str">
        <f t="shared" si="125"/>
        <v/>
      </c>
      <c r="FU648" s="785" t="str">
        <f t="shared" si="126"/>
        <v/>
      </c>
      <c r="FV648" s="785" t="str">
        <f t="shared" si="127"/>
        <v/>
      </c>
      <c r="FW648" s="785" t="str">
        <f t="shared" si="128"/>
        <v/>
      </c>
      <c r="FX648" s="785" t="str">
        <f t="shared" si="129"/>
        <v/>
      </c>
      <c r="FY648" s="785" t="str">
        <f t="shared" si="130"/>
        <v/>
      </c>
      <c r="FZ648" s="785" t="str">
        <f t="shared" si="131"/>
        <v/>
      </c>
      <c r="GA648" s="785" t="str">
        <f t="shared" si="132"/>
        <v/>
      </c>
      <c r="GB648" s="785" t="str">
        <f t="shared" si="133"/>
        <v/>
      </c>
      <c r="GC648" s="785" t="str">
        <f t="shared" si="134"/>
        <v/>
      </c>
      <c r="GD648" s="785" t="str">
        <f t="shared" si="135"/>
        <v/>
      </c>
      <c r="GE648" s="785" t="str">
        <f t="shared" si="136"/>
        <v/>
      </c>
      <c r="GF648" s="785" t="str">
        <f t="shared" si="137"/>
        <v/>
      </c>
      <c r="GG648" s="785" t="str">
        <f t="shared" si="138"/>
        <v/>
      </c>
      <c r="GH648" s="785" t="str">
        <f t="shared" si="139"/>
        <v/>
      </c>
      <c r="GI648" s="785" t="str">
        <f t="shared" si="140"/>
        <v/>
      </c>
      <c r="GJ648" s="785" t="str">
        <f t="shared" si="141"/>
        <v/>
      </c>
      <c r="GK648" s="785" t="str">
        <f t="shared" si="142"/>
        <v/>
      </c>
      <c r="GL648" s="785">
        <f t="shared" si="143"/>
        <v>23</v>
      </c>
      <c r="GM648" s="785" t="str">
        <f t="shared" si="144"/>
        <v/>
      </c>
      <c r="GN648" s="785" t="str">
        <f t="shared" si="145"/>
        <v/>
      </c>
      <c r="GO648" s="786" t="str">
        <f t="shared" si="146"/>
        <v/>
      </c>
      <c r="GP648" s="786" t="str">
        <f t="shared" si="147"/>
        <v/>
      </c>
      <c r="GQ648" s="786" t="str">
        <f t="shared" si="148"/>
        <v/>
      </c>
      <c r="GR648" s="786" t="str">
        <f t="shared" si="149"/>
        <v/>
      </c>
      <c r="GS648" s="786" t="str">
        <f t="shared" si="150"/>
        <v/>
      </c>
      <c r="GT648" s="580" t="str">
        <f t="shared" si="151"/>
        <v/>
      </c>
      <c r="GU648" s="580" t="str">
        <f t="shared" si="152"/>
        <v/>
      </c>
      <c r="GV648" s="580" t="str">
        <f t="shared" si="153"/>
        <v/>
      </c>
      <c r="GW648" s="580" t="str">
        <f t="shared" si="154"/>
        <v/>
      </c>
      <c r="GX648" s="580" t="str">
        <f t="shared" si="155"/>
        <v/>
      </c>
      <c r="GY648" s="580" t="str">
        <f t="shared" si="156"/>
        <v/>
      </c>
      <c r="GZ648" s="580" t="str">
        <f t="shared" si="157"/>
        <v/>
      </c>
      <c r="HA648" s="580" t="str">
        <f t="shared" si="158"/>
        <v/>
      </c>
      <c r="HB648" s="580" t="str">
        <f t="shared" si="159"/>
        <v/>
      </c>
      <c r="HC648" s="580" t="str">
        <f t="shared" si="160"/>
        <v/>
      </c>
      <c r="HD648" s="580" t="str">
        <f t="shared" si="161"/>
        <v/>
      </c>
      <c r="HE648" s="580" t="str">
        <f t="shared" si="162"/>
        <v/>
      </c>
      <c r="HF648" s="580" t="str">
        <f t="shared" si="163"/>
        <v/>
      </c>
      <c r="HG648" s="580" t="str">
        <f t="shared" si="164"/>
        <v/>
      </c>
      <c r="HH648" s="580" t="str">
        <f t="shared" si="165"/>
        <v/>
      </c>
      <c r="HI648" s="580" t="str">
        <f t="shared" si="166"/>
        <v/>
      </c>
      <c r="HJ648" s="580" t="str">
        <f t="shared" si="167"/>
        <v/>
      </c>
      <c r="HK648" s="580" t="str">
        <f t="shared" si="168"/>
        <v/>
      </c>
      <c r="HL648" s="580" t="str">
        <f t="shared" si="169"/>
        <v/>
      </c>
      <c r="HM648" s="580" t="str">
        <f t="shared" si="170"/>
        <v/>
      </c>
    </row>
    <row r="649" spans="1:221" ht="13.15" customHeight="1">
      <c r="A649" s="888" t="str">
        <f t="shared" si="171"/>
        <v/>
      </c>
      <c r="B649" s="1054" t="str">
        <f>'Part VI-Revenues &amp; Expenses'!B15</f>
        <v>Unrestricted</v>
      </c>
      <c r="C649" s="1055">
        <f>'Part VI-Revenues &amp; Expenses'!C15</f>
        <v>2</v>
      </c>
      <c r="D649" s="1056">
        <f>'Part VI-Revenues &amp; Expenses'!D15</f>
        <v>1</v>
      </c>
      <c r="E649" s="1057">
        <f>'Part VI-Revenues &amp; Expenses'!E15</f>
        <v>2</v>
      </c>
      <c r="F649" s="1057">
        <f>'Part VI-Revenues &amp; Expenses'!F15</f>
        <v>900</v>
      </c>
      <c r="G649" s="1057">
        <f>'Part VI-Revenues &amp; Expenses'!G15</f>
        <v>690</v>
      </c>
      <c r="H649" s="1057">
        <f>'Part VI-Revenues &amp; Expenses'!H15</f>
        <v>690</v>
      </c>
      <c r="I649" s="1057">
        <f>'Part VI-Revenues &amp; Expenses'!I15</f>
        <v>0</v>
      </c>
      <c r="J649" s="818">
        <f>'Part VI-Revenues &amp; Expenses'!J15</f>
        <v>0</v>
      </c>
      <c r="K649" s="893">
        <f t="shared" si="172"/>
        <v>690</v>
      </c>
      <c r="L649" s="893">
        <f t="shared" si="0"/>
        <v>1380</v>
      </c>
      <c r="M649" s="783" t="str">
        <f>'Part VI-Revenues &amp; Expenses'!M15</f>
        <v>No</v>
      </c>
      <c r="N649" s="783" t="str">
        <f>'Part VI-Revenues &amp; Expenses'!N15</f>
        <v>3+ Story</v>
      </c>
      <c r="O649" s="783" t="str">
        <f>'Part VI-Revenues &amp; Expenses'!O15</f>
        <v>New Construction</v>
      </c>
      <c r="P649" s="894">
        <f t="shared" ref="P649:P681" si="203">IF(H649="","",H649*12/0.3)</f>
        <v>27600</v>
      </c>
      <c r="Q649" s="895">
        <f>'Part VI-Revenues &amp; Expenses'!Q15</f>
        <v>0.58636073932441046</v>
      </c>
      <c r="R649" s="894"/>
      <c r="S649" s="895"/>
      <c r="T649" s="2130"/>
      <c r="U649" s="2130"/>
      <c r="V649" s="580" t="str">
        <f t="shared" si="1"/>
        <v/>
      </c>
      <c r="W649" s="580" t="str">
        <f t="shared" si="2"/>
        <v/>
      </c>
      <c r="X649" s="580" t="str">
        <f t="shared" si="3"/>
        <v/>
      </c>
      <c r="Y649" s="580" t="str">
        <f t="shared" si="4"/>
        <v/>
      </c>
      <c r="Z649" s="580" t="str">
        <f t="shared" si="5"/>
        <v/>
      </c>
      <c r="AA649" s="580" t="str">
        <f t="shared" si="6"/>
        <v/>
      </c>
      <c r="AB649" s="580" t="str">
        <f t="shared" si="7"/>
        <v/>
      </c>
      <c r="AC649" s="580" t="str">
        <f t="shared" si="8"/>
        <v/>
      </c>
      <c r="AD649" s="580" t="str">
        <f t="shared" si="9"/>
        <v/>
      </c>
      <c r="AE649" s="580" t="str">
        <f t="shared" si="10"/>
        <v/>
      </c>
      <c r="AF649" s="580" t="str">
        <f t="shared" si="11"/>
        <v/>
      </c>
      <c r="AG649" s="580" t="str">
        <f t="shared" si="12"/>
        <v/>
      </c>
      <c r="AH649" s="580" t="str">
        <f t="shared" si="13"/>
        <v/>
      </c>
      <c r="AI649" s="580" t="str">
        <f t="shared" si="14"/>
        <v/>
      </c>
      <c r="AJ649" s="580" t="str">
        <f t="shared" si="15"/>
        <v/>
      </c>
      <c r="AK649" s="580" t="str">
        <f t="shared" si="16"/>
        <v/>
      </c>
      <c r="AL649" s="580" t="str">
        <f t="shared" si="17"/>
        <v/>
      </c>
      <c r="AM649" s="580">
        <f t="shared" si="18"/>
        <v>2</v>
      </c>
      <c r="AN649" s="580" t="str">
        <f t="shared" si="19"/>
        <v/>
      </c>
      <c r="AO649" s="580" t="str">
        <f t="shared" si="20"/>
        <v/>
      </c>
      <c r="AP649" s="580" t="str">
        <f t="shared" si="173"/>
        <v/>
      </c>
      <c r="AQ649" s="580" t="str">
        <f t="shared" si="174"/>
        <v/>
      </c>
      <c r="AR649" s="580" t="str">
        <f t="shared" si="175"/>
        <v/>
      </c>
      <c r="AS649" s="580" t="str">
        <f t="shared" si="176"/>
        <v/>
      </c>
      <c r="AT649" s="580" t="str">
        <f t="shared" si="177"/>
        <v/>
      </c>
      <c r="AU649" s="580" t="str">
        <f t="shared" si="178"/>
        <v/>
      </c>
      <c r="AV649" s="580" t="str">
        <f t="shared" si="179"/>
        <v/>
      </c>
      <c r="AW649" s="580" t="str">
        <f t="shared" si="180"/>
        <v/>
      </c>
      <c r="AX649" s="580" t="str">
        <f t="shared" si="181"/>
        <v/>
      </c>
      <c r="AY649" s="580" t="str">
        <f t="shared" si="182"/>
        <v/>
      </c>
      <c r="AZ649" s="580" t="str">
        <f t="shared" si="183"/>
        <v/>
      </c>
      <c r="BA649" s="580" t="str">
        <f t="shared" si="184"/>
        <v/>
      </c>
      <c r="BB649" s="580" t="str">
        <f t="shared" si="185"/>
        <v/>
      </c>
      <c r="BC649" s="580" t="str">
        <f t="shared" si="186"/>
        <v/>
      </c>
      <c r="BD649" s="580" t="str">
        <f t="shared" si="187"/>
        <v/>
      </c>
      <c r="BE649" s="580" t="str">
        <f t="shared" si="188"/>
        <v/>
      </c>
      <c r="BF649" s="580" t="str">
        <f t="shared" si="189"/>
        <v/>
      </c>
      <c r="BG649" s="580" t="str">
        <f t="shared" si="190"/>
        <v/>
      </c>
      <c r="BH649" s="580" t="str">
        <f t="shared" si="191"/>
        <v/>
      </c>
      <c r="BI649" s="580" t="str">
        <f t="shared" si="192"/>
        <v/>
      </c>
      <c r="BJ649" s="580" t="str">
        <f t="shared" si="193"/>
        <v/>
      </c>
      <c r="BK649" s="580" t="str">
        <f t="shared" si="194"/>
        <v/>
      </c>
      <c r="BL649" s="580" t="str">
        <f t="shared" si="195"/>
        <v/>
      </c>
      <c r="BM649" s="580" t="str">
        <f t="shared" si="196"/>
        <v/>
      </c>
      <c r="BN649" s="580" t="str">
        <f t="shared" si="197"/>
        <v/>
      </c>
      <c r="BO649" s="580" t="str">
        <f t="shared" si="198"/>
        <v/>
      </c>
      <c r="BP649" s="580" t="str">
        <f t="shared" si="199"/>
        <v/>
      </c>
      <c r="BQ649" s="580" t="str">
        <f t="shared" si="200"/>
        <v/>
      </c>
      <c r="BR649" s="580" t="str">
        <f t="shared" si="201"/>
        <v/>
      </c>
      <c r="BS649" s="580" t="str">
        <f t="shared" si="202"/>
        <v/>
      </c>
      <c r="BT649" s="580" t="str">
        <f t="shared" si="21"/>
        <v/>
      </c>
      <c r="BU649" s="580" t="str">
        <f t="shared" si="22"/>
        <v/>
      </c>
      <c r="BV649" s="580" t="str">
        <f t="shared" si="23"/>
        <v/>
      </c>
      <c r="BW649" s="580" t="str">
        <f t="shared" si="24"/>
        <v/>
      </c>
      <c r="BX649" s="580" t="str">
        <f t="shared" si="25"/>
        <v/>
      </c>
      <c r="BY649" s="580" t="str">
        <f t="shared" si="26"/>
        <v/>
      </c>
      <c r="BZ649" s="580" t="str">
        <f t="shared" si="27"/>
        <v/>
      </c>
      <c r="CA649" s="580" t="str">
        <f t="shared" si="28"/>
        <v/>
      </c>
      <c r="CB649" s="580" t="str">
        <f t="shared" si="29"/>
        <v/>
      </c>
      <c r="CC649" s="580" t="str">
        <f t="shared" si="30"/>
        <v/>
      </c>
      <c r="CD649" s="580" t="str">
        <f t="shared" si="31"/>
        <v/>
      </c>
      <c r="CE649" s="580" t="str">
        <f t="shared" si="32"/>
        <v/>
      </c>
      <c r="CF649" s="580" t="str">
        <f t="shared" si="33"/>
        <v/>
      </c>
      <c r="CG649" s="580" t="str">
        <f t="shared" si="34"/>
        <v/>
      </c>
      <c r="CH649" s="580" t="str">
        <f t="shared" si="35"/>
        <v/>
      </c>
      <c r="CI649" s="580" t="str">
        <f t="shared" si="36"/>
        <v/>
      </c>
      <c r="CJ649" s="580" t="str">
        <f t="shared" si="37"/>
        <v/>
      </c>
      <c r="CK649" s="580" t="str">
        <f t="shared" si="38"/>
        <v/>
      </c>
      <c r="CL649" s="580" t="str">
        <f t="shared" si="39"/>
        <v/>
      </c>
      <c r="CM649" s="580" t="str">
        <f t="shared" si="40"/>
        <v/>
      </c>
      <c r="CN649" s="580" t="str">
        <f t="shared" si="41"/>
        <v/>
      </c>
      <c r="CO649" s="580" t="str">
        <f t="shared" si="42"/>
        <v/>
      </c>
      <c r="CP649" s="580">
        <f t="shared" si="43"/>
        <v>1800</v>
      </c>
      <c r="CQ649" s="580" t="str">
        <f t="shared" si="44"/>
        <v/>
      </c>
      <c r="CR649" s="580" t="str">
        <f t="shared" si="45"/>
        <v/>
      </c>
      <c r="CS649" s="580" t="str">
        <f t="shared" si="46"/>
        <v/>
      </c>
      <c r="CT649" s="580" t="str">
        <f t="shared" si="47"/>
        <v/>
      </c>
      <c r="CU649" s="580" t="str">
        <f t="shared" si="48"/>
        <v/>
      </c>
      <c r="CV649" s="580" t="str">
        <f t="shared" si="49"/>
        <v/>
      </c>
      <c r="CW649" s="580" t="str">
        <f t="shared" si="50"/>
        <v/>
      </c>
      <c r="CX649" s="580" t="str">
        <f t="shared" si="51"/>
        <v/>
      </c>
      <c r="CY649" s="580" t="str">
        <f t="shared" si="52"/>
        <v/>
      </c>
      <c r="CZ649" s="580" t="str">
        <f t="shared" si="53"/>
        <v/>
      </c>
      <c r="DA649" s="580" t="str">
        <f t="shared" si="54"/>
        <v/>
      </c>
      <c r="DB649" s="580" t="str">
        <f t="shared" si="55"/>
        <v/>
      </c>
      <c r="DC649" s="580" t="str">
        <f t="shared" si="56"/>
        <v/>
      </c>
      <c r="DD649" s="580" t="str">
        <f t="shared" si="57"/>
        <v/>
      </c>
      <c r="DE649" s="580" t="str">
        <f t="shared" si="58"/>
        <v/>
      </c>
      <c r="DF649" s="580" t="str">
        <f t="shared" si="59"/>
        <v/>
      </c>
      <c r="DG649" s="580" t="str">
        <f t="shared" si="60"/>
        <v/>
      </c>
      <c r="DH649" s="580" t="str">
        <f t="shared" si="61"/>
        <v/>
      </c>
      <c r="DI649" s="580" t="str">
        <f t="shared" si="62"/>
        <v/>
      </c>
      <c r="DJ649" s="580">
        <f t="shared" si="63"/>
        <v>2</v>
      </c>
      <c r="DK649" s="580" t="str">
        <f t="shared" si="64"/>
        <v/>
      </c>
      <c r="DL649" s="580" t="str">
        <f t="shared" si="65"/>
        <v/>
      </c>
      <c r="DM649" s="580" t="str">
        <f t="shared" si="66"/>
        <v/>
      </c>
      <c r="DN649" s="580" t="str">
        <f t="shared" si="67"/>
        <v/>
      </c>
      <c r="DO649" s="580" t="str">
        <f t="shared" si="68"/>
        <v/>
      </c>
      <c r="DP649" s="580" t="str">
        <f t="shared" si="69"/>
        <v/>
      </c>
      <c r="DQ649" s="580" t="str">
        <f t="shared" si="70"/>
        <v/>
      </c>
      <c r="DR649" s="580" t="str">
        <f t="shared" si="71"/>
        <v/>
      </c>
      <c r="DS649" s="580" t="str">
        <f t="shared" si="72"/>
        <v/>
      </c>
      <c r="DT649" s="580" t="str">
        <f t="shared" si="73"/>
        <v/>
      </c>
      <c r="DU649" s="580" t="str">
        <f t="shared" si="74"/>
        <v/>
      </c>
      <c r="DV649" s="580" t="str">
        <f t="shared" si="75"/>
        <v/>
      </c>
      <c r="DW649" s="580" t="str">
        <f t="shared" si="76"/>
        <v/>
      </c>
      <c r="DX649" s="580" t="str">
        <f t="shared" si="77"/>
        <v/>
      </c>
      <c r="DY649" s="580" t="str">
        <f t="shared" si="78"/>
        <v/>
      </c>
      <c r="DZ649" s="580" t="str">
        <f t="shared" si="79"/>
        <v/>
      </c>
      <c r="EA649" s="580" t="str">
        <f t="shared" si="80"/>
        <v/>
      </c>
      <c r="EB649" s="580" t="str">
        <f t="shared" si="81"/>
        <v/>
      </c>
      <c r="EC649" s="580" t="str">
        <f t="shared" si="82"/>
        <v/>
      </c>
      <c r="ED649" s="580" t="str">
        <f t="shared" si="83"/>
        <v/>
      </c>
      <c r="EE649" s="580" t="str">
        <f t="shared" si="84"/>
        <v/>
      </c>
      <c r="EF649" s="580" t="str">
        <f t="shared" si="85"/>
        <v/>
      </c>
      <c r="EG649" s="580" t="str">
        <f t="shared" si="86"/>
        <v/>
      </c>
      <c r="EH649" s="580" t="str">
        <f t="shared" si="87"/>
        <v/>
      </c>
      <c r="EI649" s="580" t="str">
        <f t="shared" si="88"/>
        <v/>
      </c>
      <c r="EJ649" s="580" t="str">
        <f t="shared" si="89"/>
        <v/>
      </c>
      <c r="EK649" s="580" t="str">
        <f t="shared" si="90"/>
        <v/>
      </c>
      <c r="EL649" s="580" t="str">
        <f t="shared" si="91"/>
        <v/>
      </c>
      <c r="EM649" s="580" t="str">
        <f t="shared" si="92"/>
        <v/>
      </c>
      <c r="EN649" s="580" t="str">
        <f t="shared" si="93"/>
        <v/>
      </c>
      <c r="EO649" s="580" t="str">
        <f t="shared" si="94"/>
        <v/>
      </c>
      <c r="EP649" s="580" t="str">
        <f t="shared" si="95"/>
        <v/>
      </c>
      <c r="EQ649" s="580" t="str">
        <f t="shared" si="96"/>
        <v/>
      </c>
      <c r="ER649" s="580" t="str">
        <f t="shared" si="97"/>
        <v/>
      </c>
      <c r="ES649" s="580" t="str">
        <f t="shared" si="98"/>
        <v/>
      </c>
      <c r="ET649" s="580" t="str">
        <f t="shared" si="99"/>
        <v/>
      </c>
      <c r="EU649" s="580" t="str">
        <f t="shared" si="100"/>
        <v/>
      </c>
      <c r="EV649" s="785" t="str">
        <f t="shared" si="101"/>
        <v/>
      </c>
      <c r="EW649" s="785" t="str">
        <f t="shared" si="102"/>
        <v/>
      </c>
      <c r="EX649" s="785">
        <f t="shared" si="103"/>
        <v>2</v>
      </c>
      <c r="EY649" s="785" t="str">
        <f t="shared" si="104"/>
        <v/>
      </c>
      <c r="EZ649" s="785" t="str">
        <f t="shared" si="105"/>
        <v/>
      </c>
      <c r="FA649" s="785" t="str">
        <f t="shared" si="106"/>
        <v/>
      </c>
      <c r="FB649" s="785" t="str">
        <f t="shared" si="107"/>
        <v/>
      </c>
      <c r="FC649" s="785" t="str">
        <f t="shared" si="108"/>
        <v/>
      </c>
      <c r="FD649" s="785" t="str">
        <f t="shared" si="109"/>
        <v/>
      </c>
      <c r="FE649" s="785" t="str">
        <f t="shared" si="110"/>
        <v/>
      </c>
      <c r="FF649" s="785" t="str">
        <f t="shared" si="111"/>
        <v/>
      </c>
      <c r="FG649" s="785" t="str">
        <f t="shared" si="112"/>
        <v/>
      </c>
      <c r="FH649" s="785" t="str">
        <f t="shared" si="113"/>
        <v/>
      </c>
      <c r="FI649" s="785" t="str">
        <f t="shared" si="114"/>
        <v/>
      </c>
      <c r="FJ649" s="785" t="str">
        <f t="shared" si="115"/>
        <v/>
      </c>
      <c r="FK649" s="785" t="str">
        <f t="shared" si="116"/>
        <v/>
      </c>
      <c r="FL649" s="785" t="str">
        <f t="shared" si="117"/>
        <v/>
      </c>
      <c r="FM649" s="785" t="str">
        <f t="shared" si="118"/>
        <v/>
      </c>
      <c r="FN649" s="785" t="str">
        <f t="shared" si="119"/>
        <v/>
      </c>
      <c r="FO649" s="785" t="str">
        <f t="shared" si="120"/>
        <v/>
      </c>
      <c r="FP649" s="785" t="str">
        <f t="shared" si="121"/>
        <v/>
      </c>
      <c r="FQ649" s="785" t="str">
        <f t="shared" si="122"/>
        <v/>
      </c>
      <c r="FR649" s="785" t="str">
        <f t="shared" si="123"/>
        <v/>
      </c>
      <c r="FS649" s="785" t="str">
        <f t="shared" si="124"/>
        <v/>
      </c>
      <c r="FT649" s="785" t="str">
        <f t="shared" si="125"/>
        <v/>
      </c>
      <c r="FU649" s="785" t="str">
        <f t="shared" si="126"/>
        <v/>
      </c>
      <c r="FV649" s="785" t="str">
        <f t="shared" si="127"/>
        <v/>
      </c>
      <c r="FW649" s="785" t="str">
        <f t="shared" si="128"/>
        <v/>
      </c>
      <c r="FX649" s="785" t="str">
        <f t="shared" si="129"/>
        <v/>
      </c>
      <c r="FY649" s="785" t="str">
        <f t="shared" si="130"/>
        <v/>
      </c>
      <c r="FZ649" s="785" t="str">
        <f t="shared" si="131"/>
        <v/>
      </c>
      <c r="GA649" s="785" t="str">
        <f t="shared" si="132"/>
        <v/>
      </c>
      <c r="GB649" s="785" t="str">
        <f t="shared" si="133"/>
        <v/>
      </c>
      <c r="GC649" s="785" t="str">
        <f t="shared" si="134"/>
        <v/>
      </c>
      <c r="GD649" s="785" t="str">
        <f t="shared" si="135"/>
        <v/>
      </c>
      <c r="GE649" s="785" t="str">
        <f t="shared" si="136"/>
        <v/>
      </c>
      <c r="GF649" s="785" t="str">
        <f t="shared" si="137"/>
        <v/>
      </c>
      <c r="GG649" s="785" t="str">
        <f t="shared" si="138"/>
        <v/>
      </c>
      <c r="GH649" s="785" t="str">
        <f t="shared" si="139"/>
        <v/>
      </c>
      <c r="GI649" s="785" t="str">
        <f t="shared" si="140"/>
        <v/>
      </c>
      <c r="GJ649" s="785" t="str">
        <f t="shared" si="141"/>
        <v/>
      </c>
      <c r="GK649" s="785" t="str">
        <f t="shared" si="142"/>
        <v/>
      </c>
      <c r="GL649" s="785">
        <f t="shared" si="143"/>
        <v>2</v>
      </c>
      <c r="GM649" s="785" t="str">
        <f t="shared" si="144"/>
        <v/>
      </c>
      <c r="GN649" s="785" t="str">
        <f t="shared" si="145"/>
        <v/>
      </c>
      <c r="GO649" s="786" t="str">
        <f t="shared" si="146"/>
        <v/>
      </c>
      <c r="GP649" s="786" t="str">
        <f t="shared" si="147"/>
        <v/>
      </c>
      <c r="GQ649" s="786" t="str">
        <f t="shared" si="148"/>
        <v/>
      </c>
      <c r="GR649" s="786" t="str">
        <f t="shared" si="149"/>
        <v/>
      </c>
      <c r="GS649" s="786" t="str">
        <f t="shared" si="150"/>
        <v/>
      </c>
      <c r="GT649" s="580" t="str">
        <f t="shared" si="151"/>
        <v/>
      </c>
      <c r="GU649" s="580" t="str">
        <f t="shared" si="152"/>
        <v/>
      </c>
      <c r="GV649" s="580" t="str">
        <f t="shared" si="153"/>
        <v/>
      </c>
      <c r="GW649" s="580" t="str">
        <f t="shared" si="154"/>
        <v/>
      </c>
      <c r="GX649" s="580" t="str">
        <f t="shared" si="155"/>
        <v/>
      </c>
      <c r="GY649" s="580" t="str">
        <f t="shared" si="156"/>
        <v/>
      </c>
      <c r="GZ649" s="580" t="str">
        <f t="shared" si="157"/>
        <v/>
      </c>
      <c r="HA649" s="580" t="str">
        <f t="shared" si="158"/>
        <v/>
      </c>
      <c r="HB649" s="580" t="str">
        <f t="shared" si="159"/>
        <v/>
      </c>
      <c r="HC649" s="580" t="str">
        <f t="shared" si="160"/>
        <v/>
      </c>
      <c r="HD649" s="580" t="str">
        <f t="shared" si="161"/>
        <v/>
      </c>
      <c r="HE649" s="580" t="str">
        <f t="shared" si="162"/>
        <v/>
      </c>
      <c r="HF649" s="580" t="str">
        <f t="shared" si="163"/>
        <v/>
      </c>
      <c r="HG649" s="580" t="str">
        <f t="shared" si="164"/>
        <v/>
      </c>
      <c r="HH649" s="580" t="str">
        <f t="shared" si="165"/>
        <v/>
      </c>
      <c r="HI649" s="580" t="str">
        <f t="shared" si="166"/>
        <v/>
      </c>
      <c r="HJ649" s="580" t="str">
        <f t="shared" si="167"/>
        <v/>
      </c>
      <c r="HK649" s="580" t="str">
        <f t="shared" si="168"/>
        <v/>
      </c>
      <c r="HL649" s="580" t="str">
        <f t="shared" si="169"/>
        <v/>
      </c>
      <c r="HM649" s="580" t="str">
        <f t="shared" si="170"/>
        <v/>
      </c>
    </row>
    <row r="650" spans="1:221" ht="13.15" customHeight="1">
      <c r="A650" s="888" t="str">
        <f t="shared" si="171"/>
        <v/>
      </c>
      <c r="B650" s="1054" t="str">
        <f>'Part VI-Revenues &amp; Expenses'!B16</f>
        <v>50% AMI</v>
      </c>
      <c r="C650" s="1055">
        <f>'Part VI-Revenues &amp; Expenses'!C16</f>
        <v>2</v>
      </c>
      <c r="D650" s="1056">
        <f>'Part VI-Revenues &amp; Expenses'!D16</f>
        <v>1</v>
      </c>
      <c r="E650" s="1057">
        <f>'Part VI-Revenues &amp; Expenses'!E16</f>
        <v>4</v>
      </c>
      <c r="F650" s="1057">
        <f>'Part VI-Revenues &amp; Expenses'!F16</f>
        <v>900</v>
      </c>
      <c r="G650" s="1057">
        <f>'Part VI-Revenues &amp; Expenses'!G16</f>
        <v>588</v>
      </c>
      <c r="H650" s="1057">
        <f>'Part VI-Revenues &amp; Expenses'!H16</f>
        <v>588</v>
      </c>
      <c r="I650" s="1057">
        <f>'Part VI-Revenues &amp; Expenses'!I16</f>
        <v>160</v>
      </c>
      <c r="J650" s="818">
        <f>'Part VI-Revenues &amp; Expenses'!J16</f>
        <v>0</v>
      </c>
      <c r="K650" s="893">
        <f t="shared" si="172"/>
        <v>428</v>
      </c>
      <c r="L650" s="893">
        <f t="shared" si="0"/>
        <v>1712</v>
      </c>
      <c r="M650" s="783" t="str">
        <f>'Part VI-Revenues &amp; Expenses'!M16</f>
        <v>No</v>
      </c>
      <c r="N650" s="783" t="str">
        <f>'Part VI-Revenues &amp; Expenses'!N16</f>
        <v>1-Story</v>
      </c>
      <c r="O650" s="783" t="str">
        <f>'Part VI-Revenues &amp; Expenses'!O16</f>
        <v>New Construction</v>
      </c>
      <c r="P650" s="894">
        <f t="shared" si="203"/>
        <v>23520</v>
      </c>
      <c r="Q650" s="895">
        <f>'Part VI-Revenues &amp; Expenses'!Q16</f>
        <v>0.49968132568514978</v>
      </c>
      <c r="R650" s="894"/>
      <c r="S650" s="895"/>
      <c r="T650" s="2130"/>
      <c r="U650" s="2130"/>
      <c r="V650" s="580" t="str">
        <f t="shared" si="1"/>
        <v/>
      </c>
      <c r="W650" s="580" t="str">
        <f t="shared" si="2"/>
        <v/>
      </c>
      <c r="X650" s="580" t="str">
        <f t="shared" si="3"/>
        <v/>
      </c>
      <c r="Y650" s="580" t="str">
        <f t="shared" si="4"/>
        <v/>
      </c>
      <c r="Z650" s="580" t="str">
        <f t="shared" si="5"/>
        <v/>
      </c>
      <c r="AA650" s="580" t="str">
        <f t="shared" si="6"/>
        <v/>
      </c>
      <c r="AB650" s="580" t="str">
        <f t="shared" si="7"/>
        <v/>
      </c>
      <c r="AC650" s="580">
        <f t="shared" si="8"/>
        <v>4</v>
      </c>
      <c r="AD650" s="580" t="str">
        <f t="shared" si="9"/>
        <v/>
      </c>
      <c r="AE650" s="580" t="str">
        <f t="shared" si="10"/>
        <v/>
      </c>
      <c r="AF650" s="580" t="str">
        <f t="shared" si="11"/>
        <v/>
      </c>
      <c r="AG650" s="580" t="str">
        <f t="shared" si="12"/>
        <v/>
      </c>
      <c r="AH650" s="580" t="str">
        <f t="shared" si="13"/>
        <v/>
      </c>
      <c r="AI650" s="580" t="str">
        <f t="shared" si="14"/>
        <v/>
      </c>
      <c r="AJ650" s="580" t="str">
        <f t="shared" si="15"/>
        <v/>
      </c>
      <c r="AK650" s="580" t="str">
        <f t="shared" si="16"/>
        <v/>
      </c>
      <c r="AL650" s="580" t="str">
        <f t="shared" si="17"/>
        <v/>
      </c>
      <c r="AM650" s="580" t="str">
        <f t="shared" si="18"/>
        <v/>
      </c>
      <c r="AN650" s="580" t="str">
        <f t="shared" si="19"/>
        <v/>
      </c>
      <c r="AO650" s="580" t="str">
        <f t="shared" si="20"/>
        <v/>
      </c>
      <c r="AP650" s="580" t="str">
        <f t="shared" si="173"/>
        <v/>
      </c>
      <c r="AQ650" s="580" t="str">
        <f t="shared" si="174"/>
        <v/>
      </c>
      <c r="AR650" s="580" t="str">
        <f t="shared" si="175"/>
        <v/>
      </c>
      <c r="AS650" s="580" t="str">
        <f t="shared" si="176"/>
        <v/>
      </c>
      <c r="AT650" s="580" t="str">
        <f t="shared" si="177"/>
        <v/>
      </c>
      <c r="AU650" s="580" t="str">
        <f t="shared" si="178"/>
        <v/>
      </c>
      <c r="AV650" s="580" t="str">
        <f t="shared" si="179"/>
        <v/>
      </c>
      <c r="AW650" s="580" t="str">
        <f t="shared" si="180"/>
        <v/>
      </c>
      <c r="AX650" s="580" t="str">
        <f t="shared" si="181"/>
        <v/>
      </c>
      <c r="AY650" s="580" t="str">
        <f t="shared" si="182"/>
        <v/>
      </c>
      <c r="AZ650" s="580" t="str">
        <f t="shared" si="183"/>
        <v/>
      </c>
      <c r="BA650" s="580" t="str">
        <f t="shared" si="184"/>
        <v/>
      </c>
      <c r="BB650" s="580" t="str">
        <f t="shared" si="185"/>
        <v/>
      </c>
      <c r="BC650" s="580" t="str">
        <f t="shared" si="186"/>
        <v/>
      </c>
      <c r="BD650" s="580" t="str">
        <f t="shared" si="187"/>
        <v/>
      </c>
      <c r="BE650" s="580" t="str">
        <f t="shared" si="188"/>
        <v/>
      </c>
      <c r="BF650" s="580" t="str">
        <f t="shared" si="189"/>
        <v/>
      </c>
      <c r="BG650" s="580" t="str">
        <f t="shared" si="190"/>
        <v/>
      </c>
      <c r="BH650" s="580" t="str">
        <f t="shared" si="191"/>
        <v/>
      </c>
      <c r="BI650" s="580" t="str">
        <f t="shared" si="192"/>
        <v/>
      </c>
      <c r="BJ650" s="580" t="str">
        <f t="shared" si="193"/>
        <v/>
      </c>
      <c r="BK650" s="580" t="str">
        <f t="shared" si="194"/>
        <v/>
      </c>
      <c r="BL650" s="580" t="str">
        <f t="shared" si="195"/>
        <v/>
      </c>
      <c r="BM650" s="580" t="str">
        <f t="shared" si="196"/>
        <v/>
      </c>
      <c r="BN650" s="580" t="str">
        <f t="shared" si="197"/>
        <v/>
      </c>
      <c r="BO650" s="580" t="str">
        <f t="shared" si="198"/>
        <v/>
      </c>
      <c r="BP650" s="580" t="str">
        <f t="shared" si="199"/>
        <v/>
      </c>
      <c r="BQ650" s="580" t="str">
        <f t="shared" si="200"/>
        <v/>
      </c>
      <c r="BR650" s="580" t="str">
        <f t="shared" si="201"/>
        <v/>
      </c>
      <c r="BS650" s="580" t="str">
        <f t="shared" si="202"/>
        <v/>
      </c>
      <c r="BT650" s="580" t="str">
        <f t="shared" si="21"/>
        <v/>
      </c>
      <c r="BU650" s="580" t="str">
        <f t="shared" si="22"/>
        <v/>
      </c>
      <c r="BV650" s="580" t="str">
        <f t="shared" si="23"/>
        <v/>
      </c>
      <c r="BW650" s="580" t="str">
        <f t="shared" si="24"/>
        <v/>
      </c>
      <c r="BX650" s="580" t="str">
        <f t="shared" si="25"/>
        <v/>
      </c>
      <c r="BY650" s="580" t="str">
        <f t="shared" si="26"/>
        <v/>
      </c>
      <c r="BZ650" s="580" t="str">
        <f t="shared" si="27"/>
        <v/>
      </c>
      <c r="CA650" s="580" t="str">
        <f t="shared" si="28"/>
        <v/>
      </c>
      <c r="CB650" s="580" t="str">
        <f t="shared" si="29"/>
        <v/>
      </c>
      <c r="CC650" s="580" t="str">
        <f t="shared" si="30"/>
        <v/>
      </c>
      <c r="CD650" s="580" t="str">
        <f t="shared" si="31"/>
        <v/>
      </c>
      <c r="CE650" s="580" t="str">
        <f t="shared" si="32"/>
        <v/>
      </c>
      <c r="CF650" s="580">
        <f t="shared" si="33"/>
        <v>3600</v>
      </c>
      <c r="CG650" s="580" t="str">
        <f t="shared" si="34"/>
        <v/>
      </c>
      <c r="CH650" s="580" t="str">
        <f t="shared" si="35"/>
        <v/>
      </c>
      <c r="CI650" s="580" t="str">
        <f t="shared" si="36"/>
        <v/>
      </c>
      <c r="CJ650" s="580" t="str">
        <f t="shared" si="37"/>
        <v/>
      </c>
      <c r="CK650" s="580" t="str">
        <f t="shared" si="38"/>
        <v/>
      </c>
      <c r="CL650" s="580" t="str">
        <f t="shared" si="39"/>
        <v/>
      </c>
      <c r="CM650" s="580" t="str">
        <f t="shared" si="40"/>
        <v/>
      </c>
      <c r="CN650" s="580" t="str">
        <f t="shared" si="41"/>
        <v/>
      </c>
      <c r="CO650" s="580" t="str">
        <f t="shared" si="42"/>
        <v/>
      </c>
      <c r="CP650" s="580" t="str">
        <f t="shared" si="43"/>
        <v/>
      </c>
      <c r="CQ650" s="580" t="str">
        <f t="shared" si="44"/>
        <v/>
      </c>
      <c r="CR650" s="580" t="str">
        <f t="shared" si="45"/>
        <v/>
      </c>
      <c r="CS650" s="580" t="str">
        <f t="shared" si="46"/>
        <v/>
      </c>
      <c r="CT650" s="580" t="str">
        <f t="shared" si="47"/>
        <v/>
      </c>
      <c r="CU650" s="580" t="str">
        <f t="shared" si="48"/>
        <v/>
      </c>
      <c r="CV650" s="580" t="str">
        <f t="shared" si="49"/>
        <v/>
      </c>
      <c r="CW650" s="580" t="str">
        <f t="shared" si="50"/>
        <v/>
      </c>
      <c r="CX650" s="580" t="str">
        <f t="shared" si="51"/>
        <v/>
      </c>
      <c r="CY650" s="580" t="str">
        <f t="shared" si="52"/>
        <v/>
      </c>
      <c r="CZ650" s="580" t="str">
        <f t="shared" si="53"/>
        <v/>
      </c>
      <c r="DA650" s="580" t="str">
        <f t="shared" si="54"/>
        <v/>
      </c>
      <c r="DB650" s="580" t="str">
        <f t="shared" si="55"/>
        <v/>
      </c>
      <c r="DC650" s="580" t="str">
        <f t="shared" si="56"/>
        <v/>
      </c>
      <c r="DD650" s="580" t="str">
        <f t="shared" si="57"/>
        <v/>
      </c>
      <c r="DE650" s="580">
        <f t="shared" si="58"/>
        <v>4</v>
      </c>
      <c r="DF650" s="580" t="str">
        <f t="shared" si="59"/>
        <v/>
      </c>
      <c r="DG650" s="580" t="str">
        <f t="shared" si="60"/>
        <v/>
      </c>
      <c r="DH650" s="580" t="str">
        <f t="shared" si="61"/>
        <v/>
      </c>
      <c r="DI650" s="580" t="str">
        <f t="shared" si="62"/>
        <v/>
      </c>
      <c r="DJ650" s="580" t="str">
        <f t="shared" si="63"/>
        <v/>
      </c>
      <c r="DK650" s="580" t="str">
        <f t="shared" si="64"/>
        <v/>
      </c>
      <c r="DL650" s="580" t="str">
        <f t="shared" si="65"/>
        <v/>
      </c>
      <c r="DM650" s="580" t="str">
        <f t="shared" si="66"/>
        <v/>
      </c>
      <c r="DN650" s="580" t="str">
        <f t="shared" si="67"/>
        <v/>
      </c>
      <c r="DO650" s="580" t="str">
        <f t="shared" si="68"/>
        <v/>
      </c>
      <c r="DP650" s="580" t="str">
        <f t="shared" si="69"/>
        <v/>
      </c>
      <c r="DQ650" s="580" t="str">
        <f t="shared" si="70"/>
        <v/>
      </c>
      <c r="DR650" s="580" t="str">
        <f t="shared" si="71"/>
        <v/>
      </c>
      <c r="DS650" s="580" t="str">
        <f t="shared" si="72"/>
        <v/>
      </c>
      <c r="DT650" s="580" t="str">
        <f t="shared" si="73"/>
        <v/>
      </c>
      <c r="DU650" s="580" t="str">
        <f t="shared" si="74"/>
        <v/>
      </c>
      <c r="DV650" s="580" t="str">
        <f t="shared" si="75"/>
        <v/>
      </c>
      <c r="DW650" s="580" t="str">
        <f t="shared" si="76"/>
        <v/>
      </c>
      <c r="DX650" s="580" t="str">
        <f t="shared" si="77"/>
        <v/>
      </c>
      <c r="DY650" s="580" t="str">
        <f t="shared" si="78"/>
        <v/>
      </c>
      <c r="DZ650" s="580" t="str">
        <f t="shared" si="79"/>
        <v/>
      </c>
      <c r="EA650" s="580" t="str">
        <f t="shared" si="80"/>
        <v/>
      </c>
      <c r="EB650" s="580" t="str">
        <f t="shared" si="81"/>
        <v/>
      </c>
      <c r="EC650" s="580" t="str">
        <f t="shared" si="82"/>
        <v/>
      </c>
      <c r="ED650" s="580" t="str">
        <f t="shared" si="83"/>
        <v/>
      </c>
      <c r="EE650" s="580" t="str">
        <f t="shared" si="84"/>
        <v/>
      </c>
      <c r="EF650" s="580" t="str">
        <f t="shared" si="85"/>
        <v/>
      </c>
      <c r="EG650" s="580" t="str">
        <f t="shared" si="86"/>
        <v/>
      </c>
      <c r="EH650" s="580" t="str">
        <f t="shared" si="87"/>
        <v/>
      </c>
      <c r="EI650" s="580" t="str">
        <f t="shared" si="88"/>
        <v/>
      </c>
      <c r="EJ650" s="580" t="str">
        <f t="shared" si="89"/>
        <v/>
      </c>
      <c r="EK650" s="580" t="str">
        <f t="shared" si="90"/>
        <v/>
      </c>
      <c r="EL650" s="580" t="str">
        <f t="shared" si="91"/>
        <v/>
      </c>
      <c r="EM650" s="580" t="str">
        <f t="shared" si="92"/>
        <v/>
      </c>
      <c r="EN650" s="580" t="str">
        <f t="shared" si="93"/>
        <v/>
      </c>
      <c r="EO650" s="580" t="str">
        <f t="shared" si="94"/>
        <v/>
      </c>
      <c r="EP650" s="580" t="str">
        <f t="shared" si="95"/>
        <v/>
      </c>
      <c r="EQ650" s="580" t="str">
        <f t="shared" si="96"/>
        <v/>
      </c>
      <c r="ER650" s="580" t="str">
        <f t="shared" si="97"/>
        <v/>
      </c>
      <c r="ES650" s="580" t="str">
        <f t="shared" si="98"/>
        <v/>
      </c>
      <c r="ET650" s="580" t="str">
        <f t="shared" si="99"/>
        <v/>
      </c>
      <c r="EU650" s="580" t="str">
        <f t="shared" si="100"/>
        <v/>
      </c>
      <c r="EV650" s="785" t="str">
        <f t="shared" si="101"/>
        <v/>
      </c>
      <c r="EW650" s="785" t="str">
        <f t="shared" si="102"/>
        <v/>
      </c>
      <c r="EX650" s="785">
        <f t="shared" si="103"/>
        <v>4</v>
      </c>
      <c r="EY650" s="785" t="str">
        <f t="shared" si="104"/>
        <v/>
      </c>
      <c r="EZ650" s="785" t="str">
        <f t="shared" si="105"/>
        <v/>
      </c>
      <c r="FA650" s="785" t="str">
        <f t="shared" si="106"/>
        <v/>
      </c>
      <c r="FB650" s="785" t="str">
        <f t="shared" si="107"/>
        <v/>
      </c>
      <c r="FC650" s="785" t="str">
        <f t="shared" si="108"/>
        <v/>
      </c>
      <c r="FD650" s="785" t="str">
        <f t="shared" si="109"/>
        <v/>
      </c>
      <c r="FE650" s="785" t="str">
        <f t="shared" si="110"/>
        <v/>
      </c>
      <c r="FF650" s="785" t="str">
        <f t="shared" si="111"/>
        <v/>
      </c>
      <c r="FG650" s="785" t="str">
        <f t="shared" si="112"/>
        <v/>
      </c>
      <c r="FH650" s="785" t="str">
        <f t="shared" si="113"/>
        <v/>
      </c>
      <c r="FI650" s="785" t="str">
        <f t="shared" si="114"/>
        <v/>
      </c>
      <c r="FJ650" s="785" t="str">
        <f t="shared" si="115"/>
        <v/>
      </c>
      <c r="FK650" s="785" t="str">
        <f t="shared" si="116"/>
        <v/>
      </c>
      <c r="FL650" s="785" t="str">
        <f t="shared" si="117"/>
        <v/>
      </c>
      <c r="FM650" s="785" t="str">
        <f t="shared" si="118"/>
        <v/>
      </c>
      <c r="FN650" s="785" t="str">
        <f t="shared" si="119"/>
        <v/>
      </c>
      <c r="FO650" s="785" t="str">
        <f t="shared" si="120"/>
        <v/>
      </c>
      <c r="FP650" s="785" t="str">
        <f t="shared" si="121"/>
        <v/>
      </c>
      <c r="FQ650" s="785" t="str">
        <f t="shared" si="122"/>
        <v/>
      </c>
      <c r="FR650" s="785" t="str">
        <f t="shared" si="123"/>
        <v/>
      </c>
      <c r="FS650" s="785" t="str">
        <f t="shared" si="124"/>
        <v/>
      </c>
      <c r="FT650" s="785" t="str">
        <f t="shared" si="125"/>
        <v/>
      </c>
      <c r="FU650" s="785" t="str">
        <f t="shared" si="126"/>
        <v/>
      </c>
      <c r="FV650" s="785" t="str">
        <f t="shared" si="127"/>
        <v/>
      </c>
      <c r="FW650" s="785">
        <f t="shared" si="128"/>
        <v>4</v>
      </c>
      <c r="FX650" s="785" t="str">
        <f t="shared" si="129"/>
        <v/>
      </c>
      <c r="FY650" s="785" t="str">
        <f t="shared" si="130"/>
        <v/>
      </c>
      <c r="FZ650" s="785" t="str">
        <f t="shared" si="131"/>
        <v/>
      </c>
      <c r="GA650" s="785" t="str">
        <f t="shared" si="132"/>
        <v/>
      </c>
      <c r="GB650" s="785" t="str">
        <f t="shared" si="133"/>
        <v/>
      </c>
      <c r="GC650" s="785" t="str">
        <f t="shared" si="134"/>
        <v/>
      </c>
      <c r="GD650" s="785" t="str">
        <f t="shared" si="135"/>
        <v/>
      </c>
      <c r="GE650" s="785" t="str">
        <f t="shared" si="136"/>
        <v/>
      </c>
      <c r="GF650" s="785" t="str">
        <f t="shared" si="137"/>
        <v/>
      </c>
      <c r="GG650" s="785" t="str">
        <f t="shared" si="138"/>
        <v/>
      </c>
      <c r="GH650" s="785" t="str">
        <f t="shared" si="139"/>
        <v/>
      </c>
      <c r="GI650" s="785" t="str">
        <f t="shared" si="140"/>
        <v/>
      </c>
      <c r="GJ650" s="785" t="str">
        <f t="shared" si="141"/>
        <v/>
      </c>
      <c r="GK650" s="785" t="str">
        <f t="shared" si="142"/>
        <v/>
      </c>
      <c r="GL650" s="785" t="str">
        <f t="shared" si="143"/>
        <v/>
      </c>
      <c r="GM650" s="785" t="str">
        <f t="shared" si="144"/>
        <v/>
      </c>
      <c r="GN650" s="785" t="str">
        <f t="shared" si="145"/>
        <v/>
      </c>
      <c r="GO650" s="786" t="str">
        <f t="shared" si="146"/>
        <v/>
      </c>
      <c r="GP650" s="786" t="str">
        <f t="shared" si="147"/>
        <v/>
      </c>
      <c r="GQ650" s="786" t="str">
        <f t="shared" si="148"/>
        <v/>
      </c>
      <c r="GR650" s="786" t="str">
        <f t="shared" si="149"/>
        <v/>
      </c>
      <c r="GS650" s="786" t="str">
        <f t="shared" si="150"/>
        <v/>
      </c>
      <c r="GT650" s="580" t="str">
        <f t="shared" si="151"/>
        <v/>
      </c>
      <c r="GU650" s="580" t="str">
        <f t="shared" si="152"/>
        <v/>
      </c>
      <c r="GV650" s="580" t="str">
        <f t="shared" si="153"/>
        <v/>
      </c>
      <c r="GW650" s="580" t="str">
        <f t="shared" si="154"/>
        <v/>
      </c>
      <c r="GX650" s="580" t="str">
        <f t="shared" si="155"/>
        <v/>
      </c>
      <c r="GY650" s="580" t="str">
        <f t="shared" si="156"/>
        <v/>
      </c>
      <c r="GZ650" s="580" t="str">
        <f t="shared" si="157"/>
        <v/>
      </c>
      <c r="HA650" s="580" t="str">
        <f t="shared" si="158"/>
        <v/>
      </c>
      <c r="HB650" s="580" t="str">
        <f t="shared" si="159"/>
        <v/>
      </c>
      <c r="HC650" s="580" t="str">
        <f t="shared" si="160"/>
        <v/>
      </c>
      <c r="HD650" s="580" t="str">
        <f t="shared" si="161"/>
        <v/>
      </c>
      <c r="HE650" s="580" t="str">
        <f t="shared" si="162"/>
        <v/>
      </c>
      <c r="HF650" s="580" t="str">
        <f t="shared" si="163"/>
        <v/>
      </c>
      <c r="HG650" s="580" t="str">
        <f t="shared" si="164"/>
        <v/>
      </c>
      <c r="HH650" s="580" t="str">
        <f t="shared" si="165"/>
        <v/>
      </c>
      <c r="HI650" s="580" t="str">
        <f t="shared" si="166"/>
        <v/>
      </c>
      <c r="HJ650" s="580" t="str">
        <f t="shared" si="167"/>
        <v/>
      </c>
      <c r="HK650" s="580" t="str">
        <f t="shared" si="168"/>
        <v/>
      </c>
      <c r="HL650" s="580" t="str">
        <f t="shared" si="169"/>
        <v/>
      </c>
      <c r="HM650" s="580" t="str">
        <f t="shared" si="170"/>
        <v/>
      </c>
    </row>
    <row r="651" spans="1:221" ht="13.15" customHeight="1">
      <c r="A651" s="888" t="str">
        <f t="shared" si="171"/>
        <v/>
      </c>
      <c r="B651" s="1054" t="str">
        <f>'Part VI-Revenues &amp; Expenses'!B17</f>
        <v>60% AMI</v>
      </c>
      <c r="C651" s="1055">
        <f>'Part VI-Revenues &amp; Expenses'!C17</f>
        <v>2</v>
      </c>
      <c r="D651" s="1056">
        <f>'Part VI-Revenues &amp; Expenses'!D17</f>
        <v>1</v>
      </c>
      <c r="E651" s="1057">
        <f>'Part VI-Revenues &amp; Expenses'!E17</f>
        <v>24</v>
      </c>
      <c r="F651" s="1057">
        <f>'Part VI-Revenues &amp; Expenses'!F17</f>
        <v>900</v>
      </c>
      <c r="G651" s="1057">
        <f>'Part VI-Revenues &amp; Expenses'!G17</f>
        <v>706</v>
      </c>
      <c r="H651" s="1057">
        <f>'Part VI-Revenues &amp; Expenses'!H17</f>
        <v>706</v>
      </c>
      <c r="I651" s="1057">
        <f>'Part VI-Revenues &amp; Expenses'!I17</f>
        <v>160</v>
      </c>
      <c r="J651" s="818">
        <f>'Part VI-Revenues &amp; Expenses'!J17</f>
        <v>0</v>
      </c>
      <c r="K651" s="893">
        <f t="shared" si="172"/>
        <v>546</v>
      </c>
      <c r="L651" s="893">
        <f t="shared" si="0"/>
        <v>13104</v>
      </c>
      <c r="M651" s="783" t="str">
        <f>'Part VI-Revenues &amp; Expenses'!M17</f>
        <v>No</v>
      </c>
      <c r="N651" s="783" t="str">
        <f>'Part VI-Revenues &amp; Expenses'!N17</f>
        <v>1-Story</v>
      </c>
      <c r="O651" s="783" t="str">
        <f>'Part VI-Revenues &amp; Expenses'!O17</f>
        <v>New Construction</v>
      </c>
      <c r="P651" s="894">
        <f t="shared" si="203"/>
        <v>28240</v>
      </c>
      <c r="Q651" s="895">
        <f>'Part VI-Revenues &amp; Expenses'!Q17</f>
        <v>0.59995751009135334</v>
      </c>
      <c r="R651" s="894"/>
      <c r="S651" s="895"/>
      <c r="T651" s="2130"/>
      <c r="U651" s="2130"/>
      <c r="V651" s="580" t="str">
        <f t="shared" si="1"/>
        <v/>
      </c>
      <c r="W651" s="580" t="str">
        <f t="shared" si="2"/>
        <v/>
      </c>
      <c r="X651" s="580">
        <f t="shared" si="3"/>
        <v>24</v>
      </c>
      <c r="Y651" s="580" t="str">
        <f t="shared" si="4"/>
        <v/>
      </c>
      <c r="Z651" s="580" t="str">
        <f t="shared" si="5"/>
        <v/>
      </c>
      <c r="AA651" s="580" t="str">
        <f t="shared" si="6"/>
        <v/>
      </c>
      <c r="AB651" s="580" t="str">
        <f t="shared" si="7"/>
        <v/>
      </c>
      <c r="AC651" s="580" t="str">
        <f t="shared" si="8"/>
        <v/>
      </c>
      <c r="AD651" s="580" t="str">
        <f t="shared" si="9"/>
        <v/>
      </c>
      <c r="AE651" s="580" t="str">
        <f t="shared" si="10"/>
        <v/>
      </c>
      <c r="AF651" s="580" t="str">
        <f t="shared" si="11"/>
        <v/>
      </c>
      <c r="AG651" s="580" t="str">
        <f t="shared" si="12"/>
        <v/>
      </c>
      <c r="AH651" s="580" t="str">
        <f t="shared" si="13"/>
        <v/>
      </c>
      <c r="AI651" s="580" t="str">
        <f t="shared" si="14"/>
        <v/>
      </c>
      <c r="AJ651" s="580" t="str">
        <f t="shared" si="15"/>
        <v/>
      </c>
      <c r="AK651" s="580" t="str">
        <f t="shared" si="16"/>
        <v/>
      </c>
      <c r="AL651" s="580" t="str">
        <f t="shared" si="17"/>
        <v/>
      </c>
      <c r="AM651" s="580" t="str">
        <f t="shared" si="18"/>
        <v/>
      </c>
      <c r="AN651" s="580" t="str">
        <f t="shared" si="19"/>
        <v/>
      </c>
      <c r="AO651" s="580" t="str">
        <f t="shared" si="20"/>
        <v/>
      </c>
      <c r="AP651" s="580" t="str">
        <f t="shared" si="173"/>
        <v/>
      </c>
      <c r="AQ651" s="580" t="str">
        <f t="shared" si="174"/>
        <v/>
      </c>
      <c r="AR651" s="580" t="str">
        <f t="shared" si="175"/>
        <v/>
      </c>
      <c r="AS651" s="580" t="str">
        <f t="shared" si="176"/>
        <v/>
      </c>
      <c r="AT651" s="580" t="str">
        <f t="shared" si="177"/>
        <v/>
      </c>
      <c r="AU651" s="580" t="str">
        <f t="shared" si="178"/>
        <v/>
      </c>
      <c r="AV651" s="580" t="str">
        <f t="shared" si="179"/>
        <v/>
      </c>
      <c r="AW651" s="580" t="str">
        <f t="shared" si="180"/>
        <v/>
      </c>
      <c r="AX651" s="580" t="str">
        <f t="shared" si="181"/>
        <v/>
      </c>
      <c r="AY651" s="580" t="str">
        <f t="shared" si="182"/>
        <v/>
      </c>
      <c r="AZ651" s="580" t="str">
        <f t="shared" si="183"/>
        <v/>
      </c>
      <c r="BA651" s="580" t="str">
        <f t="shared" si="184"/>
        <v/>
      </c>
      <c r="BB651" s="580" t="str">
        <f t="shared" si="185"/>
        <v/>
      </c>
      <c r="BC651" s="580" t="str">
        <f t="shared" si="186"/>
        <v/>
      </c>
      <c r="BD651" s="580" t="str">
        <f t="shared" si="187"/>
        <v/>
      </c>
      <c r="BE651" s="580" t="str">
        <f t="shared" si="188"/>
        <v/>
      </c>
      <c r="BF651" s="580" t="str">
        <f t="shared" si="189"/>
        <v/>
      </c>
      <c r="BG651" s="580" t="str">
        <f t="shared" si="190"/>
        <v/>
      </c>
      <c r="BH651" s="580" t="str">
        <f t="shared" si="191"/>
        <v/>
      </c>
      <c r="BI651" s="580" t="str">
        <f t="shared" si="192"/>
        <v/>
      </c>
      <c r="BJ651" s="580" t="str">
        <f t="shared" si="193"/>
        <v/>
      </c>
      <c r="BK651" s="580" t="str">
        <f t="shared" si="194"/>
        <v/>
      </c>
      <c r="BL651" s="580" t="str">
        <f t="shared" si="195"/>
        <v/>
      </c>
      <c r="BM651" s="580" t="str">
        <f t="shared" si="196"/>
        <v/>
      </c>
      <c r="BN651" s="580" t="str">
        <f t="shared" si="197"/>
        <v/>
      </c>
      <c r="BO651" s="580" t="str">
        <f t="shared" si="198"/>
        <v/>
      </c>
      <c r="BP651" s="580" t="str">
        <f t="shared" si="199"/>
        <v/>
      </c>
      <c r="BQ651" s="580" t="str">
        <f t="shared" si="200"/>
        <v/>
      </c>
      <c r="BR651" s="580" t="str">
        <f t="shared" si="201"/>
        <v/>
      </c>
      <c r="BS651" s="580" t="str">
        <f t="shared" si="202"/>
        <v/>
      </c>
      <c r="BT651" s="580" t="str">
        <f t="shared" si="21"/>
        <v/>
      </c>
      <c r="BU651" s="580" t="str">
        <f t="shared" si="22"/>
        <v/>
      </c>
      <c r="BV651" s="580" t="str">
        <f t="shared" si="23"/>
        <v/>
      </c>
      <c r="BW651" s="580" t="str">
        <f t="shared" si="24"/>
        <v/>
      </c>
      <c r="BX651" s="580" t="str">
        <f t="shared" si="25"/>
        <v/>
      </c>
      <c r="BY651" s="580" t="str">
        <f t="shared" si="26"/>
        <v/>
      </c>
      <c r="BZ651" s="580" t="str">
        <f t="shared" si="27"/>
        <v/>
      </c>
      <c r="CA651" s="580">
        <f t="shared" si="28"/>
        <v>21600</v>
      </c>
      <c r="CB651" s="580" t="str">
        <f t="shared" si="29"/>
        <v/>
      </c>
      <c r="CC651" s="580" t="str">
        <f t="shared" si="30"/>
        <v/>
      </c>
      <c r="CD651" s="580" t="str">
        <f t="shared" si="31"/>
        <v/>
      </c>
      <c r="CE651" s="580" t="str">
        <f t="shared" si="32"/>
        <v/>
      </c>
      <c r="CF651" s="580" t="str">
        <f t="shared" si="33"/>
        <v/>
      </c>
      <c r="CG651" s="580" t="str">
        <f t="shared" si="34"/>
        <v/>
      </c>
      <c r="CH651" s="580" t="str">
        <f t="shared" si="35"/>
        <v/>
      </c>
      <c r="CI651" s="580" t="str">
        <f t="shared" si="36"/>
        <v/>
      </c>
      <c r="CJ651" s="580" t="str">
        <f t="shared" si="37"/>
        <v/>
      </c>
      <c r="CK651" s="580" t="str">
        <f t="shared" si="38"/>
        <v/>
      </c>
      <c r="CL651" s="580" t="str">
        <f t="shared" si="39"/>
        <v/>
      </c>
      <c r="CM651" s="580" t="str">
        <f t="shared" si="40"/>
        <v/>
      </c>
      <c r="CN651" s="580" t="str">
        <f t="shared" si="41"/>
        <v/>
      </c>
      <c r="CO651" s="580" t="str">
        <f t="shared" si="42"/>
        <v/>
      </c>
      <c r="CP651" s="580" t="str">
        <f t="shared" si="43"/>
        <v/>
      </c>
      <c r="CQ651" s="580" t="str">
        <f t="shared" si="44"/>
        <v/>
      </c>
      <c r="CR651" s="580" t="str">
        <f t="shared" si="45"/>
        <v/>
      </c>
      <c r="CS651" s="580" t="str">
        <f t="shared" si="46"/>
        <v/>
      </c>
      <c r="CT651" s="580" t="str">
        <f t="shared" si="47"/>
        <v/>
      </c>
      <c r="CU651" s="580" t="str">
        <f t="shared" si="48"/>
        <v/>
      </c>
      <c r="CV651" s="580" t="str">
        <f t="shared" si="49"/>
        <v/>
      </c>
      <c r="CW651" s="580" t="str">
        <f t="shared" si="50"/>
        <v/>
      </c>
      <c r="CX651" s="580" t="str">
        <f t="shared" si="51"/>
        <v/>
      </c>
      <c r="CY651" s="580" t="str">
        <f t="shared" si="52"/>
        <v/>
      </c>
      <c r="CZ651" s="580" t="str">
        <f t="shared" si="53"/>
        <v/>
      </c>
      <c r="DA651" s="580" t="str">
        <f t="shared" si="54"/>
        <v/>
      </c>
      <c r="DB651" s="580" t="str">
        <f t="shared" si="55"/>
        <v/>
      </c>
      <c r="DC651" s="580" t="str">
        <f t="shared" si="56"/>
        <v/>
      </c>
      <c r="DD651" s="580" t="str">
        <f t="shared" si="57"/>
        <v/>
      </c>
      <c r="DE651" s="580">
        <f t="shared" si="58"/>
        <v>24</v>
      </c>
      <c r="DF651" s="580" t="str">
        <f t="shared" si="59"/>
        <v/>
      </c>
      <c r="DG651" s="580" t="str">
        <f t="shared" si="60"/>
        <v/>
      </c>
      <c r="DH651" s="580" t="str">
        <f t="shared" si="61"/>
        <v/>
      </c>
      <c r="DI651" s="580" t="str">
        <f t="shared" si="62"/>
        <v/>
      </c>
      <c r="DJ651" s="580" t="str">
        <f t="shared" si="63"/>
        <v/>
      </c>
      <c r="DK651" s="580" t="str">
        <f t="shared" si="64"/>
        <v/>
      </c>
      <c r="DL651" s="580" t="str">
        <f t="shared" si="65"/>
        <v/>
      </c>
      <c r="DM651" s="580" t="str">
        <f t="shared" si="66"/>
        <v/>
      </c>
      <c r="DN651" s="580" t="str">
        <f t="shared" si="67"/>
        <v/>
      </c>
      <c r="DO651" s="580" t="str">
        <f t="shared" si="68"/>
        <v/>
      </c>
      <c r="DP651" s="580" t="str">
        <f t="shared" si="69"/>
        <v/>
      </c>
      <c r="DQ651" s="580" t="str">
        <f t="shared" si="70"/>
        <v/>
      </c>
      <c r="DR651" s="580" t="str">
        <f t="shared" si="71"/>
        <v/>
      </c>
      <c r="DS651" s="580" t="str">
        <f t="shared" si="72"/>
        <v/>
      </c>
      <c r="DT651" s="580" t="str">
        <f t="shared" si="73"/>
        <v/>
      </c>
      <c r="DU651" s="580" t="str">
        <f t="shared" si="74"/>
        <v/>
      </c>
      <c r="DV651" s="580" t="str">
        <f t="shared" si="75"/>
        <v/>
      </c>
      <c r="DW651" s="580" t="str">
        <f t="shared" si="76"/>
        <v/>
      </c>
      <c r="DX651" s="580" t="str">
        <f t="shared" si="77"/>
        <v/>
      </c>
      <c r="DY651" s="580" t="str">
        <f t="shared" si="78"/>
        <v/>
      </c>
      <c r="DZ651" s="580" t="str">
        <f t="shared" si="79"/>
        <v/>
      </c>
      <c r="EA651" s="580" t="str">
        <f t="shared" si="80"/>
        <v/>
      </c>
      <c r="EB651" s="580" t="str">
        <f t="shared" si="81"/>
        <v/>
      </c>
      <c r="EC651" s="580" t="str">
        <f t="shared" si="82"/>
        <v/>
      </c>
      <c r="ED651" s="580" t="str">
        <f t="shared" si="83"/>
        <v/>
      </c>
      <c r="EE651" s="580" t="str">
        <f t="shared" si="84"/>
        <v/>
      </c>
      <c r="EF651" s="580" t="str">
        <f t="shared" si="85"/>
        <v/>
      </c>
      <c r="EG651" s="580" t="str">
        <f t="shared" si="86"/>
        <v/>
      </c>
      <c r="EH651" s="580" t="str">
        <f t="shared" si="87"/>
        <v/>
      </c>
      <c r="EI651" s="580" t="str">
        <f t="shared" si="88"/>
        <v/>
      </c>
      <c r="EJ651" s="580" t="str">
        <f t="shared" si="89"/>
        <v/>
      </c>
      <c r="EK651" s="580" t="str">
        <f t="shared" si="90"/>
        <v/>
      </c>
      <c r="EL651" s="580" t="str">
        <f t="shared" si="91"/>
        <v/>
      </c>
      <c r="EM651" s="580" t="str">
        <f t="shared" si="92"/>
        <v/>
      </c>
      <c r="EN651" s="580" t="str">
        <f t="shared" si="93"/>
        <v/>
      </c>
      <c r="EO651" s="580" t="str">
        <f t="shared" si="94"/>
        <v/>
      </c>
      <c r="EP651" s="580" t="str">
        <f t="shared" si="95"/>
        <v/>
      </c>
      <c r="EQ651" s="580" t="str">
        <f t="shared" si="96"/>
        <v/>
      </c>
      <c r="ER651" s="580" t="str">
        <f t="shared" si="97"/>
        <v/>
      </c>
      <c r="ES651" s="580" t="str">
        <f t="shared" si="98"/>
        <v/>
      </c>
      <c r="ET651" s="580" t="str">
        <f t="shared" si="99"/>
        <v/>
      </c>
      <c r="EU651" s="580" t="str">
        <f t="shared" si="100"/>
        <v/>
      </c>
      <c r="EV651" s="785" t="str">
        <f t="shared" si="101"/>
        <v/>
      </c>
      <c r="EW651" s="785" t="str">
        <f t="shared" si="102"/>
        <v/>
      </c>
      <c r="EX651" s="785">
        <f t="shared" si="103"/>
        <v>24</v>
      </c>
      <c r="EY651" s="785" t="str">
        <f t="shared" si="104"/>
        <v/>
      </c>
      <c r="EZ651" s="785" t="str">
        <f t="shared" si="105"/>
        <v/>
      </c>
      <c r="FA651" s="785" t="str">
        <f t="shared" si="106"/>
        <v/>
      </c>
      <c r="FB651" s="785" t="str">
        <f t="shared" si="107"/>
        <v/>
      </c>
      <c r="FC651" s="785" t="str">
        <f t="shared" si="108"/>
        <v/>
      </c>
      <c r="FD651" s="785" t="str">
        <f t="shared" si="109"/>
        <v/>
      </c>
      <c r="FE651" s="785" t="str">
        <f t="shared" si="110"/>
        <v/>
      </c>
      <c r="FF651" s="785" t="str">
        <f t="shared" si="111"/>
        <v/>
      </c>
      <c r="FG651" s="785" t="str">
        <f t="shared" si="112"/>
        <v/>
      </c>
      <c r="FH651" s="785" t="str">
        <f t="shared" si="113"/>
        <v/>
      </c>
      <c r="FI651" s="785" t="str">
        <f t="shared" si="114"/>
        <v/>
      </c>
      <c r="FJ651" s="785" t="str">
        <f t="shared" si="115"/>
        <v/>
      </c>
      <c r="FK651" s="785" t="str">
        <f t="shared" si="116"/>
        <v/>
      </c>
      <c r="FL651" s="785" t="str">
        <f t="shared" si="117"/>
        <v/>
      </c>
      <c r="FM651" s="785" t="str">
        <f t="shared" si="118"/>
        <v/>
      </c>
      <c r="FN651" s="785" t="str">
        <f t="shared" si="119"/>
        <v/>
      </c>
      <c r="FO651" s="785" t="str">
        <f t="shared" si="120"/>
        <v/>
      </c>
      <c r="FP651" s="785" t="str">
        <f t="shared" si="121"/>
        <v/>
      </c>
      <c r="FQ651" s="785" t="str">
        <f t="shared" si="122"/>
        <v/>
      </c>
      <c r="FR651" s="785" t="str">
        <f t="shared" si="123"/>
        <v/>
      </c>
      <c r="FS651" s="785" t="str">
        <f t="shared" si="124"/>
        <v/>
      </c>
      <c r="FT651" s="785" t="str">
        <f t="shared" si="125"/>
        <v/>
      </c>
      <c r="FU651" s="785" t="str">
        <f t="shared" si="126"/>
        <v/>
      </c>
      <c r="FV651" s="785" t="str">
        <f t="shared" si="127"/>
        <v/>
      </c>
      <c r="FW651" s="785">
        <f t="shared" si="128"/>
        <v>24</v>
      </c>
      <c r="FX651" s="785" t="str">
        <f t="shared" si="129"/>
        <v/>
      </c>
      <c r="FY651" s="785" t="str">
        <f t="shared" si="130"/>
        <v/>
      </c>
      <c r="FZ651" s="785" t="str">
        <f t="shared" si="131"/>
        <v/>
      </c>
      <c r="GA651" s="785" t="str">
        <f t="shared" si="132"/>
        <v/>
      </c>
      <c r="GB651" s="785" t="str">
        <f t="shared" si="133"/>
        <v/>
      </c>
      <c r="GC651" s="785" t="str">
        <f t="shared" si="134"/>
        <v/>
      </c>
      <c r="GD651" s="785" t="str">
        <f t="shared" si="135"/>
        <v/>
      </c>
      <c r="GE651" s="785" t="str">
        <f t="shared" si="136"/>
        <v/>
      </c>
      <c r="GF651" s="785" t="str">
        <f t="shared" si="137"/>
        <v/>
      </c>
      <c r="GG651" s="785" t="str">
        <f t="shared" si="138"/>
        <v/>
      </c>
      <c r="GH651" s="785" t="str">
        <f t="shared" si="139"/>
        <v/>
      </c>
      <c r="GI651" s="785" t="str">
        <f t="shared" si="140"/>
        <v/>
      </c>
      <c r="GJ651" s="785" t="str">
        <f t="shared" si="141"/>
        <v/>
      </c>
      <c r="GK651" s="785" t="str">
        <f t="shared" si="142"/>
        <v/>
      </c>
      <c r="GL651" s="785" t="str">
        <f t="shared" si="143"/>
        <v/>
      </c>
      <c r="GM651" s="785" t="str">
        <f t="shared" si="144"/>
        <v/>
      </c>
      <c r="GN651" s="785" t="str">
        <f t="shared" si="145"/>
        <v/>
      </c>
      <c r="GO651" s="786" t="str">
        <f t="shared" si="146"/>
        <v/>
      </c>
      <c r="GP651" s="786" t="str">
        <f t="shared" si="147"/>
        <v/>
      </c>
      <c r="GQ651" s="786" t="str">
        <f t="shared" si="148"/>
        <v/>
      </c>
      <c r="GR651" s="786" t="str">
        <f t="shared" si="149"/>
        <v/>
      </c>
      <c r="GS651" s="786" t="str">
        <f t="shared" si="150"/>
        <v/>
      </c>
      <c r="GT651" s="580" t="str">
        <f t="shared" si="151"/>
        <v/>
      </c>
      <c r="GU651" s="580" t="str">
        <f t="shared" si="152"/>
        <v/>
      </c>
      <c r="GV651" s="580" t="str">
        <f t="shared" si="153"/>
        <v/>
      </c>
      <c r="GW651" s="580" t="str">
        <f t="shared" si="154"/>
        <v/>
      </c>
      <c r="GX651" s="580" t="str">
        <f t="shared" si="155"/>
        <v/>
      </c>
      <c r="GY651" s="580" t="str">
        <f t="shared" si="156"/>
        <v/>
      </c>
      <c r="GZ651" s="580" t="str">
        <f t="shared" si="157"/>
        <v/>
      </c>
      <c r="HA651" s="580" t="str">
        <f t="shared" si="158"/>
        <v/>
      </c>
      <c r="HB651" s="580" t="str">
        <f t="shared" si="159"/>
        <v/>
      </c>
      <c r="HC651" s="580" t="str">
        <f t="shared" si="160"/>
        <v/>
      </c>
      <c r="HD651" s="580" t="str">
        <f t="shared" si="161"/>
        <v/>
      </c>
      <c r="HE651" s="580" t="str">
        <f t="shared" si="162"/>
        <v/>
      </c>
      <c r="HF651" s="580" t="str">
        <f t="shared" si="163"/>
        <v/>
      </c>
      <c r="HG651" s="580" t="str">
        <f t="shared" si="164"/>
        <v/>
      </c>
      <c r="HH651" s="580" t="str">
        <f t="shared" si="165"/>
        <v/>
      </c>
      <c r="HI651" s="580" t="str">
        <f t="shared" si="166"/>
        <v/>
      </c>
      <c r="HJ651" s="580" t="str">
        <f t="shared" si="167"/>
        <v/>
      </c>
      <c r="HK651" s="580" t="str">
        <f t="shared" si="168"/>
        <v/>
      </c>
      <c r="HL651" s="580" t="str">
        <f t="shared" si="169"/>
        <v/>
      </c>
      <c r="HM651" s="580" t="str">
        <f t="shared" si="170"/>
        <v/>
      </c>
    </row>
    <row r="652" spans="1:221" ht="13.15" customHeight="1">
      <c r="A652" s="888" t="str">
        <f t="shared" si="171"/>
        <v/>
      </c>
      <c r="B652" s="1054" t="str">
        <f>'Part VI-Revenues &amp; Expenses'!B18</f>
        <v>Unrestricted</v>
      </c>
      <c r="C652" s="1055">
        <f>'Part VI-Revenues &amp; Expenses'!C18</f>
        <v>2</v>
      </c>
      <c r="D652" s="1056">
        <f>'Part VI-Revenues &amp; Expenses'!D18</f>
        <v>1</v>
      </c>
      <c r="E652" s="1057">
        <f>'Part VI-Revenues &amp; Expenses'!E18</f>
        <v>2</v>
      </c>
      <c r="F652" s="1057">
        <f>'Part VI-Revenues &amp; Expenses'!F18</f>
        <v>900</v>
      </c>
      <c r="G652" s="1057">
        <f>'Part VI-Revenues &amp; Expenses'!G18</f>
        <v>690</v>
      </c>
      <c r="H652" s="1057">
        <f>'Part VI-Revenues &amp; Expenses'!H18</f>
        <v>690</v>
      </c>
      <c r="I652" s="1057">
        <f>'Part VI-Revenues &amp; Expenses'!I18</f>
        <v>0</v>
      </c>
      <c r="J652" s="818">
        <f>'Part VI-Revenues &amp; Expenses'!J18</f>
        <v>0</v>
      </c>
      <c r="K652" s="893">
        <f t="shared" si="172"/>
        <v>690</v>
      </c>
      <c r="L652" s="893">
        <f t="shared" si="0"/>
        <v>1380</v>
      </c>
      <c r="M652" s="783" t="str">
        <f>'Part VI-Revenues &amp; Expenses'!M18</f>
        <v>No</v>
      </c>
      <c r="N652" s="783" t="str">
        <f>'Part VI-Revenues &amp; Expenses'!N18</f>
        <v>1-Story</v>
      </c>
      <c r="O652" s="783" t="str">
        <f>'Part VI-Revenues &amp; Expenses'!O18</f>
        <v>New Construction</v>
      </c>
      <c r="P652" s="894">
        <f t="shared" si="203"/>
        <v>27600</v>
      </c>
      <c r="Q652" s="895">
        <f>'Part VI-Revenues &amp; Expenses'!Q18</f>
        <v>0.58636073932441046</v>
      </c>
      <c r="R652" s="894"/>
      <c r="S652" s="895"/>
      <c r="T652" s="2130"/>
      <c r="U652" s="2130"/>
      <c r="V652" s="580" t="str">
        <f t="shared" si="1"/>
        <v/>
      </c>
      <c r="W652" s="580" t="str">
        <f t="shared" si="2"/>
        <v/>
      </c>
      <c r="X652" s="580" t="str">
        <f t="shared" si="3"/>
        <v/>
      </c>
      <c r="Y652" s="580" t="str">
        <f t="shared" si="4"/>
        <v/>
      </c>
      <c r="Z652" s="580" t="str">
        <f t="shared" si="5"/>
        <v/>
      </c>
      <c r="AA652" s="580" t="str">
        <f t="shared" si="6"/>
        <v/>
      </c>
      <c r="AB652" s="580" t="str">
        <f t="shared" si="7"/>
        <v/>
      </c>
      <c r="AC652" s="580" t="str">
        <f t="shared" si="8"/>
        <v/>
      </c>
      <c r="AD652" s="580" t="str">
        <f t="shared" si="9"/>
        <v/>
      </c>
      <c r="AE652" s="580" t="str">
        <f t="shared" si="10"/>
        <v/>
      </c>
      <c r="AF652" s="580" t="str">
        <f t="shared" si="11"/>
        <v/>
      </c>
      <c r="AG652" s="580" t="str">
        <f t="shared" si="12"/>
        <v/>
      </c>
      <c r="AH652" s="580" t="str">
        <f t="shared" si="13"/>
        <v/>
      </c>
      <c r="AI652" s="580" t="str">
        <f t="shared" si="14"/>
        <v/>
      </c>
      <c r="AJ652" s="580" t="str">
        <f t="shared" si="15"/>
        <v/>
      </c>
      <c r="AK652" s="580" t="str">
        <f t="shared" si="16"/>
        <v/>
      </c>
      <c r="AL652" s="580" t="str">
        <f t="shared" si="17"/>
        <v/>
      </c>
      <c r="AM652" s="580">
        <f t="shared" si="18"/>
        <v>2</v>
      </c>
      <c r="AN652" s="580" t="str">
        <f t="shared" si="19"/>
        <v/>
      </c>
      <c r="AO652" s="580" t="str">
        <f t="shared" si="20"/>
        <v/>
      </c>
      <c r="AP652" s="580" t="str">
        <f t="shared" si="173"/>
        <v/>
      </c>
      <c r="AQ652" s="580" t="str">
        <f t="shared" si="174"/>
        <v/>
      </c>
      <c r="AR652" s="580" t="str">
        <f t="shared" si="175"/>
        <v/>
      </c>
      <c r="AS652" s="580" t="str">
        <f t="shared" si="176"/>
        <v/>
      </c>
      <c r="AT652" s="580" t="str">
        <f t="shared" si="177"/>
        <v/>
      </c>
      <c r="AU652" s="580" t="str">
        <f t="shared" si="178"/>
        <v/>
      </c>
      <c r="AV652" s="580" t="str">
        <f t="shared" si="179"/>
        <v/>
      </c>
      <c r="AW652" s="580" t="str">
        <f t="shared" si="180"/>
        <v/>
      </c>
      <c r="AX652" s="580" t="str">
        <f t="shared" si="181"/>
        <v/>
      </c>
      <c r="AY652" s="580" t="str">
        <f t="shared" si="182"/>
        <v/>
      </c>
      <c r="AZ652" s="580" t="str">
        <f t="shared" si="183"/>
        <v/>
      </c>
      <c r="BA652" s="580" t="str">
        <f t="shared" si="184"/>
        <v/>
      </c>
      <c r="BB652" s="580" t="str">
        <f t="shared" si="185"/>
        <v/>
      </c>
      <c r="BC652" s="580" t="str">
        <f t="shared" si="186"/>
        <v/>
      </c>
      <c r="BD652" s="580" t="str">
        <f t="shared" si="187"/>
        <v/>
      </c>
      <c r="BE652" s="580" t="str">
        <f t="shared" si="188"/>
        <v/>
      </c>
      <c r="BF652" s="580" t="str">
        <f t="shared" si="189"/>
        <v/>
      </c>
      <c r="BG652" s="580" t="str">
        <f t="shared" si="190"/>
        <v/>
      </c>
      <c r="BH652" s="580" t="str">
        <f t="shared" si="191"/>
        <v/>
      </c>
      <c r="BI652" s="580" t="str">
        <f t="shared" si="192"/>
        <v/>
      </c>
      <c r="BJ652" s="580" t="str">
        <f t="shared" si="193"/>
        <v/>
      </c>
      <c r="BK652" s="580" t="str">
        <f t="shared" si="194"/>
        <v/>
      </c>
      <c r="BL652" s="580" t="str">
        <f t="shared" si="195"/>
        <v/>
      </c>
      <c r="BM652" s="580" t="str">
        <f t="shared" si="196"/>
        <v/>
      </c>
      <c r="BN652" s="580" t="str">
        <f t="shared" si="197"/>
        <v/>
      </c>
      <c r="BO652" s="580" t="str">
        <f t="shared" si="198"/>
        <v/>
      </c>
      <c r="BP652" s="580" t="str">
        <f t="shared" si="199"/>
        <v/>
      </c>
      <c r="BQ652" s="580" t="str">
        <f t="shared" si="200"/>
        <v/>
      </c>
      <c r="BR652" s="580" t="str">
        <f t="shared" si="201"/>
        <v/>
      </c>
      <c r="BS652" s="580" t="str">
        <f t="shared" si="202"/>
        <v/>
      </c>
      <c r="BT652" s="580" t="str">
        <f t="shared" si="21"/>
        <v/>
      </c>
      <c r="BU652" s="580" t="str">
        <f t="shared" si="22"/>
        <v/>
      </c>
      <c r="BV652" s="580" t="str">
        <f t="shared" si="23"/>
        <v/>
      </c>
      <c r="BW652" s="580" t="str">
        <f t="shared" si="24"/>
        <v/>
      </c>
      <c r="BX652" s="580" t="str">
        <f t="shared" si="25"/>
        <v/>
      </c>
      <c r="BY652" s="580" t="str">
        <f t="shared" si="26"/>
        <v/>
      </c>
      <c r="BZ652" s="580" t="str">
        <f t="shared" si="27"/>
        <v/>
      </c>
      <c r="CA652" s="580" t="str">
        <f t="shared" si="28"/>
        <v/>
      </c>
      <c r="CB652" s="580" t="str">
        <f t="shared" si="29"/>
        <v/>
      </c>
      <c r="CC652" s="580" t="str">
        <f t="shared" si="30"/>
        <v/>
      </c>
      <c r="CD652" s="580" t="str">
        <f t="shared" si="31"/>
        <v/>
      </c>
      <c r="CE652" s="580" t="str">
        <f t="shared" si="32"/>
        <v/>
      </c>
      <c r="CF652" s="580" t="str">
        <f t="shared" si="33"/>
        <v/>
      </c>
      <c r="CG652" s="580" t="str">
        <f t="shared" si="34"/>
        <v/>
      </c>
      <c r="CH652" s="580" t="str">
        <f t="shared" si="35"/>
        <v/>
      </c>
      <c r="CI652" s="580" t="str">
        <f t="shared" si="36"/>
        <v/>
      </c>
      <c r="CJ652" s="580" t="str">
        <f t="shared" si="37"/>
        <v/>
      </c>
      <c r="CK652" s="580" t="str">
        <f t="shared" si="38"/>
        <v/>
      </c>
      <c r="CL652" s="580" t="str">
        <f t="shared" si="39"/>
        <v/>
      </c>
      <c r="CM652" s="580" t="str">
        <f t="shared" si="40"/>
        <v/>
      </c>
      <c r="CN652" s="580" t="str">
        <f t="shared" si="41"/>
        <v/>
      </c>
      <c r="CO652" s="580" t="str">
        <f t="shared" si="42"/>
        <v/>
      </c>
      <c r="CP652" s="580">
        <f t="shared" si="43"/>
        <v>1800</v>
      </c>
      <c r="CQ652" s="580" t="str">
        <f t="shared" si="44"/>
        <v/>
      </c>
      <c r="CR652" s="580" t="str">
        <f t="shared" si="45"/>
        <v/>
      </c>
      <c r="CS652" s="580" t="str">
        <f t="shared" si="46"/>
        <v/>
      </c>
      <c r="CT652" s="580" t="str">
        <f t="shared" si="47"/>
        <v/>
      </c>
      <c r="CU652" s="580" t="str">
        <f t="shared" si="48"/>
        <v/>
      </c>
      <c r="CV652" s="580" t="str">
        <f t="shared" si="49"/>
        <v/>
      </c>
      <c r="CW652" s="580" t="str">
        <f t="shared" si="50"/>
        <v/>
      </c>
      <c r="CX652" s="580" t="str">
        <f t="shared" si="51"/>
        <v/>
      </c>
      <c r="CY652" s="580" t="str">
        <f t="shared" si="52"/>
        <v/>
      </c>
      <c r="CZ652" s="580" t="str">
        <f t="shared" si="53"/>
        <v/>
      </c>
      <c r="DA652" s="580" t="str">
        <f t="shared" si="54"/>
        <v/>
      </c>
      <c r="DB652" s="580" t="str">
        <f t="shared" si="55"/>
        <v/>
      </c>
      <c r="DC652" s="580" t="str">
        <f t="shared" si="56"/>
        <v/>
      </c>
      <c r="DD652" s="580" t="str">
        <f t="shared" si="57"/>
        <v/>
      </c>
      <c r="DE652" s="580" t="str">
        <f t="shared" si="58"/>
        <v/>
      </c>
      <c r="DF652" s="580" t="str">
        <f t="shared" si="59"/>
        <v/>
      </c>
      <c r="DG652" s="580" t="str">
        <f t="shared" si="60"/>
        <v/>
      </c>
      <c r="DH652" s="580" t="str">
        <f t="shared" si="61"/>
        <v/>
      </c>
      <c r="DI652" s="580" t="str">
        <f t="shared" si="62"/>
        <v/>
      </c>
      <c r="DJ652" s="580">
        <f t="shared" si="63"/>
        <v>2</v>
      </c>
      <c r="DK652" s="580" t="str">
        <f t="shared" si="64"/>
        <v/>
      </c>
      <c r="DL652" s="580" t="str">
        <f t="shared" si="65"/>
        <v/>
      </c>
      <c r="DM652" s="580" t="str">
        <f t="shared" si="66"/>
        <v/>
      </c>
      <c r="DN652" s="580" t="str">
        <f t="shared" si="67"/>
        <v/>
      </c>
      <c r="DO652" s="580" t="str">
        <f t="shared" si="68"/>
        <v/>
      </c>
      <c r="DP652" s="580" t="str">
        <f t="shared" si="69"/>
        <v/>
      </c>
      <c r="DQ652" s="580" t="str">
        <f t="shared" si="70"/>
        <v/>
      </c>
      <c r="DR652" s="580" t="str">
        <f t="shared" si="71"/>
        <v/>
      </c>
      <c r="DS652" s="580" t="str">
        <f t="shared" si="72"/>
        <v/>
      </c>
      <c r="DT652" s="580" t="str">
        <f t="shared" si="73"/>
        <v/>
      </c>
      <c r="DU652" s="580" t="str">
        <f t="shared" si="74"/>
        <v/>
      </c>
      <c r="DV652" s="580" t="str">
        <f t="shared" si="75"/>
        <v/>
      </c>
      <c r="DW652" s="580" t="str">
        <f t="shared" si="76"/>
        <v/>
      </c>
      <c r="DX652" s="580" t="str">
        <f t="shared" si="77"/>
        <v/>
      </c>
      <c r="DY652" s="580" t="str">
        <f t="shared" si="78"/>
        <v/>
      </c>
      <c r="DZ652" s="580" t="str">
        <f t="shared" si="79"/>
        <v/>
      </c>
      <c r="EA652" s="580" t="str">
        <f t="shared" si="80"/>
        <v/>
      </c>
      <c r="EB652" s="580" t="str">
        <f t="shared" si="81"/>
        <v/>
      </c>
      <c r="EC652" s="580" t="str">
        <f t="shared" si="82"/>
        <v/>
      </c>
      <c r="ED652" s="580" t="str">
        <f t="shared" si="83"/>
        <v/>
      </c>
      <c r="EE652" s="580" t="str">
        <f t="shared" si="84"/>
        <v/>
      </c>
      <c r="EF652" s="580" t="str">
        <f t="shared" si="85"/>
        <v/>
      </c>
      <c r="EG652" s="580" t="str">
        <f t="shared" si="86"/>
        <v/>
      </c>
      <c r="EH652" s="580" t="str">
        <f t="shared" si="87"/>
        <v/>
      </c>
      <c r="EI652" s="580" t="str">
        <f t="shared" si="88"/>
        <v/>
      </c>
      <c r="EJ652" s="580" t="str">
        <f t="shared" si="89"/>
        <v/>
      </c>
      <c r="EK652" s="580" t="str">
        <f t="shared" si="90"/>
        <v/>
      </c>
      <c r="EL652" s="580" t="str">
        <f t="shared" si="91"/>
        <v/>
      </c>
      <c r="EM652" s="580" t="str">
        <f t="shared" si="92"/>
        <v/>
      </c>
      <c r="EN652" s="580" t="str">
        <f t="shared" si="93"/>
        <v/>
      </c>
      <c r="EO652" s="580" t="str">
        <f t="shared" si="94"/>
        <v/>
      </c>
      <c r="EP652" s="580" t="str">
        <f t="shared" si="95"/>
        <v/>
      </c>
      <c r="EQ652" s="580" t="str">
        <f t="shared" si="96"/>
        <v/>
      </c>
      <c r="ER652" s="580" t="str">
        <f t="shared" si="97"/>
        <v/>
      </c>
      <c r="ES652" s="580" t="str">
        <f t="shared" si="98"/>
        <v/>
      </c>
      <c r="ET652" s="580" t="str">
        <f t="shared" si="99"/>
        <v/>
      </c>
      <c r="EU652" s="580" t="str">
        <f t="shared" si="100"/>
        <v/>
      </c>
      <c r="EV652" s="785" t="str">
        <f t="shared" si="101"/>
        <v/>
      </c>
      <c r="EW652" s="785" t="str">
        <f t="shared" si="102"/>
        <v/>
      </c>
      <c r="EX652" s="785">
        <f t="shared" si="103"/>
        <v>2</v>
      </c>
      <c r="EY652" s="785" t="str">
        <f t="shared" si="104"/>
        <v/>
      </c>
      <c r="EZ652" s="785" t="str">
        <f t="shared" si="105"/>
        <v/>
      </c>
      <c r="FA652" s="785" t="str">
        <f t="shared" si="106"/>
        <v/>
      </c>
      <c r="FB652" s="785" t="str">
        <f t="shared" si="107"/>
        <v/>
      </c>
      <c r="FC652" s="785" t="str">
        <f t="shared" si="108"/>
        <v/>
      </c>
      <c r="FD652" s="785" t="str">
        <f t="shared" si="109"/>
        <v/>
      </c>
      <c r="FE652" s="785" t="str">
        <f t="shared" si="110"/>
        <v/>
      </c>
      <c r="FF652" s="785" t="str">
        <f t="shared" si="111"/>
        <v/>
      </c>
      <c r="FG652" s="785" t="str">
        <f t="shared" si="112"/>
        <v/>
      </c>
      <c r="FH652" s="785" t="str">
        <f t="shared" si="113"/>
        <v/>
      </c>
      <c r="FI652" s="785" t="str">
        <f t="shared" si="114"/>
        <v/>
      </c>
      <c r="FJ652" s="785" t="str">
        <f t="shared" si="115"/>
        <v/>
      </c>
      <c r="FK652" s="785" t="str">
        <f t="shared" si="116"/>
        <v/>
      </c>
      <c r="FL652" s="785" t="str">
        <f t="shared" si="117"/>
        <v/>
      </c>
      <c r="FM652" s="785" t="str">
        <f t="shared" si="118"/>
        <v/>
      </c>
      <c r="FN652" s="785" t="str">
        <f t="shared" si="119"/>
        <v/>
      </c>
      <c r="FO652" s="785" t="str">
        <f t="shared" si="120"/>
        <v/>
      </c>
      <c r="FP652" s="785" t="str">
        <f t="shared" si="121"/>
        <v/>
      </c>
      <c r="FQ652" s="785" t="str">
        <f t="shared" si="122"/>
        <v/>
      </c>
      <c r="FR652" s="785" t="str">
        <f t="shared" si="123"/>
        <v/>
      </c>
      <c r="FS652" s="785" t="str">
        <f t="shared" si="124"/>
        <v/>
      </c>
      <c r="FT652" s="785" t="str">
        <f t="shared" si="125"/>
        <v/>
      </c>
      <c r="FU652" s="785" t="str">
        <f t="shared" si="126"/>
        <v/>
      </c>
      <c r="FV652" s="785" t="str">
        <f t="shared" si="127"/>
        <v/>
      </c>
      <c r="FW652" s="785">
        <f t="shared" si="128"/>
        <v>2</v>
      </c>
      <c r="FX652" s="785" t="str">
        <f t="shared" si="129"/>
        <v/>
      </c>
      <c r="FY652" s="785" t="str">
        <f t="shared" si="130"/>
        <v/>
      </c>
      <c r="FZ652" s="785" t="str">
        <f t="shared" si="131"/>
        <v/>
      </c>
      <c r="GA652" s="785" t="str">
        <f t="shared" si="132"/>
        <v/>
      </c>
      <c r="GB652" s="785" t="str">
        <f t="shared" si="133"/>
        <v/>
      </c>
      <c r="GC652" s="785" t="str">
        <f t="shared" si="134"/>
        <v/>
      </c>
      <c r="GD652" s="785" t="str">
        <f t="shared" si="135"/>
        <v/>
      </c>
      <c r="GE652" s="785" t="str">
        <f t="shared" si="136"/>
        <v/>
      </c>
      <c r="GF652" s="785" t="str">
        <f t="shared" si="137"/>
        <v/>
      </c>
      <c r="GG652" s="785" t="str">
        <f t="shared" si="138"/>
        <v/>
      </c>
      <c r="GH652" s="785" t="str">
        <f t="shared" si="139"/>
        <v/>
      </c>
      <c r="GI652" s="785" t="str">
        <f t="shared" si="140"/>
        <v/>
      </c>
      <c r="GJ652" s="785" t="str">
        <f t="shared" si="141"/>
        <v/>
      </c>
      <c r="GK652" s="785" t="str">
        <f t="shared" si="142"/>
        <v/>
      </c>
      <c r="GL652" s="785" t="str">
        <f t="shared" si="143"/>
        <v/>
      </c>
      <c r="GM652" s="785" t="str">
        <f t="shared" si="144"/>
        <v/>
      </c>
      <c r="GN652" s="785" t="str">
        <f t="shared" si="145"/>
        <v/>
      </c>
      <c r="GO652" s="786" t="str">
        <f t="shared" si="146"/>
        <v/>
      </c>
      <c r="GP652" s="786" t="str">
        <f t="shared" si="147"/>
        <v/>
      </c>
      <c r="GQ652" s="786" t="str">
        <f t="shared" si="148"/>
        <v/>
      </c>
      <c r="GR652" s="786" t="str">
        <f t="shared" si="149"/>
        <v/>
      </c>
      <c r="GS652" s="786" t="str">
        <f t="shared" si="150"/>
        <v/>
      </c>
      <c r="GT652" s="580" t="str">
        <f t="shared" si="151"/>
        <v/>
      </c>
      <c r="GU652" s="580" t="str">
        <f t="shared" si="152"/>
        <v/>
      </c>
      <c r="GV652" s="580" t="str">
        <f t="shared" si="153"/>
        <v/>
      </c>
      <c r="GW652" s="580" t="str">
        <f t="shared" si="154"/>
        <v/>
      </c>
      <c r="GX652" s="580" t="str">
        <f t="shared" si="155"/>
        <v/>
      </c>
      <c r="GY652" s="580" t="str">
        <f t="shared" si="156"/>
        <v/>
      </c>
      <c r="GZ652" s="580" t="str">
        <f t="shared" si="157"/>
        <v/>
      </c>
      <c r="HA652" s="580" t="str">
        <f t="shared" si="158"/>
        <v/>
      </c>
      <c r="HB652" s="580" t="str">
        <f t="shared" si="159"/>
        <v/>
      </c>
      <c r="HC652" s="580" t="str">
        <f t="shared" si="160"/>
        <v/>
      </c>
      <c r="HD652" s="580" t="str">
        <f t="shared" si="161"/>
        <v/>
      </c>
      <c r="HE652" s="580" t="str">
        <f t="shared" si="162"/>
        <v/>
      </c>
      <c r="HF652" s="580" t="str">
        <f t="shared" si="163"/>
        <v/>
      </c>
      <c r="HG652" s="580" t="str">
        <f t="shared" si="164"/>
        <v/>
      </c>
      <c r="HH652" s="580" t="str">
        <f t="shared" si="165"/>
        <v/>
      </c>
      <c r="HI652" s="580" t="str">
        <f t="shared" si="166"/>
        <v/>
      </c>
      <c r="HJ652" s="580" t="str">
        <f t="shared" si="167"/>
        <v/>
      </c>
      <c r="HK652" s="580" t="str">
        <f t="shared" si="168"/>
        <v/>
      </c>
      <c r="HL652" s="580" t="str">
        <f t="shared" si="169"/>
        <v/>
      </c>
      <c r="HM652" s="580" t="str">
        <f t="shared" si="170"/>
        <v/>
      </c>
    </row>
    <row r="653" spans="1:221" ht="13.15" customHeight="1">
      <c r="A653" s="888" t="str">
        <f t="shared" si="171"/>
        <v/>
      </c>
      <c r="B653" s="1054" t="str">
        <f>'Part VI-Revenues &amp; Expenses'!B19</f>
        <v>&lt;&lt;Select&gt;&gt;</v>
      </c>
      <c r="C653" s="1055">
        <f>'Part VI-Revenues &amp; Expenses'!C19</f>
        <v>0</v>
      </c>
      <c r="D653" s="1056">
        <f>'Part VI-Revenues &amp; Expenses'!D19</f>
        <v>0</v>
      </c>
      <c r="E653" s="1057">
        <f>'Part VI-Revenues &amp; Expenses'!E19</f>
        <v>0</v>
      </c>
      <c r="F653" s="1057">
        <f>'Part VI-Revenues &amp; Expenses'!F19</f>
        <v>0</v>
      </c>
      <c r="G653" s="1057">
        <f>'Part VI-Revenues &amp; Expenses'!G19</f>
        <v>0</v>
      </c>
      <c r="H653" s="1057">
        <f>'Part VI-Revenues &amp; Expenses'!H19</f>
        <v>0</v>
      </c>
      <c r="I653" s="1057">
        <f>'Part VI-Revenues &amp; Expenses'!I19</f>
        <v>0</v>
      </c>
      <c r="J653" s="818">
        <f>'Part VI-Revenues &amp; Expenses'!J19</f>
        <v>0</v>
      </c>
      <c r="K653" s="893">
        <f t="shared" si="172"/>
        <v>0</v>
      </c>
      <c r="L653" s="893">
        <f t="shared" si="0"/>
        <v>0</v>
      </c>
      <c r="M653" s="783">
        <f>'Part VI-Revenues &amp; Expenses'!M19</f>
        <v>0</v>
      </c>
      <c r="N653" s="783">
        <f>'Part VI-Revenues &amp; Expenses'!N19</f>
        <v>0</v>
      </c>
      <c r="O653" s="783">
        <f>'Part VI-Revenues &amp; Expenses'!O19</f>
        <v>0</v>
      </c>
      <c r="P653" s="894">
        <f t="shared" si="203"/>
        <v>0</v>
      </c>
      <c r="Q653" s="895" t="str">
        <f>'Part VI-Revenues &amp; Expenses'!Q19</f>
        <v/>
      </c>
      <c r="R653" s="894"/>
      <c r="S653" s="895"/>
      <c r="T653" s="2130"/>
      <c r="U653" s="2130"/>
      <c r="V653" s="580" t="str">
        <f t="shared" si="1"/>
        <v/>
      </c>
      <c r="W653" s="580" t="str">
        <f t="shared" si="2"/>
        <v/>
      </c>
      <c r="X653" s="580" t="str">
        <f t="shared" si="3"/>
        <v/>
      </c>
      <c r="Y653" s="580" t="str">
        <f t="shared" si="4"/>
        <v/>
      </c>
      <c r="Z653" s="580" t="str">
        <f t="shared" si="5"/>
        <v/>
      </c>
      <c r="AA653" s="580" t="str">
        <f t="shared" si="6"/>
        <v/>
      </c>
      <c r="AB653" s="580" t="str">
        <f t="shared" si="7"/>
        <v/>
      </c>
      <c r="AC653" s="580" t="str">
        <f t="shared" si="8"/>
        <v/>
      </c>
      <c r="AD653" s="580" t="str">
        <f t="shared" si="9"/>
        <v/>
      </c>
      <c r="AE653" s="580" t="str">
        <f t="shared" si="10"/>
        <v/>
      </c>
      <c r="AF653" s="580" t="str">
        <f t="shared" si="11"/>
        <v/>
      </c>
      <c r="AG653" s="580" t="str">
        <f t="shared" si="12"/>
        <v/>
      </c>
      <c r="AH653" s="580" t="str">
        <f t="shared" si="13"/>
        <v/>
      </c>
      <c r="AI653" s="580" t="str">
        <f t="shared" si="14"/>
        <v/>
      </c>
      <c r="AJ653" s="580" t="str">
        <f t="shared" si="15"/>
        <v/>
      </c>
      <c r="AK653" s="580" t="str">
        <f t="shared" si="16"/>
        <v/>
      </c>
      <c r="AL653" s="580" t="str">
        <f t="shared" si="17"/>
        <v/>
      </c>
      <c r="AM653" s="580" t="str">
        <f t="shared" si="18"/>
        <v/>
      </c>
      <c r="AN653" s="580" t="str">
        <f t="shared" si="19"/>
        <v/>
      </c>
      <c r="AO653" s="580" t="str">
        <f t="shared" si="20"/>
        <v/>
      </c>
      <c r="AP653" s="580" t="str">
        <f t="shared" si="173"/>
        <v/>
      </c>
      <c r="AQ653" s="580" t="str">
        <f t="shared" si="174"/>
        <v/>
      </c>
      <c r="AR653" s="580" t="str">
        <f t="shared" si="175"/>
        <v/>
      </c>
      <c r="AS653" s="580" t="str">
        <f t="shared" si="176"/>
        <v/>
      </c>
      <c r="AT653" s="580" t="str">
        <f t="shared" si="177"/>
        <v/>
      </c>
      <c r="AU653" s="580" t="str">
        <f t="shared" si="178"/>
        <v/>
      </c>
      <c r="AV653" s="580" t="str">
        <f t="shared" si="179"/>
        <v/>
      </c>
      <c r="AW653" s="580" t="str">
        <f t="shared" si="180"/>
        <v/>
      </c>
      <c r="AX653" s="580" t="str">
        <f t="shared" si="181"/>
        <v/>
      </c>
      <c r="AY653" s="580" t="str">
        <f t="shared" si="182"/>
        <v/>
      </c>
      <c r="AZ653" s="580" t="str">
        <f t="shared" si="183"/>
        <v/>
      </c>
      <c r="BA653" s="580" t="str">
        <f t="shared" si="184"/>
        <v/>
      </c>
      <c r="BB653" s="580" t="str">
        <f t="shared" si="185"/>
        <v/>
      </c>
      <c r="BC653" s="580" t="str">
        <f t="shared" si="186"/>
        <v/>
      </c>
      <c r="BD653" s="580" t="str">
        <f t="shared" si="187"/>
        <v/>
      </c>
      <c r="BE653" s="580" t="str">
        <f t="shared" si="188"/>
        <v/>
      </c>
      <c r="BF653" s="580" t="str">
        <f t="shared" si="189"/>
        <v/>
      </c>
      <c r="BG653" s="580" t="str">
        <f t="shared" si="190"/>
        <v/>
      </c>
      <c r="BH653" s="580" t="str">
        <f t="shared" si="191"/>
        <v/>
      </c>
      <c r="BI653" s="580" t="str">
        <f t="shared" si="192"/>
        <v/>
      </c>
      <c r="BJ653" s="580" t="str">
        <f t="shared" si="193"/>
        <v/>
      </c>
      <c r="BK653" s="580" t="str">
        <f t="shared" si="194"/>
        <v/>
      </c>
      <c r="BL653" s="580" t="str">
        <f t="shared" si="195"/>
        <v/>
      </c>
      <c r="BM653" s="580" t="str">
        <f t="shared" si="196"/>
        <v/>
      </c>
      <c r="BN653" s="580" t="str">
        <f t="shared" si="197"/>
        <v/>
      </c>
      <c r="BO653" s="580" t="str">
        <f t="shared" si="198"/>
        <v/>
      </c>
      <c r="BP653" s="580" t="str">
        <f t="shared" si="199"/>
        <v/>
      </c>
      <c r="BQ653" s="580" t="str">
        <f t="shared" si="200"/>
        <v/>
      </c>
      <c r="BR653" s="580" t="str">
        <f t="shared" si="201"/>
        <v/>
      </c>
      <c r="BS653" s="580" t="str">
        <f t="shared" si="202"/>
        <v/>
      </c>
      <c r="BT653" s="580" t="str">
        <f t="shared" si="21"/>
        <v/>
      </c>
      <c r="BU653" s="580" t="str">
        <f t="shared" si="22"/>
        <v/>
      </c>
      <c r="BV653" s="580" t="str">
        <f t="shared" si="23"/>
        <v/>
      </c>
      <c r="BW653" s="580" t="str">
        <f t="shared" si="24"/>
        <v/>
      </c>
      <c r="BX653" s="580" t="str">
        <f t="shared" si="25"/>
        <v/>
      </c>
      <c r="BY653" s="580" t="str">
        <f t="shared" si="26"/>
        <v/>
      </c>
      <c r="BZ653" s="580" t="str">
        <f t="shared" si="27"/>
        <v/>
      </c>
      <c r="CA653" s="580" t="str">
        <f t="shared" si="28"/>
        <v/>
      </c>
      <c r="CB653" s="580" t="str">
        <f t="shared" si="29"/>
        <v/>
      </c>
      <c r="CC653" s="580" t="str">
        <f t="shared" si="30"/>
        <v/>
      </c>
      <c r="CD653" s="580" t="str">
        <f t="shared" si="31"/>
        <v/>
      </c>
      <c r="CE653" s="580" t="str">
        <f t="shared" si="32"/>
        <v/>
      </c>
      <c r="CF653" s="580" t="str">
        <f t="shared" si="33"/>
        <v/>
      </c>
      <c r="CG653" s="580" t="str">
        <f t="shared" si="34"/>
        <v/>
      </c>
      <c r="CH653" s="580" t="str">
        <f t="shared" si="35"/>
        <v/>
      </c>
      <c r="CI653" s="580" t="str">
        <f t="shared" si="36"/>
        <v/>
      </c>
      <c r="CJ653" s="580" t="str">
        <f t="shared" si="37"/>
        <v/>
      </c>
      <c r="CK653" s="580" t="str">
        <f t="shared" si="38"/>
        <v/>
      </c>
      <c r="CL653" s="580" t="str">
        <f t="shared" si="39"/>
        <v/>
      </c>
      <c r="CM653" s="580" t="str">
        <f t="shared" si="40"/>
        <v/>
      </c>
      <c r="CN653" s="580" t="str">
        <f t="shared" si="41"/>
        <v/>
      </c>
      <c r="CO653" s="580" t="str">
        <f t="shared" si="42"/>
        <v/>
      </c>
      <c r="CP653" s="580" t="str">
        <f t="shared" si="43"/>
        <v/>
      </c>
      <c r="CQ653" s="580" t="str">
        <f t="shared" si="44"/>
        <v/>
      </c>
      <c r="CR653" s="580" t="str">
        <f t="shared" si="45"/>
        <v/>
      </c>
      <c r="CS653" s="580" t="str">
        <f t="shared" si="46"/>
        <v/>
      </c>
      <c r="CT653" s="580" t="str">
        <f t="shared" si="47"/>
        <v/>
      </c>
      <c r="CU653" s="580" t="str">
        <f t="shared" si="48"/>
        <v/>
      </c>
      <c r="CV653" s="580" t="str">
        <f t="shared" si="49"/>
        <v/>
      </c>
      <c r="CW653" s="580" t="str">
        <f t="shared" si="50"/>
        <v/>
      </c>
      <c r="CX653" s="580" t="str">
        <f t="shared" si="51"/>
        <v/>
      </c>
      <c r="CY653" s="580" t="str">
        <f t="shared" si="52"/>
        <v/>
      </c>
      <c r="CZ653" s="580" t="str">
        <f t="shared" si="53"/>
        <v/>
      </c>
      <c r="DA653" s="580" t="str">
        <f t="shared" si="54"/>
        <v/>
      </c>
      <c r="DB653" s="580" t="str">
        <f t="shared" si="55"/>
        <v/>
      </c>
      <c r="DC653" s="580" t="str">
        <f t="shared" si="56"/>
        <v/>
      </c>
      <c r="DD653" s="580" t="str">
        <f t="shared" si="57"/>
        <v/>
      </c>
      <c r="DE653" s="580" t="str">
        <f t="shared" si="58"/>
        <v/>
      </c>
      <c r="DF653" s="580" t="str">
        <f t="shared" si="59"/>
        <v/>
      </c>
      <c r="DG653" s="580" t="str">
        <f t="shared" si="60"/>
        <v/>
      </c>
      <c r="DH653" s="580" t="str">
        <f t="shared" si="61"/>
        <v/>
      </c>
      <c r="DI653" s="580" t="str">
        <f t="shared" si="62"/>
        <v/>
      </c>
      <c r="DJ653" s="580" t="str">
        <f t="shared" si="63"/>
        <v/>
      </c>
      <c r="DK653" s="580" t="str">
        <f t="shared" si="64"/>
        <v/>
      </c>
      <c r="DL653" s="580" t="str">
        <f t="shared" si="65"/>
        <v/>
      </c>
      <c r="DM653" s="580" t="str">
        <f t="shared" si="66"/>
        <v/>
      </c>
      <c r="DN653" s="580" t="str">
        <f t="shared" si="67"/>
        <v/>
      </c>
      <c r="DO653" s="580" t="str">
        <f t="shared" si="68"/>
        <v/>
      </c>
      <c r="DP653" s="580" t="str">
        <f t="shared" si="69"/>
        <v/>
      </c>
      <c r="DQ653" s="580" t="str">
        <f t="shared" si="70"/>
        <v/>
      </c>
      <c r="DR653" s="580" t="str">
        <f t="shared" si="71"/>
        <v/>
      </c>
      <c r="DS653" s="580" t="str">
        <f t="shared" si="72"/>
        <v/>
      </c>
      <c r="DT653" s="580" t="str">
        <f t="shared" si="73"/>
        <v/>
      </c>
      <c r="DU653" s="580" t="str">
        <f t="shared" si="74"/>
        <v/>
      </c>
      <c r="DV653" s="580" t="str">
        <f t="shared" si="75"/>
        <v/>
      </c>
      <c r="DW653" s="580" t="str">
        <f t="shared" si="76"/>
        <v/>
      </c>
      <c r="DX653" s="580" t="str">
        <f t="shared" si="77"/>
        <v/>
      </c>
      <c r="DY653" s="580" t="str">
        <f t="shared" si="78"/>
        <v/>
      </c>
      <c r="DZ653" s="580" t="str">
        <f t="shared" si="79"/>
        <v/>
      </c>
      <c r="EA653" s="580" t="str">
        <f t="shared" si="80"/>
        <v/>
      </c>
      <c r="EB653" s="580" t="str">
        <f t="shared" si="81"/>
        <v/>
      </c>
      <c r="EC653" s="580" t="str">
        <f t="shared" si="82"/>
        <v/>
      </c>
      <c r="ED653" s="580" t="str">
        <f t="shared" si="83"/>
        <v/>
      </c>
      <c r="EE653" s="580" t="str">
        <f t="shared" si="84"/>
        <v/>
      </c>
      <c r="EF653" s="580" t="str">
        <f t="shared" si="85"/>
        <v/>
      </c>
      <c r="EG653" s="580" t="str">
        <f t="shared" si="86"/>
        <v/>
      </c>
      <c r="EH653" s="580" t="str">
        <f t="shared" si="87"/>
        <v/>
      </c>
      <c r="EI653" s="580" t="str">
        <f t="shared" si="88"/>
        <v/>
      </c>
      <c r="EJ653" s="580" t="str">
        <f t="shared" si="89"/>
        <v/>
      </c>
      <c r="EK653" s="580" t="str">
        <f t="shared" si="90"/>
        <v/>
      </c>
      <c r="EL653" s="580" t="str">
        <f t="shared" si="91"/>
        <v/>
      </c>
      <c r="EM653" s="580" t="str">
        <f t="shared" si="92"/>
        <v/>
      </c>
      <c r="EN653" s="580" t="str">
        <f t="shared" si="93"/>
        <v/>
      </c>
      <c r="EO653" s="580" t="str">
        <f t="shared" si="94"/>
        <v/>
      </c>
      <c r="EP653" s="580" t="str">
        <f t="shared" si="95"/>
        <v/>
      </c>
      <c r="EQ653" s="580" t="str">
        <f t="shared" si="96"/>
        <v/>
      </c>
      <c r="ER653" s="580" t="str">
        <f t="shared" si="97"/>
        <v/>
      </c>
      <c r="ES653" s="580" t="str">
        <f t="shared" si="98"/>
        <v/>
      </c>
      <c r="ET653" s="580" t="str">
        <f t="shared" si="99"/>
        <v/>
      </c>
      <c r="EU653" s="580" t="str">
        <f t="shared" si="100"/>
        <v/>
      </c>
      <c r="EV653" s="785" t="str">
        <f t="shared" si="101"/>
        <v/>
      </c>
      <c r="EW653" s="785" t="str">
        <f t="shared" si="102"/>
        <v/>
      </c>
      <c r="EX653" s="785" t="str">
        <f t="shared" si="103"/>
        <v/>
      </c>
      <c r="EY653" s="785" t="str">
        <f t="shared" si="104"/>
        <v/>
      </c>
      <c r="EZ653" s="785" t="str">
        <f t="shared" si="105"/>
        <v/>
      </c>
      <c r="FA653" s="785" t="str">
        <f t="shared" si="106"/>
        <v/>
      </c>
      <c r="FB653" s="785" t="str">
        <f t="shared" si="107"/>
        <v/>
      </c>
      <c r="FC653" s="785" t="str">
        <f t="shared" si="108"/>
        <v/>
      </c>
      <c r="FD653" s="785" t="str">
        <f t="shared" si="109"/>
        <v/>
      </c>
      <c r="FE653" s="785" t="str">
        <f t="shared" si="110"/>
        <v/>
      </c>
      <c r="FF653" s="785" t="str">
        <f t="shared" si="111"/>
        <v/>
      </c>
      <c r="FG653" s="785" t="str">
        <f t="shared" si="112"/>
        <v/>
      </c>
      <c r="FH653" s="785" t="str">
        <f t="shared" si="113"/>
        <v/>
      </c>
      <c r="FI653" s="785" t="str">
        <f t="shared" si="114"/>
        <v/>
      </c>
      <c r="FJ653" s="785" t="str">
        <f t="shared" si="115"/>
        <v/>
      </c>
      <c r="FK653" s="785" t="str">
        <f t="shared" si="116"/>
        <v/>
      </c>
      <c r="FL653" s="785" t="str">
        <f t="shared" si="117"/>
        <v/>
      </c>
      <c r="FM653" s="785" t="str">
        <f t="shared" si="118"/>
        <v/>
      </c>
      <c r="FN653" s="785" t="str">
        <f t="shared" si="119"/>
        <v/>
      </c>
      <c r="FO653" s="785" t="str">
        <f t="shared" si="120"/>
        <v/>
      </c>
      <c r="FP653" s="785" t="str">
        <f t="shared" si="121"/>
        <v/>
      </c>
      <c r="FQ653" s="785" t="str">
        <f t="shared" si="122"/>
        <v/>
      </c>
      <c r="FR653" s="785" t="str">
        <f t="shared" si="123"/>
        <v/>
      </c>
      <c r="FS653" s="785" t="str">
        <f t="shared" si="124"/>
        <v/>
      </c>
      <c r="FT653" s="785" t="str">
        <f t="shared" si="125"/>
        <v/>
      </c>
      <c r="FU653" s="785" t="str">
        <f t="shared" si="126"/>
        <v/>
      </c>
      <c r="FV653" s="785" t="str">
        <f t="shared" si="127"/>
        <v/>
      </c>
      <c r="FW653" s="785" t="str">
        <f t="shared" si="128"/>
        <v/>
      </c>
      <c r="FX653" s="785" t="str">
        <f t="shared" si="129"/>
        <v/>
      </c>
      <c r="FY653" s="785" t="str">
        <f t="shared" si="130"/>
        <v/>
      </c>
      <c r="FZ653" s="785" t="str">
        <f t="shared" si="131"/>
        <v/>
      </c>
      <c r="GA653" s="785" t="str">
        <f t="shared" si="132"/>
        <v/>
      </c>
      <c r="GB653" s="785" t="str">
        <f t="shared" si="133"/>
        <v/>
      </c>
      <c r="GC653" s="785" t="str">
        <f t="shared" si="134"/>
        <v/>
      </c>
      <c r="GD653" s="785" t="str">
        <f t="shared" si="135"/>
        <v/>
      </c>
      <c r="GE653" s="785" t="str">
        <f t="shared" si="136"/>
        <v/>
      </c>
      <c r="GF653" s="785" t="str">
        <f t="shared" si="137"/>
        <v/>
      </c>
      <c r="GG653" s="785" t="str">
        <f t="shared" si="138"/>
        <v/>
      </c>
      <c r="GH653" s="785" t="str">
        <f t="shared" si="139"/>
        <v/>
      </c>
      <c r="GI653" s="785" t="str">
        <f t="shared" si="140"/>
        <v/>
      </c>
      <c r="GJ653" s="785" t="str">
        <f t="shared" si="141"/>
        <v/>
      </c>
      <c r="GK653" s="785" t="str">
        <f t="shared" si="142"/>
        <v/>
      </c>
      <c r="GL653" s="785" t="str">
        <f t="shared" si="143"/>
        <v/>
      </c>
      <c r="GM653" s="785" t="str">
        <f t="shared" si="144"/>
        <v/>
      </c>
      <c r="GN653" s="785" t="str">
        <f t="shared" si="145"/>
        <v/>
      </c>
      <c r="GO653" s="786" t="str">
        <f t="shared" si="146"/>
        <v/>
      </c>
      <c r="GP653" s="786" t="str">
        <f t="shared" si="147"/>
        <v/>
      </c>
      <c r="GQ653" s="786" t="str">
        <f t="shared" si="148"/>
        <v/>
      </c>
      <c r="GR653" s="786" t="str">
        <f t="shared" si="149"/>
        <v/>
      </c>
      <c r="GS653" s="786" t="str">
        <f t="shared" si="150"/>
        <v/>
      </c>
      <c r="GT653" s="580" t="str">
        <f t="shared" si="151"/>
        <v/>
      </c>
      <c r="GU653" s="580" t="str">
        <f t="shared" si="152"/>
        <v/>
      </c>
      <c r="GV653" s="580" t="str">
        <f t="shared" si="153"/>
        <v/>
      </c>
      <c r="GW653" s="580" t="str">
        <f t="shared" si="154"/>
        <v/>
      </c>
      <c r="GX653" s="580" t="str">
        <f t="shared" si="155"/>
        <v/>
      </c>
      <c r="GY653" s="580" t="str">
        <f t="shared" si="156"/>
        <v/>
      </c>
      <c r="GZ653" s="580" t="str">
        <f t="shared" si="157"/>
        <v/>
      </c>
      <c r="HA653" s="580" t="str">
        <f t="shared" si="158"/>
        <v/>
      </c>
      <c r="HB653" s="580" t="str">
        <f t="shared" si="159"/>
        <v/>
      </c>
      <c r="HC653" s="580" t="str">
        <f t="shared" si="160"/>
        <v/>
      </c>
      <c r="HD653" s="580" t="str">
        <f t="shared" si="161"/>
        <v/>
      </c>
      <c r="HE653" s="580" t="str">
        <f t="shared" si="162"/>
        <v/>
      </c>
      <c r="HF653" s="580" t="str">
        <f t="shared" si="163"/>
        <v/>
      </c>
      <c r="HG653" s="580" t="str">
        <f t="shared" si="164"/>
        <v/>
      </c>
      <c r="HH653" s="580" t="str">
        <f t="shared" si="165"/>
        <v/>
      </c>
      <c r="HI653" s="580" t="str">
        <f t="shared" si="166"/>
        <v/>
      </c>
      <c r="HJ653" s="580" t="str">
        <f t="shared" si="167"/>
        <v/>
      </c>
      <c r="HK653" s="580" t="str">
        <f t="shared" si="168"/>
        <v/>
      </c>
      <c r="HL653" s="580" t="str">
        <f t="shared" si="169"/>
        <v/>
      </c>
      <c r="HM653" s="580" t="str">
        <f t="shared" si="170"/>
        <v/>
      </c>
    </row>
    <row r="654" spans="1:221" ht="13.15" customHeight="1">
      <c r="A654" s="888" t="str">
        <f t="shared" si="171"/>
        <v/>
      </c>
      <c r="B654" s="1054" t="str">
        <f>'Part VI-Revenues &amp; Expenses'!B20</f>
        <v>&lt;&lt;Select&gt;&gt;</v>
      </c>
      <c r="C654" s="1055">
        <f>'Part VI-Revenues &amp; Expenses'!C20</f>
        <v>0</v>
      </c>
      <c r="D654" s="1056">
        <f>'Part VI-Revenues &amp; Expenses'!D20</f>
        <v>0</v>
      </c>
      <c r="E654" s="1057">
        <f>'Part VI-Revenues &amp; Expenses'!E20</f>
        <v>0</v>
      </c>
      <c r="F654" s="1057">
        <f>'Part VI-Revenues &amp; Expenses'!F20</f>
        <v>0</v>
      </c>
      <c r="G654" s="1057">
        <f>'Part VI-Revenues &amp; Expenses'!G20</f>
        <v>0</v>
      </c>
      <c r="H654" s="1057">
        <f>'Part VI-Revenues &amp; Expenses'!H20</f>
        <v>0</v>
      </c>
      <c r="I654" s="1057">
        <f>'Part VI-Revenues &amp; Expenses'!I20</f>
        <v>0</v>
      </c>
      <c r="J654" s="818">
        <f>'Part VI-Revenues &amp; Expenses'!J20</f>
        <v>0</v>
      </c>
      <c r="K654" s="893">
        <f t="shared" si="172"/>
        <v>0</v>
      </c>
      <c r="L654" s="893">
        <f t="shared" si="0"/>
        <v>0</v>
      </c>
      <c r="M654" s="783">
        <f>'Part VI-Revenues &amp; Expenses'!M20</f>
        <v>0</v>
      </c>
      <c r="N654" s="783">
        <f>'Part VI-Revenues &amp; Expenses'!N20</f>
        <v>0</v>
      </c>
      <c r="O654" s="783">
        <f>'Part VI-Revenues &amp; Expenses'!O20</f>
        <v>0</v>
      </c>
      <c r="P654" s="894">
        <f t="shared" si="203"/>
        <v>0</v>
      </c>
      <c r="Q654" s="895" t="str">
        <f>'Part VI-Revenues &amp; Expenses'!Q20</f>
        <v/>
      </c>
      <c r="R654" s="894"/>
      <c r="S654" s="895"/>
      <c r="T654" s="2130"/>
      <c r="U654" s="2130"/>
      <c r="V654" s="580" t="str">
        <f t="shared" si="1"/>
        <v/>
      </c>
      <c r="W654" s="580" t="str">
        <f t="shared" si="2"/>
        <v/>
      </c>
      <c r="X654" s="580" t="str">
        <f t="shared" si="3"/>
        <v/>
      </c>
      <c r="Y654" s="580" t="str">
        <f t="shared" si="4"/>
        <v/>
      </c>
      <c r="Z654" s="580" t="str">
        <f t="shared" si="5"/>
        <v/>
      </c>
      <c r="AA654" s="580" t="str">
        <f t="shared" si="6"/>
        <v/>
      </c>
      <c r="AB654" s="580" t="str">
        <f t="shared" si="7"/>
        <v/>
      </c>
      <c r="AC654" s="580" t="str">
        <f t="shared" si="8"/>
        <v/>
      </c>
      <c r="AD654" s="580" t="str">
        <f t="shared" si="9"/>
        <v/>
      </c>
      <c r="AE654" s="580" t="str">
        <f t="shared" si="10"/>
        <v/>
      </c>
      <c r="AF654" s="580" t="str">
        <f t="shared" si="11"/>
        <v/>
      </c>
      <c r="AG654" s="580" t="str">
        <f t="shared" si="12"/>
        <v/>
      </c>
      <c r="AH654" s="580" t="str">
        <f t="shared" si="13"/>
        <v/>
      </c>
      <c r="AI654" s="580" t="str">
        <f t="shared" si="14"/>
        <v/>
      </c>
      <c r="AJ654" s="580" t="str">
        <f t="shared" si="15"/>
        <v/>
      </c>
      <c r="AK654" s="580" t="str">
        <f t="shared" si="16"/>
        <v/>
      </c>
      <c r="AL654" s="580" t="str">
        <f t="shared" si="17"/>
        <v/>
      </c>
      <c r="AM654" s="580" t="str">
        <f t="shared" si="18"/>
        <v/>
      </c>
      <c r="AN654" s="580" t="str">
        <f t="shared" si="19"/>
        <v/>
      </c>
      <c r="AO654" s="580" t="str">
        <f t="shared" si="20"/>
        <v/>
      </c>
      <c r="AP654" s="580" t="str">
        <f t="shared" si="173"/>
        <v/>
      </c>
      <c r="AQ654" s="580" t="str">
        <f t="shared" si="174"/>
        <v/>
      </c>
      <c r="AR654" s="580" t="str">
        <f t="shared" si="175"/>
        <v/>
      </c>
      <c r="AS654" s="580" t="str">
        <f t="shared" si="176"/>
        <v/>
      </c>
      <c r="AT654" s="580" t="str">
        <f t="shared" si="177"/>
        <v/>
      </c>
      <c r="AU654" s="580" t="str">
        <f t="shared" si="178"/>
        <v/>
      </c>
      <c r="AV654" s="580" t="str">
        <f t="shared" si="179"/>
        <v/>
      </c>
      <c r="AW654" s="580" t="str">
        <f t="shared" si="180"/>
        <v/>
      </c>
      <c r="AX654" s="580" t="str">
        <f t="shared" si="181"/>
        <v/>
      </c>
      <c r="AY654" s="580" t="str">
        <f t="shared" si="182"/>
        <v/>
      </c>
      <c r="AZ654" s="580" t="str">
        <f t="shared" si="183"/>
        <v/>
      </c>
      <c r="BA654" s="580" t="str">
        <f t="shared" si="184"/>
        <v/>
      </c>
      <c r="BB654" s="580" t="str">
        <f t="shared" si="185"/>
        <v/>
      </c>
      <c r="BC654" s="580" t="str">
        <f t="shared" si="186"/>
        <v/>
      </c>
      <c r="BD654" s="580" t="str">
        <f t="shared" si="187"/>
        <v/>
      </c>
      <c r="BE654" s="580" t="str">
        <f t="shared" si="188"/>
        <v/>
      </c>
      <c r="BF654" s="580" t="str">
        <f t="shared" si="189"/>
        <v/>
      </c>
      <c r="BG654" s="580" t="str">
        <f t="shared" si="190"/>
        <v/>
      </c>
      <c r="BH654" s="580" t="str">
        <f t="shared" si="191"/>
        <v/>
      </c>
      <c r="BI654" s="580" t="str">
        <f t="shared" si="192"/>
        <v/>
      </c>
      <c r="BJ654" s="580" t="str">
        <f t="shared" si="193"/>
        <v/>
      </c>
      <c r="BK654" s="580" t="str">
        <f t="shared" si="194"/>
        <v/>
      </c>
      <c r="BL654" s="580" t="str">
        <f t="shared" si="195"/>
        <v/>
      </c>
      <c r="BM654" s="580" t="str">
        <f t="shared" si="196"/>
        <v/>
      </c>
      <c r="BN654" s="580" t="str">
        <f t="shared" si="197"/>
        <v/>
      </c>
      <c r="BO654" s="580" t="str">
        <f t="shared" si="198"/>
        <v/>
      </c>
      <c r="BP654" s="580" t="str">
        <f t="shared" si="199"/>
        <v/>
      </c>
      <c r="BQ654" s="580" t="str">
        <f t="shared" si="200"/>
        <v/>
      </c>
      <c r="BR654" s="580" t="str">
        <f t="shared" si="201"/>
        <v/>
      </c>
      <c r="BS654" s="580" t="str">
        <f t="shared" si="202"/>
        <v/>
      </c>
      <c r="BT654" s="580" t="str">
        <f t="shared" si="21"/>
        <v/>
      </c>
      <c r="BU654" s="580" t="str">
        <f t="shared" si="22"/>
        <v/>
      </c>
      <c r="BV654" s="580" t="str">
        <f t="shared" si="23"/>
        <v/>
      </c>
      <c r="BW654" s="580" t="str">
        <f t="shared" si="24"/>
        <v/>
      </c>
      <c r="BX654" s="580" t="str">
        <f t="shared" si="25"/>
        <v/>
      </c>
      <c r="BY654" s="580" t="str">
        <f t="shared" si="26"/>
        <v/>
      </c>
      <c r="BZ654" s="580" t="str">
        <f t="shared" si="27"/>
        <v/>
      </c>
      <c r="CA654" s="580" t="str">
        <f t="shared" si="28"/>
        <v/>
      </c>
      <c r="CB654" s="580" t="str">
        <f t="shared" si="29"/>
        <v/>
      </c>
      <c r="CC654" s="580" t="str">
        <f t="shared" si="30"/>
        <v/>
      </c>
      <c r="CD654" s="580" t="str">
        <f t="shared" si="31"/>
        <v/>
      </c>
      <c r="CE654" s="580" t="str">
        <f t="shared" si="32"/>
        <v/>
      </c>
      <c r="CF654" s="580" t="str">
        <f t="shared" si="33"/>
        <v/>
      </c>
      <c r="CG654" s="580" t="str">
        <f t="shared" si="34"/>
        <v/>
      </c>
      <c r="CH654" s="580" t="str">
        <f t="shared" si="35"/>
        <v/>
      </c>
      <c r="CI654" s="580" t="str">
        <f t="shared" si="36"/>
        <v/>
      </c>
      <c r="CJ654" s="580" t="str">
        <f t="shared" si="37"/>
        <v/>
      </c>
      <c r="CK654" s="580" t="str">
        <f t="shared" si="38"/>
        <v/>
      </c>
      <c r="CL654" s="580" t="str">
        <f t="shared" si="39"/>
        <v/>
      </c>
      <c r="CM654" s="580" t="str">
        <f t="shared" si="40"/>
        <v/>
      </c>
      <c r="CN654" s="580" t="str">
        <f t="shared" si="41"/>
        <v/>
      </c>
      <c r="CO654" s="580" t="str">
        <f t="shared" si="42"/>
        <v/>
      </c>
      <c r="CP654" s="580" t="str">
        <f t="shared" si="43"/>
        <v/>
      </c>
      <c r="CQ654" s="580" t="str">
        <f t="shared" si="44"/>
        <v/>
      </c>
      <c r="CR654" s="580" t="str">
        <f t="shared" si="45"/>
        <v/>
      </c>
      <c r="CS654" s="580" t="str">
        <f t="shared" si="46"/>
        <v/>
      </c>
      <c r="CT654" s="580" t="str">
        <f t="shared" si="47"/>
        <v/>
      </c>
      <c r="CU654" s="580" t="str">
        <f t="shared" si="48"/>
        <v/>
      </c>
      <c r="CV654" s="580" t="str">
        <f t="shared" si="49"/>
        <v/>
      </c>
      <c r="CW654" s="580" t="str">
        <f t="shared" si="50"/>
        <v/>
      </c>
      <c r="CX654" s="580" t="str">
        <f t="shared" si="51"/>
        <v/>
      </c>
      <c r="CY654" s="580" t="str">
        <f t="shared" si="52"/>
        <v/>
      </c>
      <c r="CZ654" s="580" t="str">
        <f t="shared" si="53"/>
        <v/>
      </c>
      <c r="DA654" s="580" t="str">
        <f t="shared" si="54"/>
        <v/>
      </c>
      <c r="DB654" s="580" t="str">
        <f t="shared" si="55"/>
        <v/>
      </c>
      <c r="DC654" s="580" t="str">
        <f t="shared" si="56"/>
        <v/>
      </c>
      <c r="DD654" s="580" t="str">
        <f t="shared" si="57"/>
        <v/>
      </c>
      <c r="DE654" s="580" t="str">
        <f t="shared" si="58"/>
        <v/>
      </c>
      <c r="DF654" s="580" t="str">
        <f t="shared" si="59"/>
        <v/>
      </c>
      <c r="DG654" s="580" t="str">
        <f t="shared" si="60"/>
        <v/>
      </c>
      <c r="DH654" s="580" t="str">
        <f t="shared" si="61"/>
        <v/>
      </c>
      <c r="DI654" s="580" t="str">
        <f t="shared" si="62"/>
        <v/>
      </c>
      <c r="DJ654" s="580" t="str">
        <f t="shared" si="63"/>
        <v/>
      </c>
      <c r="DK654" s="580" t="str">
        <f t="shared" si="64"/>
        <v/>
      </c>
      <c r="DL654" s="580" t="str">
        <f t="shared" si="65"/>
        <v/>
      </c>
      <c r="DM654" s="580" t="str">
        <f t="shared" si="66"/>
        <v/>
      </c>
      <c r="DN654" s="580" t="str">
        <f t="shared" si="67"/>
        <v/>
      </c>
      <c r="DO654" s="580" t="str">
        <f t="shared" si="68"/>
        <v/>
      </c>
      <c r="DP654" s="580" t="str">
        <f t="shared" si="69"/>
        <v/>
      </c>
      <c r="DQ654" s="580" t="str">
        <f t="shared" si="70"/>
        <v/>
      </c>
      <c r="DR654" s="580" t="str">
        <f t="shared" si="71"/>
        <v/>
      </c>
      <c r="DS654" s="580" t="str">
        <f t="shared" si="72"/>
        <v/>
      </c>
      <c r="DT654" s="580" t="str">
        <f t="shared" si="73"/>
        <v/>
      </c>
      <c r="DU654" s="580" t="str">
        <f t="shared" si="74"/>
        <v/>
      </c>
      <c r="DV654" s="580" t="str">
        <f t="shared" si="75"/>
        <v/>
      </c>
      <c r="DW654" s="580" t="str">
        <f t="shared" si="76"/>
        <v/>
      </c>
      <c r="DX654" s="580" t="str">
        <f t="shared" si="77"/>
        <v/>
      </c>
      <c r="DY654" s="580" t="str">
        <f t="shared" si="78"/>
        <v/>
      </c>
      <c r="DZ654" s="580" t="str">
        <f t="shared" si="79"/>
        <v/>
      </c>
      <c r="EA654" s="580" t="str">
        <f t="shared" si="80"/>
        <v/>
      </c>
      <c r="EB654" s="580" t="str">
        <f t="shared" si="81"/>
        <v/>
      </c>
      <c r="EC654" s="580" t="str">
        <f t="shared" si="82"/>
        <v/>
      </c>
      <c r="ED654" s="580" t="str">
        <f t="shared" si="83"/>
        <v/>
      </c>
      <c r="EE654" s="580" t="str">
        <f t="shared" si="84"/>
        <v/>
      </c>
      <c r="EF654" s="580" t="str">
        <f t="shared" si="85"/>
        <v/>
      </c>
      <c r="EG654" s="580" t="str">
        <f t="shared" si="86"/>
        <v/>
      </c>
      <c r="EH654" s="580" t="str">
        <f t="shared" si="87"/>
        <v/>
      </c>
      <c r="EI654" s="580" t="str">
        <f t="shared" si="88"/>
        <v/>
      </c>
      <c r="EJ654" s="580" t="str">
        <f t="shared" si="89"/>
        <v/>
      </c>
      <c r="EK654" s="580" t="str">
        <f t="shared" si="90"/>
        <v/>
      </c>
      <c r="EL654" s="580" t="str">
        <f t="shared" si="91"/>
        <v/>
      </c>
      <c r="EM654" s="580" t="str">
        <f t="shared" si="92"/>
        <v/>
      </c>
      <c r="EN654" s="580" t="str">
        <f t="shared" si="93"/>
        <v/>
      </c>
      <c r="EO654" s="580" t="str">
        <f t="shared" si="94"/>
        <v/>
      </c>
      <c r="EP654" s="580" t="str">
        <f t="shared" si="95"/>
        <v/>
      </c>
      <c r="EQ654" s="580" t="str">
        <f t="shared" si="96"/>
        <v/>
      </c>
      <c r="ER654" s="580" t="str">
        <f t="shared" si="97"/>
        <v/>
      </c>
      <c r="ES654" s="580" t="str">
        <f t="shared" si="98"/>
        <v/>
      </c>
      <c r="ET654" s="580" t="str">
        <f t="shared" si="99"/>
        <v/>
      </c>
      <c r="EU654" s="580" t="str">
        <f t="shared" si="100"/>
        <v/>
      </c>
      <c r="EV654" s="785" t="str">
        <f t="shared" si="101"/>
        <v/>
      </c>
      <c r="EW654" s="785" t="str">
        <f t="shared" si="102"/>
        <v/>
      </c>
      <c r="EX654" s="785" t="str">
        <f t="shared" si="103"/>
        <v/>
      </c>
      <c r="EY654" s="785" t="str">
        <f t="shared" si="104"/>
        <v/>
      </c>
      <c r="EZ654" s="785" t="str">
        <f t="shared" si="105"/>
        <v/>
      </c>
      <c r="FA654" s="785" t="str">
        <f t="shared" si="106"/>
        <v/>
      </c>
      <c r="FB654" s="785" t="str">
        <f t="shared" si="107"/>
        <v/>
      </c>
      <c r="FC654" s="785" t="str">
        <f t="shared" si="108"/>
        <v/>
      </c>
      <c r="FD654" s="785" t="str">
        <f t="shared" si="109"/>
        <v/>
      </c>
      <c r="FE654" s="785" t="str">
        <f t="shared" si="110"/>
        <v/>
      </c>
      <c r="FF654" s="785" t="str">
        <f t="shared" si="111"/>
        <v/>
      </c>
      <c r="FG654" s="785" t="str">
        <f t="shared" si="112"/>
        <v/>
      </c>
      <c r="FH654" s="785" t="str">
        <f t="shared" si="113"/>
        <v/>
      </c>
      <c r="FI654" s="785" t="str">
        <f t="shared" si="114"/>
        <v/>
      </c>
      <c r="FJ654" s="785" t="str">
        <f t="shared" si="115"/>
        <v/>
      </c>
      <c r="FK654" s="785" t="str">
        <f t="shared" si="116"/>
        <v/>
      </c>
      <c r="FL654" s="785" t="str">
        <f t="shared" si="117"/>
        <v/>
      </c>
      <c r="FM654" s="785" t="str">
        <f t="shared" si="118"/>
        <v/>
      </c>
      <c r="FN654" s="785" t="str">
        <f t="shared" si="119"/>
        <v/>
      </c>
      <c r="FO654" s="785" t="str">
        <f t="shared" si="120"/>
        <v/>
      </c>
      <c r="FP654" s="785" t="str">
        <f t="shared" si="121"/>
        <v/>
      </c>
      <c r="FQ654" s="785" t="str">
        <f t="shared" si="122"/>
        <v/>
      </c>
      <c r="FR654" s="785" t="str">
        <f t="shared" si="123"/>
        <v/>
      </c>
      <c r="FS654" s="785" t="str">
        <f t="shared" si="124"/>
        <v/>
      </c>
      <c r="FT654" s="785" t="str">
        <f t="shared" si="125"/>
        <v/>
      </c>
      <c r="FU654" s="785" t="str">
        <f t="shared" si="126"/>
        <v/>
      </c>
      <c r="FV654" s="785" t="str">
        <f t="shared" si="127"/>
        <v/>
      </c>
      <c r="FW654" s="785" t="str">
        <f t="shared" si="128"/>
        <v/>
      </c>
      <c r="FX654" s="785" t="str">
        <f t="shared" si="129"/>
        <v/>
      </c>
      <c r="FY654" s="785" t="str">
        <f t="shared" si="130"/>
        <v/>
      </c>
      <c r="FZ654" s="785" t="str">
        <f t="shared" si="131"/>
        <v/>
      </c>
      <c r="GA654" s="785" t="str">
        <f t="shared" si="132"/>
        <v/>
      </c>
      <c r="GB654" s="785" t="str">
        <f t="shared" si="133"/>
        <v/>
      </c>
      <c r="GC654" s="785" t="str">
        <f t="shared" si="134"/>
        <v/>
      </c>
      <c r="GD654" s="785" t="str">
        <f t="shared" si="135"/>
        <v/>
      </c>
      <c r="GE654" s="785" t="str">
        <f t="shared" si="136"/>
        <v/>
      </c>
      <c r="GF654" s="785" t="str">
        <f t="shared" si="137"/>
        <v/>
      </c>
      <c r="GG654" s="785" t="str">
        <f t="shared" si="138"/>
        <v/>
      </c>
      <c r="GH654" s="785" t="str">
        <f t="shared" si="139"/>
        <v/>
      </c>
      <c r="GI654" s="785" t="str">
        <f t="shared" si="140"/>
        <v/>
      </c>
      <c r="GJ654" s="785" t="str">
        <f t="shared" si="141"/>
        <v/>
      </c>
      <c r="GK654" s="785" t="str">
        <f t="shared" si="142"/>
        <v/>
      </c>
      <c r="GL654" s="785" t="str">
        <f t="shared" si="143"/>
        <v/>
      </c>
      <c r="GM654" s="785" t="str">
        <f t="shared" si="144"/>
        <v/>
      </c>
      <c r="GN654" s="785" t="str">
        <f t="shared" si="145"/>
        <v/>
      </c>
      <c r="GO654" s="786" t="str">
        <f t="shared" si="146"/>
        <v/>
      </c>
      <c r="GP654" s="786" t="str">
        <f t="shared" si="147"/>
        <v/>
      </c>
      <c r="GQ654" s="786" t="str">
        <f t="shared" si="148"/>
        <v/>
      </c>
      <c r="GR654" s="786" t="str">
        <f t="shared" si="149"/>
        <v/>
      </c>
      <c r="GS654" s="786" t="str">
        <f t="shared" si="150"/>
        <v/>
      </c>
      <c r="GT654" s="580" t="str">
        <f t="shared" si="151"/>
        <v/>
      </c>
      <c r="GU654" s="580" t="str">
        <f t="shared" si="152"/>
        <v/>
      </c>
      <c r="GV654" s="580" t="str">
        <f t="shared" si="153"/>
        <v/>
      </c>
      <c r="GW654" s="580" t="str">
        <f t="shared" si="154"/>
        <v/>
      </c>
      <c r="GX654" s="580" t="str">
        <f t="shared" si="155"/>
        <v/>
      </c>
      <c r="GY654" s="580" t="str">
        <f t="shared" si="156"/>
        <v/>
      </c>
      <c r="GZ654" s="580" t="str">
        <f t="shared" si="157"/>
        <v/>
      </c>
      <c r="HA654" s="580" t="str">
        <f t="shared" si="158"/>
        <v/>
      </c>
      <c r="HB654" s="580" t="str">
        <f t="shared" si="159"/>
        <v/>
      </c>
      <c r="HC654" s="580" t="str">
        <f t="shared" si="160"/>
        <v/>
      </c>
      <c r="HD654" s="580" t="str">
        <f t="shared" si="161"/>
        <v/>
      </c>
      <c r="HE654" s="580" t="str">
        <f t="shared" si="162"/>
        <v/>
      </c>
      <c r="HF654" s="580" t="str">
        <f t="shared" si="163"/>
        <v/>
      </c>
      <c r="HG654" s="580" t="str">
        <f t="shared" si="164"/>
        <v/>
      </c>
      <c r="HH654" s="580" t="str">
        <f t="shared" si="165"/>
        <v/>
      </c>
      <c r="HI654" s="580" t="str">
        <f t="shared" si="166"/>
        <v/>
      </c>
      <c r="HJ654" s="580" t="str">
        <f t="shared" si="167"/>
        <v/>
      </c>
      <c r="HK654" s="580" t="str">
        <f t="shared" si="168"/>
        <v/>
      </c>
      <c r="HL654" s="580" t="str">
        <f t="shared" si="169"/>
        <v/>
      </c>
      <c r="HM654" s="580" t="str">
        <f t="shared" si="170"/>
        <v/>
      </c>
    </row>
    <row r="655" spans="1:221" ht="13.15" customHeight="1">
      <c r="A655" s="888" t="str">
        <f t="shared" si="171"/>
        <v/>
      </c>
      <c r="B655" s="1054" t="str">
        <f>'Part VI-Revenues &amp; Expenses'!B21</f>
        <v>&lt;&lt;Select&gt;&gt;</v>
      </c>
      <c r="C655" s="1055">
        <f>'Part VI-Revenues &amp; Expenses'!C21</f>
        <v>0</v>
      </c>
      <c r="D655" s="1056">
        <f>'Part VI-Revenues &amp; Expenses'!D21</f>
        <v>0</v>
      </c>
      <c r="E655" s="1057">
        <f>'Part VI-Revenues &amp; Expenses'!E21</f>
        <v>0</v>
      </c>
      <c r="F655" s="1057">
        <f>'Part VI-Revenues &amp; Expenses'!F21</f>
        <v>0</v>
      </c>
      <c r="G655" s="1057">
        <f>'Part VI-Revenues &amp; Expenses'!G21</f>
        <v>0</v>
      </c>
      <c r="H655" s="1057">
        <f>'Part VI-Revenues &amp; Expenses'!H21</f>
        <v>0</v>
      </c>
      <c r="I655" s="1057">
        <f>'Part VI-Revenues &amp; Expenses'!I21</f>
        <v>0</v>
      </c>
      <c r="J655" s="818">
        <f>'Part VI-Revenues &amp; Expenses'!J21</f>
        <v>0</v>
      </c>
      <c r="K655" s="893">
        <f t="shared" si="172"/>
        <v>0</v>
      </c>
      <c r="L655" s="893">
        <f t="shared" si="0"/>
        <v>0</v>
      </c>
      <c r="M655" s="783">
        <f>'Part VI-Revenues &amp; Expenses'!M21</f>
        <v>0</v>
      </c>
      <c r="N655" s="783">
        <f>'Part VI-Revenues &amp; Expenses'!N21</f>
        <v>0</v>
      </c>
      <c r="O655" s="783">
        <f>'Part VI-Revenues &amp; Expenses'!O21</f>
        <v>0</v>
      </c>
      <c r="P655" s="894">
        <f t="shared" si="203"/>
        <v>0</v>
      </c>
      <c r="Q655" s="895" t="str">
        <f>'Part VI-Revenues &amp; Expenses'!Q21</f>
        <v/>
      </c>
      <c r="R655" s="894"/>
      <c r="S655" s="895"/>
      <c r="T655" s="2130"/>
      <c r="U655" s="2130"/>
      <c r="V655" s="580" t="str">
        <f t="shared" si="1"/>
        <v/>
      </c>
      <c r="W655" s="580" t="str">
        <f t="shared" si="2"/>
        <v/>
      </c>
      <c r="X655" s="580" t="str">
        <f t="shared" si="3"/>
        <v/>
      </c>
      <c r="Y655" s="580" t="str">
        <f t="shared" si="4"/>
        <v/>
      </c>
      <c r="Z655" s="580" t="str">
        <f t="shared" si="5"/>
        <v/>
      </c>
      <c r="AA655" s="580" t="str">
        <f t="shared" si="6"/>
        <v/>
      </c>
      <c r="AB655" s="580" t="str">
        <f t="shared" si="7"/>
        <v/>
      </c>
      <c r="AC655" s="580" t="str">
        <f t="shared" si="8"/>
        <v/>
      </c>
      <c r="AD655" s="580" t="str">
        <f t="shared" si="9"/>
        <v/>
      </c>
      <c r="AE655" s="580" t="str">
        <f t="shared" si="10"/>
        <v/>
      </c>
      <c r="AF655" s="580" t="str">
        <f t="shared" si="11"/>
        <v/>
      </c>
      <c r="AG655" s="580" t="str">
        <f t="shared" si="12"/>
        <v/>
      </c>
      <c r="AH655" s="580" t="str">
        <f t="shared" si="13"/>
        <v/>
      </c>
      <c r="AI655" s="580" t="str">
        <f t="shared" si="14"/>
        <v/>
      </c>
      <c r="AJ655" s="580" t="str">
        <f t="shared" si="15"/>
        <v/>
      </c>
      <c r="AK655" s="580" t="str">
        <f t="shared" si="16"/>
        <v/>
      </c>
      <c r="AL655" s="580" t="str">
        <f t="shared" si="17"/>
        <v/>
      </c>
      <c r="AM655" s="580" t="str">
        <f t="shared" si="18"/>
        <v/>
      </c>
      <c r="AN655" s="580" t="str">
        <f t="shared" si="19"/>
        <v/>
      </c>
      <c r="AO655" s="580" t="str">
        <f t="shared" si="20"/>
        <v/>
      </c>
      <c r="AP655" s="580" t="str">
        <f t="shared" si="173"/>
        <v/>
      </c>
      <c r="AQ655" s="580" t="str">
        <f t="shared" si="174"/>
        <v/>
      </c>
      <c r="AR655" s="580" t="str">
        <f t="shared" si="175"/>
        <v/>
      </c>
      <c r="AS655" s="580" t="str">
        <f t="shared" si="176"/>
        <v/>
      </c>
      <c r="AT655" s="580" t="str">
        <f t="shared" si="177"/>
        <v/>
      </c>
      <c r="AU655" s="580" t="str">
        <f t="shared" si="178"/>
        <v/>
      </c>
      <c r="AV655" s="580" t="str">
        <f t="shared" si="179"/>
        <v/>
      </c>
      <c r="AW655" s="580" t="str">
        <f t="shared" si="180"/>
        <v/>
      </c>
      <c r="AX655" s="580" t="str">
        <f t="shared" si="181"/>
        <v/>
      </c>
      <c r="AY655" s="580" t="str">
        <f t="shared" si="182"/>
        <v/>
      </c>
      <c r="AZ655" s="580" t="str">
        <f t="shared" si="183"/>
        <v/>
      </c>
      <c r="BA655" s="580" t="str">
        <f t="shared" si="184"/>
        <v/>
      </c>
      <c r="BB655" s="580" t="str">
        <f t="shared" si="185"/>
        <v/>
      </c>
      <c r="BC655" s="580" t="str">
        <f t="shared" si="186"/>
        <v/>
      </c>
      <c r="BD655" s="580" t="str">
        <f t="shared" si="187"/>
        <v/>
      </c>
      <c r="BE655" s="580" t="str">
        <f t="shared" si="188"/>
        <v/>
      </c>
      <c r="BF655" s="580" t="str">
        <f t="shared" si="189"/>
        <v/>
      </c>
      <c r="BG655" s="580" t="str">
        <f t="shared" si="190"/>
        <v/>
      </c>
      <c r="BH655" s="580" t="str">
        <f t="shared" si="191"/>
        <v/>
      </c>
      <c r="BI655" s="580" t="str">
        <f t="shared" si="192"/>
        <v/>
      </c>
      <c r="BJ655" s="580" t="str">
        <f t="shared" si="193"/>
        <v/>
      </c>
      <c r="BK655" s="580" t="str">
        <f t="shared" si="194"/>
        <v/>
      </c>
      <c r="BL655" s="580" t="str">
        <f t="shared" si="195"/>
        <v/>
      </c>
      <c r="BM655" s="580" t="str">
        <f t="shared" si="196"/>
        <v/>
      </c>
      <c r="BN655" s="580" t="str">
        <f t="shared" si="197"/>
        <v/>
      </c>
      <c r="BO655" s="580" t="str">
        <f t="shared" si="198"/>
        <v/>
      </c>
      <c r="BP655" s="580" t="str">
        <f t="shared" si="199"/>
        <v/>
      </c>
      <c r="BQ655" s="580" t="str">
        <f t="shared" si="200"/>
        <v/>
      </c>
      <c r="BR655" s="580" t="str">
        <f t="shared" si="201"/>
        <v/>
      </c>
      <c r="BS655" s="580" t="str">
        <f t="shared" si="202"/>
        <v/>
      </c>
      <c r="BT655" s="580" t="str">
        <f t="shared" si="21"/>
        <v/>
      </c>
      <c r="BU655" s="580" t="str">
        <f t="shared" si="22"/>
        <v/>
      </c>
      <c r="BV655" s="580" t="str">
        <f t="shared" si="23"/>
        <v/>
      </c>
      <c r="BW655" s="580" t="str">
        <f t="shared" si="24"/>
        <v/>
      </c>
      <c r="BX655" s="580" t="str">
        <f t="shared" si="25"/>
        <v/>
      </c>
      <c r="BY655" s="580" t="str">
        <f t="shared" si="26"/>
        <v/>
      </c>
      <c r="BZ655" s="580" t="str">
        <f t="shared" si="27"/>
        <v/>
      </c>
      <c r="CA655" s="580" t="str">
        <f t="shared" si="28"/>
        <v/>
      </c>
      <c r="CB655" s="580" t="str">
        <f t="shared" si="29"/>
        <v/>
      </c>
      <c r="CC655" s="580" t="str">
        <f t="shared" si="30"/>
        <v/>
      </c>
      <c r="CD655" s="580" t="str">
        <f t="shared" si="31"/>
        <v/>
      </c>
      <c r="CE655" s="580" t="str">
        <f t="shared" si="32"/>
        <v/>
      </c>
      <c r="CF655" s="580" t="str">
        <f t="shared" si="33"/>
        <v/>
      </c>
      <c r="CG655" s="580" t="str">
        <f t="shared" si="34"/>
        <v/>
      </c>
      <c r="CH655" s="580" t="str">
        <f t="shared" si="35"/>
        <v/>
      </c>
      <c r="CI655" s="580" t="str">
        <f t="shared" si="36"/>
        <v/>
      </c>
      <c r="CJ655" s="580" t="str">
        <f t="shared" si="37"/>
        <v/>
      </c>
      <c r="CK655" s="580" t="str">
        <f t="shared" si="38"/>
        <v/>
      </c>
      <c r="CL655" s="580" t="str">
        <f t="shared" si="39"/>
        <v/>
      </c>
      <c r="CM655" s="580" t="str">
        <f t="shared" si="40"/>
        <v/>
      </c>
      <c r="CN655" s="580" t="str">
        <f t="shared" si="41"/>
        <v/>
      </c>
      <c r="CO655" s="580" t="str">
        <f t="shared" si="42"/>
        <v/>
      </c>
      <c r="CP655" s="580" t="str">
        <f t="shared" si="43"/>
        <v/>
      </c>
      <c r="CQ655" s="580" t="str">
        <f t="shared" si="44"/>
        <v/>
      </c>
      <c r="CR655" s="580" t="str">
        <f t="shared" si="45"/>
        <v/>
      </c>
      <c r="CS655" s="580" t="str">
        <f t="shared" si="46"/>
        <v/>
      </c>
      <c r="CT655" s="580" t="str">
        <f t="shared" si="47"/>
        <v/>
      </c>
      <c r="CU655" s="580" t="str">
        <f t="shared" si="48"/>
        <v/>
      </c>
      <c r="CV655" s="580" t="str">
        <f t="shared" si="49"/>
        <v/>
      </c>
      <c r="CW655" s="580" t="str">
        <f t="shared" si="50"/>
        <v/>
      </c>
      <c r="CX655" s="580" t="str">
        <f t="shared" si="51"/>
        <v/>
      </c>
      <c r="CY655" s="580" t="str">
        <f t="shared" si="52"/>
        <v/>
      </c>
      <c r="CZ655" s="580" t="str">
        <f t="shared" si="53"/>
        <v/>
      </c>
      <c r="DA655" s="580" t="str">
        <f t="shared" si="54"/>
        <v/>
      </c>
      <c r="DB655" s="580" t="str">
        <f t="shared" si="55"/>
        <v/>
      </c>
      <c r="DC655" s="580" t="str">
        <f t="shared" si="56"/>
        <v/>
      </c>
      <c r="DD655" s="580" t="str">
        <f t="shared" si="57"/>
        <v/>
      </c>
      <c r="DE655" s="580" t="str">
        <f t="shared" si="58"/>
        <v/>
      </c>
      <c r="DF655" s="580" t="str">
        <f t="shared" si="59"/>
        <v/>
      </c>
      <c r="DG655" s="580" t="str">
        <f t="shared" si="60"/>
        <v/>
      </c>
      <c r="DH655" s="580" t="str">
        <f t="shared" si="61"/>
        <v/>
      </c>
      <c r="DI655" s="580" t="str">
        <f t="shared" si="62"/>
        <v/>
      </c>
      <c r="DJ655" s="580" t="str">
        <f t="shared" si="63"/>
        <v/>
      </c>
      <c r="DK655" s="580" t="str">
        <f t="shared" si="64"/>
        <v/>
      </c>
      <c r="DL655" s="580" t="str">
        <f t="shared" si="65"/>
        <v/>
      </c>
      <c r="DM655" s="580" t="str">
        <f t="shared" si="66"/>
        <v/>
      </c>
      <c r="DN655" s="580" t="str">
        <f t="shared" si="67"/>
        <v/>
      </c>
      <c r="DO655" s="580" t="str">
        <f t="shared" si="68"/>
        <v/>
      </c>
      <c r="DP655" s="580" t="str">
        <f t="shared" si="69"/>
        <v/>
      </c>
      <c r="DQ655" s="580" t="str">
        <f t="shared" si="70"/>
        <v/>
      </c>
      <c r="DR655" s="580" t="str">
        <f t="shared" si="71"/>
        <v/>
      </c>
      <c r="DS655" s="580" t="str">
        <f t="shared" si="72"/>
        <v/>
      </c>
      <c r="DT655" s="580" t="str">
        <f t="shared" si="73"/>
        <v/>
      </c>
      <c r="DU655" s="580" t="str">
        <f t="shared" si="74"/>
        <v/>
      </c>
      <c r="DV655" s="580" t="str">
        <f t="shared" si="75"/>
        <v/>
      </c>
      <c r="DW655" s="580" t="str">
        <f t="shared" si="76"/>
        <v/>
      </c>
      <c r="DX655" s="580" t="str">
        <f t="shared" si="77"/>
        <v/>
      </c>
      <c r="DY655" s="580" t="str">
        <f t="shared" si="78"/>
        <v/>
      </c>
      <c r="DZ655" s="580" t="str">
        <f t="shared" si="79"/>
        <v/>
      </c>
      <c r="EA655" s="580" t="str">
        <f t="shared" si="80"/>
        <v/>
      </c>
      <c r="EB655" s="580" t="str">
        <f t="shared" si="81"/>
        <v/>
      </c>
      <c r="EC655" s="580" t="str">
        <f t="shared" si="82"/>
        <v/>
      </c>
      <c r="ED655" s="580" t="str">
        <f t="shared" si="83"/>
        <v/>
      </c>
      <c r="EE655" s="580" t="str">
        <f t="shared" si="84"/>
        <v/>
      </c>
      <c r="EF655" s="580" t="str">
        <f t="shared" si="85"/>
        <v/>
      </c>
      <c r="EG655" s="580" t="str">
        <f t="shared" si="86"/>
        <v/>
      </c>
      <c r="EH655" s="580" t="str">
        <f t="shared" si="87"/>
        <v/>
      </c>
      <c r="EI655" s="580" t="str">
        <f t="shared" si="88"/>
        <v/>
      </c>
      <c r="EJ655" s="580" t="str">
        <f t="shared" si="89"/>
        <v/>
      </c>
      <c r="EK655" s="580" t="str">
        <f t="shared" si="90"/>
        <v/>
      </c>
      <c r="EL655" s="580" t="str">
        <f t="shared" si="91"/>
        <v/>
      </c>
      <c r="EM655" s="580" t="str">
        <f t="shared" si="92"/>
        <v/>
      </c>
      <c r="EN655" s="580" t="str">
        <f t="shared" si="93"/>
        <v/>
      </c>
      <c r="EO655" s="580" t="str">
        <f t="shared" si="94"/>
        <v/>
      </c>
      <c r="EP655" s="580" t="str">
        <f t="shared" si="95"/>
        <v/>
      </c>
      <c r="EQ655" s="580" t="str">
        <f t="shared" si="96"/>
        <v/>
      </c>
      <c r="ER655" s="580" t="str">
        <f t="shared" si="97"/>
        <v/>
      </c>
      <c r="ES655" s="580" t="str">
        <f t="shared" si="98"/>
        <v/>
      </c>
      <c r="ET655" s="580" t="str">
        <f t="shared" si="99"/>
        <v/>
      </c>
      <c r="EU655" s="580" t="str">
        <f t="shared" si="100"/>
        <v/>
      </c>
      <c r="EV655" s="785" t="str">
        <f t="shared" si="101"/>
        <v/>
      </c>
      <c r="EW655" s="785" t="str">
        <f t="shared" si="102"/>
        <v/>
      </c>
      <c r="EX655" s="785" t="str">
        <f t="shared" si="103"/>
        <v/>
      </c>
      <c r="EY655" s="785" t="str">
        <f t="shared" si="104"/>
        <v/>
      </c>
      <c r="EZ655" s="785" t="str">
        <f t="shared" si="105"/>
        <v/>
      </c>
      <c r="FA655" s="785" t="str">
        <f t="shared" si="106"/>
        <v/>
      </c>
      <c r="FB655" s="785" t="str">
        <f t="shared" si="107"/>
        <v/>
      </c>
      <c r="FC655" s="785" t="str">
        <f t="shared" si="108"/>
        <v/>
      </c>
      <c r="FD655" s="785" t="str">
        <f t="shared" si="109"/>
        <v/>
      </c>
      <c r="FE655" s="785" t="str">
        <f t="shared" si="110"/>
        <v/>
      </c>
      <c r="FF655" s="785" t="str">
        <f t="shared" si="111"/>
        <v/>
      </c>
      <c r="FG655" s="785" t="str">
        <f t="shared" si="112"/>
        <v/>
      </c>
      <c r="FH655" s="785" t="str">
        <f t="shared" si="113"/>
        <v/>
      </c>
      <c r="FI655" s="785" t="str">
        <f t="shared" si="114"/>
        <v/>
      </c>
      <c r="FJ655" s="785" t="str">
        <f t="shared" si="115"/>
        <v/>
      </c>
      <c r="FK655" s="785" t="str">
        <f t="shared" si="116"/>
        <v/>
      </c>
      <c r="FL655" s="785" t="str">
        <f t="shared" si="117"/>
        <v/>
      </c>
      <c r="FM655" s="785" t="str">
        <f t="shared" si="118"/>
        <v/>
      </c>
      <c r="FN655" s="785" t="str">
        <f t="shared" si="119"/>
        <v/>
      </c>
      <c r="FO655" s="785" t="str">
        <f t="shared" si="120"/>
        <v/>
      </c>
      <c r="FP655" s="785" t="str">
        <f t="shared" si="121"/>
        <v/>
      </c>
      <c r="FQ655" s="785" t="str">
        <f t="shared" si="122"/>
        <v/>
      </c>
      <c r="FR655" s="785" t="str">
        <f t="shared" si="123"/>
        <v/>
      </c>
      <c r="FS655" s="785" t="str">
        <f t="shared" si="124"/>
        <v/>
      </c>
      <c r="FT655" s="785" t="str">
        <f t="shared" si="125"/>
        <v/>
      </c>
      <c r="FU655" s="785" t="str">
        <f t="shared" si="126"/>
        <v/>
      </c>
      <c r="FV655" s="785" t="str">
        <f t="shared" si="127"/>
        <v/>
      </c>
      <c r="FW655" s="785" t="str">
        <f t="shared" si="128"/>
        <v/>
      </c>
      <c r="FX655" s="785" t="str">
        <f t="shared" si="129"/>
        <v/>
      </c>
      <c r="FY655" s="785" t="str">
        <f t="shared" si="130"/>
        <v/>
      </c>
      <c r="FZ655" s="785" t="str">
        <f t="shared" si="131"/>
        <v/>
      </c>
      <c r="GA655" s="785" t="str">
        <f t="shared" si="132"/>
        <v/>
      </c>
      <c r="GB655" s="785" t="str">
        <f t="shared" si="133"/>
        <v/>
      </c>
      <c r="GC655" s="785" t="str">
        <f t="shared" si="134"/>
        <v/>
      </c>
      <c r="GD655" s="785" t="str">
        <f t="shared" si="135"/>
        <v/>
      </c>
      <c r="GE655" s="785" t="str">
        <f t="shared" si="136"/>
        <v/>
      </c>
      <c r="GF655" s="785" t="str">
        <f t="shared" si="137"/>
        <v/>
      </c>
      <c r="GG655" s="785" t="str">
        <f t="shared" si="138"/>
        <v/>
      </c>
      <c r="GH655" s="785" t="str">
        <f t="shared" si="139"/>
        <v/>
      </c>
      <c r="GI655" s="785" t="str">
        <f t="shared" si="140"/>
        <v/>
      </c>
      <c r="GJ655" s="785" t="str">
        <f t="shared" si="141"/>
        <v/>
      </c>
      <c r="GK655" s="785" t="str">
        <f t="shared" si="142"/>
        <v/>
      </c>
      <c r="GL655" s="785" t="str">
        <f t="shared" si="143"/>
        <v/>
      </c>
      <c r="GM655" s="785" t="str">
        <f t="shared" si="144"/>
        <v/>
      </c>
      <c r="GN655" s="785" t="str">
        <f t="shared" si="145"/>
        <v/>
      </c>
      <c r="GO655" s="786" t="str">
        <f t="shared" si="146"/>
        <v/>
      </c>
      <c r="GP655" s="786" t="str">
        <f t="shared" si="147"/>
        <v/>
      </c>
      <c r="GQ655" s="786" t="str">
        <f t="shared" si="148"/>
        <v/>
      </c>
      <c r="GR655" s="786" t="str">
        <f t="shared" si="149"/>
        <v/>
      </c>
      <c r="GS655" s="786" t="str">
        <f t="shared" si="150"/>
        <v/>
      </c>
      <c r="GT655" s="580" t="str">
        <f t="shared" si="151"/>
        <v/>
      </c>
      <c r="GU655" s="580" t="str">
        <f t="shared" si="152"/>
        <v/>
      </c>
      <c r="GV655" s="580" t="str">
        <f t="shared" si="153"/>
        <v/>
      </c>
      <c r="GW655" s="580" t="str">
        <f t="shared" si="154"/>
        <v/>
      </c>
      <c r="GX655" s="580" t="str">
        <f t="shared" si="155"/>
        <v/>
      </c>
      <c r="GY655" s="580" t="str">
        <f t="shared" si="156"/>
        <v/>
      </c>
      <c r="GZ655" s="580" t="str">
        <f t="shared" si="157"/>
        <v/>
      </c>
      <c r="HA655" s="580" t="str">
        <f t="shared" si="158"/>
        <v/>
      </c>
      <c r="HB655" s="580" t="str">
        <f t="shared" si="159"/>
        <v/>
      </c>
      <c r="HC655" s="580" t="str">
        <f t="shared" si="160"/>
        <v/>
      </c>
      <c r="HD655" s="580" t="str">
        <f t="shared" si="161"/>
        <v/>
      </c>
      <c r="HE655" s="580" t="str">
        <f t="shared" si="162"/>
        <v/>
      </c>
      <c r="HF655" s="580" t="str">
        <f t="shared" si="163"/>
        <v/>
      </c>
      <c r="HG655" s="580" t="str">
        <f t="shared" si="164"/>
        <v/>
      </c>
      <c r="HH655" s="580" t="str">
        <f t="shared" si="165"/>
        <v/>
      </c>
      <c r="HI655" s="580" t="str">
        <f t="shared" si="166"/>
        <v/>
      </c>
      <c r="HJ655" s="580" t="str">
        <f t="shared" si="167"/>
        <v/>
      </c>
      <c r="HK655" s="580" t="str">
        <f t="shared" si="168"/>
        <v/>
      </c>
      <c r="HL655" s="580" t="str">
        <f t="shared" si="169"/>
        <v/>
      </c>
      <c r="HM655" s="580" t="str">
        <f t="shared" si="170"/>
        <v/>
      </c>
    </row>
    <row r="656" spans="1:221" ht="13.15" customHeight="1">
      <c r="A656" s="888" t="str">
        <f t="shared" si="171"/>
        <v/>
      </c>
      <c r="B656" s="1054" t="str">
        <f>'Part VI-Revenues &amp; Expenses'!B22</f>
        <v>&lt;&lt;Select&gt;&gt;</v>
      </c>
      <c r="C656" s="1055">
        <f>'Part VI-Revenues &amp; Expenses'!C22</f>
        <v>0</v>
      </c>
      <c r="D656" s="1056">
        <f>'Part VI-Revenues &amp; Expenses'!D22</f>
        <v>0</v>
      </c>
      <c r="E656" s="1057">
        <f>'Part VI-Revenues &amp; Expenses'!E22</f>
        <v>0</v>
      </c>
      <c r="F656" s="1057">
        <f>'Part VI-Revenues &amp; Expenses'!F22</f>
        <v>0</v>
      </c>
      <c r="G656" s="1057">
        <f>'Part VI-Revenues &amp; Expenses'!G22</f>
        <v>0</v>
      </c>
      <c r="H656" s="1057">
        <f>'Part VI-Revenues &amp; Expenses'!H22</f>
        <v>0</v>
      </c>
      <c r="I656" s="1057">
        <f>'Part VI-Revenues &amp; Expenses'!I22</f>
        <v>0</v>
      </c>
      <c r="J656" s="818">
        <f>'Part VI-Revenues &amp; Expenses'!J22</f>
        <v>0</v>
      </c>
      <c r="K656" s="893">
        <f t="shared" si="172"/>
        <v>0</v>
      </c>
      <c r="L656" s="893">
        <f t="shared" si="0"/>
        <v>0</v>
      </c>
      <c r="M656" s="783">
        <f>'Part VI-Revenues &amp; Expenses'!M22</f>
        <v>0</v>
      </c>
      <c r="N656" s="783">
        <f>'Part VI-Revenues &amp; Expenses'!N22</f>
        <v>0</v>
      </c>
      <c r="O656" s="783">
        <f>'Part VI-Revenues &amp; Expenses'!O22</f>
        <v>0</v>
      </c>
      <c r="P656" s="894">
        <f t="shared" si="203"/>
        <v>0</v>
      </c>
      <c r="Q656" s="895" t="str">
        <f>'Part VI-Revenues &amp; Expenses'!Q22</f>
        <v/>
      </c>
      <c r="R656" s="894"/>
      <c r="S656" s="895"/>
      <c r="T656" s="2130"/>
      <c r="U656" s="2130"/>
      <c r="V656" s="580" t="str">
        <f t="shared" si="1"/>
        <v/>
      </c>
      <c r="W656" s="580" t="str">
        <f t="shared" si="2"/>
        <v/>
      </c>
      <c r="X656" s="580" t="str">
        <f t="shared" si="3"/>
        <v/>
      </c>
      <c r="Y656" s="580" t="str">
        <f t="shared" si="4"/>
        <v/>
      </c>
      <c r="Z656" s="580" t="str">
        <f t="shared" si="5"/>
        <v/>
      </c>
      <c r="AA656" s="580" t="str">
        <f t="shared" si="6"/>
        <v/>
      </c>
      <c r="AB656" s="580" t="str">
        <f t="shared" si="7"/>
        <v/>
      </c>
      <c r="AC656" s="580" t="str">
        <f t="shared" si="8"/>
        <v/>
      </c>
      <c r="AD656" s="580" t="str">
        <f t="shared" si="9"/>
        <v/>
      </c>
      <c r="AE656" s="580" t="str">
        <f t="shared" si="10"/>
        <v/>
      </c>
      <c r="AF656" s="580" t="str">
        <f t="shared" si="11"/>
        <v/>
      </c>
      <c r="AG656" s="580" t="str">
        <f t="shared" si="12"/>
        <v/>
      </c>
      <c r="AH656" s="580" t="str">
        <f t="shared" si="13"/>
        <v/>
      </c>
      <c r="AI656" s="580" t="str">
        <f t="shared" si="14"/>
        <v/>
      </c>
      <c r="AJ656" s="580" t="str">
        <f t="shared" si="15"/>
        <v/>
      </c>
      <c r="AK656" s="580" t="str">
        <f t="shared" si="16"/>
        <v/>
      </c>
      <c r="AL656" s="580" t="str">
        <f t="shared" si="17"/>
        <v/>
      </c>
      <c r="AM656" s="580" t="str">
        <f t="shared" si="18"/>
        <v/>
      </c>
      <c r="AN656" s="580" t="str">
        <f t="shared" si="19"/>
        <v/>
      </c>
      <c r="AO656" s="580" t="str">
        <f t="shared" si="20"/>
        <v/>
      </c>
      <c r="AP656" s="580" t="str">
        <f t="shared" si="173"/>
        <v/>
      </c>
      <c r="AQ656" s="580" t="str">
        <f t="shared" si="174"/>
        <v/>
      </c>
      <c r="AR656" s="580" t="str">
        <f t="shared" si="175"/>
        <v/>
      </c>
      <c r="AS656" s="580" t="str">
        <f t="shared" si="176"/>
        <v/>
      </c>
      <c r="AT656" s="580" t="str">
        <f t="shared" si="177"/>
        <v/>
      </c>
      <c r="AU656" s="580" t="str">
        <f t="shared" si="178"/>
        <v/>
      </c>
      <c r="AV656" s="580" t="str">
        <f t="shared" si="179"/>
        <v/>
      </c>
      <c r="AW656" s="580" t="str">
        <f t="shared" si="180"/>
        <v/>
      </c>
      <c r="AX656" s="580" t="str">
        <f t="shared" si="181"/>
        <v/>
      </c>
      <c r="AY656" s="580" t="str">
        <f t="shared" si="182"/>
        <v/>
      </c>
      <c r="AZ656" s="580" t="str">
        <f t="shared" si="183"/>
        <v/>
      </c>
      <c r="BA656" s="580" t="str">
        <f t="shared" si="184"/>
        <v/>
      </c>
      <c r="BB656" s="580" t="str">
        <f t="shared" si="185"/>
        <v/>
      </c>
      <c r="BC656" s="580" t="str">
        <f t="shared" si="186"/>
        <v/>
      </c>
      <c r="BD656" s="580" t="str">
        <f t="shared" si="187"/>
        <v/>
      </c>
      <c r="BE656" s="580" t="str">
        <f t="shared" si="188"/>
        <v/>
      </c>
      <c r="BF656" s="580" t="str">
        <f t="shared" si="189"/>
        <v/>
      </c>
      <c r="BG656" s="580" t="str">
        <f t="shared" si="190"/>
        <v/>
      </c>
      <c r="BH656" s="580" t="str">
        <f t="shared" si="191"/>
        <v/>
      </c>
      <c r="BI656" s="580" t="str">
        <f t="shared" si="192"/>
        <v/>
      </c>
      <c r="BJ656" s="580" t="str">
        <f t="shared" si="193"/>
        <v/>
      </c>
      <c r="BK656" s="580" t="str">
        <f t="shared" si="194"/>
        <v/>
      </c>
      <c r="BL656" s="580" t="str">
        <f t="shared" si="195"/>
        <v/>
      </c>
      <c r="BM656" s="580" t="str">
        <f t="shared" si="196"/>
        <v/>
      </c>
      <c r="BN656" s="580" t="str">
        <f t="shared" si="197"/>
        <v/>
      </c>
      <c r="BO656" s="580" t="str">
        <f t="shared" si="198"/>
        <v/>
      </c>
      <c r="BP656" s="580" t="str">
        <f t="shared" si="199"/>
        <v/>
      </c>
      <c r="BQ656" s="580" t="str">
        <f t="shared" si="200"/>
        <v/>
      </c>
      <c r="BR656" s="580" t="str">
        <f t="shared" si="201"/>
        <v/>
      </c>
      <c r="BS656" s="580" t="str">
        <f t="shared" si="202"/>
        <v/>
      </c>
      <c r="BT656" s="580" t="str">
        <f t="shared" si="21"/>
        <v/>
      </c>
      <c r="BU656" s="580" t="str">
        <f t="shared" si="22"/>
        <v/>
      </c>
      <c r="BV656" s="580" t="str">
        <f t="shared" si="23"/>
        <v/>
      </c>
      <c r="BW656" s="580" t="str">
        <f t="shared" si="24"/>
        <v/>
      </c>
      <c r="BX656" s="580" t="str">
        <f t="shared" si="25"/>
        <v/>
      </c>
      <c r="BY656" s="580" t="str">
        <f t="shared" si="26"/>
        <v/>
      </c>
      <c r="BZ656" s="580" t="str">
        <f t="shared" si="27"/>
        <v/>
      </c>
      <c r="CA656" s="580" t="str">
        <f t="shared" si="28"/>
        <v/>
      </c>
      <c r="CB656" s="580" t="str">
        <f t="shared" si="29"/>
        <v/>
      </c>
      <c r="CC656" s="580" t="str">
        <f t="shared" si="30"/>
        <v/>
      </c>
      <c r="CD656" s="580" t="str">
        <f t="shared" si="31"/>
        <v/>
      </c>
      <c r="CE656" s="580" t="str">
        <f t="shared" si="32"/>
        <v/>
      </c>
      <c r="CF656" s="580" t="str">
        <f t="shared" si="33"/>
        <v/>
      </c>
      <c r="CG656" s="580" t="str">
        <f t="shared" si="34"/>
        <v/>
      </c>
      <c r="CH656" s="580" t="str">
        <f t="shared" si="35"/>
        <v/>
      </c>
      <c r="CI656" s="580" t="str">
        <f t="shared" si="36"/>
        <v/>
      </c>
      <c r="CJ656" s="580" t="str">
        <f t="shared" si="37"/>
        <v/>
      </c>
      <c r="CK656" s="580" t="str">
        <f t="shared" si="38"/>
        <v/>
      </c>
      <c r="CL656" s="580" t="str">
        <f t="shared" si="39"/>
        <v/>
      </c>
      <c r="CM656" s="580" t="str">
        <f t="shared" si="40"/>
        <v/>
      </c>
      <c r="CN656" s="580" t="str">
        <f t="shared" si="41"/>
        <v/>
      </c>
      <c r="CO656" s="580" t="str">
        <f t="shared" si="42"/>
        <v/>
      </c>
      <c r="CP656" s="580" t="str">
        <f t="shared" si="43"/>
        <v/>
      </c>
      <c r="CQ656" s="580" t="str">
        <f t="shared" si="44"/>
        <v/>
      </c>
      <c r="CR656" s="580" t="str">
        <f t="shared" si="45"/>
        <v/>
      </c>
      <c r="CS656" s="580" t="str">
        <f t="shared" si="46"/>
        <v/>
      </c>
      <c r="CT656" s="580" t="str">
        <f t="shared" si="47"/>
        <v/>
      </c>
      <c r="CU656" s="580" t="str">
        <f t="shared" si="48"/>
        <v/>
      </c>
      <c r="CV656" s="580" t="str">
        <f t="shared" si="49"/>
        <v/>
      </c>
      <c r="CW656" s="580" t="str">
        <f t="shared" si="50"/>
        <v/>
      </c>
      <c r="CX656" s="580" t="str">
        <f t="shared" si="51"/>
        <v/>
      </c>
      <c r="CY656" s="580" t="str">
        <f t="shared" si="52"/>
        <v/>
      </c>
      <c r="CZ656" s="580" t="str">
        <f t="shared" si="53"/>
        <v/>
      </c>
      <c r="DA656" s="580" t="str">
        <f t="shared" si="54"/>
        <v/>
      </c>
      <c r="DB656" s="580" t="str">
        <f t="shared" si="55"/>
        <v/>
      </c>
      <c r="DC656" s="580" t="str">
        <f t="shared" si="56"/>
        <v/>
      </c>
      <c r="DD656" s="580" t="str">
        <f t="shared" si="57"/>
        <v/>
      </c>
      <c r="DE656" s="580" t="str">
        <f t="shared" si="58"/>
        <v/>
      </c>
      <c r="DF656" s="580" t="str">
        <f t="shared" si="59"/>
        <v/>
      </c>
      <c r="DG656" s="580" t="str">
        <f t="shared" si="60"/>
        <v/>
      </c>
      <c r="DH656" s="580" t="str">
        <f t="shared" si="61"/>
        <v/>
      </c>
      <c r="DI656" s="580" t="str">
        <f t="shared" si="62"/>
        <v/>
      </c>
      <c r="DJ656" s="580" t="str">
        <f t="shared" si="63"/>
        <v/>
      </c>
      <c r="DK656" s="580" t="str">
        <f t="shared" si="64"/>
        <v/>
      </c>
      <c r="DL656" s="580" t="str">
        <f t="shared" si="65"/>
        <v/>
      </c>
      <c r="DM656" s="580" t="str">
        <f t="shared" si="66"/>
        <v/>
      </c>
      <c r="DN656" s="580" t="str">
        <f t="shared" si="67"/>
        <v/>
      </c>
      <c r="DO656" s="580" t="str">
        <f t="shared" si="68"/>
        <v/>
      </c>
      <c r="DP656" s="580" t="str">
        <f t="shared" si="69"/>
        <v/>
      </c>
      <c r="DQ656" s="580" t="str">
        <f t="shared" si="70"/>
        <v/>
      </c>
      <c r="DR656" s="580" t="str">
        <f t="shared" si="71"/>
        <v/>
      </c>
      <c r="DS656" s="580" t="str">
        <f t="shared" si="72"/>
        <v/>
      </c>
      <c r="DT656" s="580" t="str">
        <f t="shared" si="73"/>
        <v/>
      </c>
      <c r="DU656" s="580" t="str">
        <f t="shared" si="74"/>
        <v/>
      </c>
      <c r="DV656" s="580" t="str">
        <f t="shared" si="75"/>
        <v/>
      </c>
      <c r="DW656" s="580" t="str">
        <f t="shared" si="76"/>
        <v/>
      </c>
      <c r="DX656" s="580" t="str">
        <f t="shared" si="77"/>
        <v/>
      </c>
      <c r="DY656" s="580" t="str">
        <f t="shared" si="78"/>
        <v/>
      </c>
      <c r="DZ656" s="580" t="str">
        <f t="shared" si="79"/>
        <v/>
      </c>
      <c r="EA656" s="580" t="str">
        <f t="shared" si="80"/>
        <v/>
      </c>
      <c r="EB656" s="580" t="str">
        <f t="shared" si="81"/>
        <v/>
      </c>
      <c r="EC656" s="580" t="str">
        <f t="shared" si="82"/>
        <v/>
      </c>
      <c r="ED656" s="580" t="str">
        <f t="shared" si="83"/>
        <v/>
      </c>
      <c r="EE656" s="580" t="str">
        <f t="shared" si="84"/>
        <v/>
      </c>
      <c r="EF656" s="580" t="str">
        <f t="shared" si="85"/>
        <v/>
      </c>
      <c r="EG656" s="580" t="str">
        <f t="shared" si="86"/>
        <v/>
      </c>
      <c r="EH656" s="580" t="str">
        <f t="shared" si="87"/>
        <v/>
      </c>
      <c r="EI656" s="580" t="str">
        <f t="shared" si="88"/>
        <v/>
      </c>
      <c r="EJ656" s="580" t="str">
        <f t="shared" si="89"/>
        <v/>
      </c>
      <c r="EK656" s="580" t="str">
        <f t="shared" si="90"/>
        <v/>
      </c>
      <c r="EL656" s="580" t="str">
        <f t="shared" si="91"/>
        <v/>
      </c>
      <c r="EM656" s="580" t="str">
        <f t="shared" si="92"/>
        <v/>
      </c>
      <c r="EN656" s="580" t="str">
        <f t="shared" si="93"/>
        <v/>
      </c>
      <c r="EO656" s="580" t="str">
        <f t="shared" si="94"/>
        <v/>
      </c>
      <c r="EP656" s="580" t="str">
        <f t="shared" si="95"/>
        <v/>
      </c>
      <c r="EQ656" s="580" t="str">
        <f t="shared" si="96"/>
        <v/>
      </c>
      <c r="ER656" s="580" t="str">
        <f t="shared" si="97"/>
        <v/>
      </c>
      <c r="ES656" s="580" t="str">
        <f t="shared" si="98"/>
        <v/>
      </c>
      <c r="ET656" s="580" t="str">
        <f t="shared" si="99"/>
        <v/>
      </c>
      <c r="EU656" s="580" t="str">
        <f t="shared" si="100"/>
        <v/>
      </c>
      <c r="EV656" s="785" t="str">
        <f t="shared" si="101"/>
        <v/>
      </c>
      <c r="EW656" s="785" t="str">
        <f t="shared" si="102"/>
        <v/>
      </c>
      <c r="EX656" s="785" t="str">
        <f t="shared" si="103"/>
        <v/>
      </c>
      <c r="EY656" s="785" t="str">
        <f t="shared" si="104"/>
        <v/>
      </c>
      <c r="EZ656" s="785" t="str">
        <f t="shared" si="105"/>
        <v/>
      </c>
      <c r="FA656" s="785" t="str">
        <f t="shared" si="106"/>
        <v/>
      </c>
      <c r="FB656" s="785" t="str">
        <f t="shared" si="107"/>
        <v/>
      </c>
      <c r="FC656" s="785" t="str">
        <f t="shared" si="108"/>
        <v/>
      </c>
      <c r="FD656" s="785" t="str">
        <f t="shared" si="109"/>
        <v/>
      </c>
      <c r="FE656" s="785" t="str">
        <f t="shared" si="110"/>
        <v/>
      </c>
      <c r="FF656" s="785" t="str">
        <f t="shared" si="111"/>
        <v/>
      </c>
      <c r="FG656" s="785" t="str">
        <f t="shared" si="112"/>
        <v/>
      </c>
      <c r="FH656" s="785" t="str">
        <f t="shared" si="113"/>
        <v/>
      </c>
      <c r="FI656" s="785" t="str">
        <f t="shared" si="114"/>
        <v/>
      </c>
      <c r="FJ656" s="785" t="str">
        <f t="shared" si="115"/>
        <v/>
      </c>
      <c r="FK656" s="785" t="str">
        <f t="shared" si="116"/>
        <v/>
      </c>
      <c r="FL656" s="785" t="str">
        <f t="shared" si="117"/>
        <v/>
      </c>
      <c r="FM656" s="785" t="str">
        <f t="shared" si="118"/>
        <v/>
      </c>
      <c r="FN656" s="785" t="str">
        <f t="shared" si="119"/>
        <v/>
      </c>
      <c r="FO656" s="785" t="str">
        <f t="shared" si="120"/>
        <v/>
      </c>
      <c r="FP656" s="785" t="str">
        <f t="shared" si="121"/>
        <v/>
      </c>
      <c r="FQ656" s="785" t="str">
        <f t="shared" si="122"/>
        <v/>
      </c>
      <c r="FR656" s="785" t="str">
        <f t="shared" si="123"/>
        <v/>
      </c>
      <c r="FS656" s="785" t="str">
        <f t="shared" si="124"/>
        <v/>
      </c>
      <c r="FT656" s="785" t="str">
        <f t="shared" si="125"/>
        <v/>
      </c>
      <c r="FU656" s="785" t="str">
        <f t="shared" si="126"/>
        <v/>
      </c>
      <c r="FV656" s="785" t="str">
        <f t="shared" si="127"/>
        <v/>
      </c>
      <c r="FW656" s="785" t="str">
        <f t="shared" si="128"/>
        <v/>
      </c>
      <c r="FX656" s="785" t="str">
        <f t="shared" si="129"/>
        <v/>
      </c>
      <c r="FY656" s="785" t="str">
        <f t="shared" si="130"/>
        <v/>
      </c>
      <c r="FZ656" s="785" t="str">
        <f t="shared" si="131"/>
        <v/>
      </c>
      <c r="GA656" s="785" t="str">
        <f t="shared" si="132"/>
        <v/>
      </c>
      <c r="GB656" s="785" t="str">
        <f t="shared" si="133"/>
        <v/>
      </c>
      <c r="GC656" s="785" t="str">
        <f t="shared" si="134"/>
        <v/>
      </c>
      <c r="GD656" s="785" t="str">
        <f t="shared" si="135"/>
        <v/>
      </c>
      <c r="GE656" s="785" t="str">
        <f t="shared" si="136"/>
        <v/>
      </c>
      <c r="GF656" s="785" t="str">
        <f t="shared" si="137"/>
        <v/>
      </c>
      <c r="GG656" s="785" t="str">
        <f t="shared" si="138"/>
        <v/>
      </c>
      <c r="GH656" s="785" t="str">
        <f t="shared" si="139"/>
        <v/>
      </c>
      <c r="GI656" s="785" t="str">
        <f t="shared" si="140"/>
        <v/>
      </c>
      <c r="GJ656" s="785" t="str">
        <f t="shared" si="141"/>
        <v/>
      </c>
      <c r="GK656" s="785" t="str">
        <f t="shared" si="142"/>
        <v/>
      </c>
      <c r="GL656" s="785" t="str">
        <f t="shared" si="143"/>
        <v/>
      </c>
      <c r="GM656" s="785" t="str">
        <f t="shared" si="144"/>
        <v/>
      </c>
      <c r="GN656" s="785" t="str">
        <f t="shared" si="145"/>
        <v/>
      </c>
      <c r="GO656" s="786" t="str">
        <f t="shared" si="146"/>
        <v/>
      </c>
      <c r="GP656" s="786" t="str">
        <f t="shared" si="147"/>
        <v/>
      </c>
      <c r="GQ656" s="786" t="str">
        <f t="shared" si="148"/>
        <v/>
      </c>
      <c r="GR656" s="786" t="str">
        <f t="shared" si="149"/>
        <v/>
      </c>
      <c r="GS656" s="786" t="str">
        <f t="shared" si="150"/>
        <v/>
      </c>
      <c r="GT656" s="580" t="str">
        <f t="shared" si="151"/>
        <v/>
      </c>
      <c r="GU656" s="580" t="str">
        <f t="shared" si="152"/>
        <v/>
      </c>
      <c r="GV656" s="580" t="str">
        <f t="shared" si="153"/>
        <v/>
      </c>
      <c r="GW656" s="580" t="str">
        <f t="shared" si="154"/>
        <v/>
      </c>
      <c r="GX656" s="580" t="str">
        <f t="shared" si="155"/>
        <v/>
      </c>
      <c r="GY656" s="580" t="str">
        <f t="shared" si="156"/>
        <v/>
      </c>
      <c r="GZ656" s="580" t="str">
        <f t="shared" si="157"/>
        <v/>
      </c>
      <c r="HA656" s="580" t="str">
        <f t="shared" si="158"/>
        <v/>
      </c>
      <c r="HB656" s="580" t="str">
        <f t="shared" si="159"/>
        <v/>
      </c>
      <c r="HC656" s="580" t="str">
        <f t="shared" si="160"/>
        <v/>
      </c>
      <c r="HD656" s="580" t="str">
        <f t="shared" si="161"/>
        <v/>
      </c>
      <c r="HE656" s="580" t="str">
        <f t="shared" si="162"/>
        <v/>
      </c>
      <c r="HF656" s="580" t="str">
        <f t="shared" si="163"/>
        <v/>
      </c>
      <c r="HG656" s="580" t="str">
        <f t="shared" si="164"/>
        <v/>
      </c>
      <c r="HH656" s="580" t="str">
        <f t="shared" si="165"/>
        <v/>
      </c>
      <c r="HI656" s="580" t="str">
        <f t="shared" si="166"/>
        <v/>
      </c>
      <c r="HJ656" s="580" t="str">
        <f t="shared" si="167"/>
        <v/>
      </c>
      <c r="HK656" s="580" t="str">
        <f t="shared" si="168"/>
        <v/>
      </c>
      <c r="HL656" s="580" t="str">
        <f t="shared" si="169"/>
        <v/>
      </c>
      <c r="HM656" s="580" t="str">
        <f t="shared" si="170"/>
        <v/>
      </c>
    </row>
    <row r="657" spans="1:221" ht="13.15" customHeight="1">
      <c r="A657" s="888" t="str">
        <f t="shared" si="171"/>
        <v/>
      </c>
      <c r="B657" s="1054" t="str">
        <f>'Part VI-Revenues &amp; Expenses'!B23</f>
        <v>&lt;&lt;Select&gt;&gt;</v>
      </c>
      <c r="C657" s="1055">
        <f>'Part VI-Revenues &amp; Expenses'!C23</f>
        <v>0</v>
      </c>
      <c r="D657" s="1056">
        <f>'Part VI-Revenues &amp; Expenses'!D23</f>
        <v>0</v>
      </c>
      <c r="E657" s="1057">
        <f>'Part VI-Revenues &amp; Expenses'!E23</f>
        <v>0</v>
      </c>
      <c r="F657" s="1057">
        <f>'Part VI-Revenues &amp; Expenses'!F23</f>
        <v>0</v>
      </c>
      <c r="G657" s="1057">
        <f>'Part VI-Revenues &amp; Expenses'!G23</f>
        <v>0</v>
      </c>
      <c r="H657" s="1057">
        <f>'Part VI-Revenues &amp; Expenses'!H23</f>
        <v>0</v>
      </c>
      <c r="I657" s="1057">
        <f>'Part VI-Revenues &amp; Expenses'!I23</f>
        <v>0</v>
      </c>
      <c r="J657" s="818">
        <f>'Part VI-Revenues &amp; Expenses'!J23</f>
        <v>0</v>
      </c>
      <c r="K657" s="893">
        <f t="shared" si="172"/>
        <v>0</v>
      </c>
      <c r="L657" s="893">
        <f t="shared" si="0"/>
        <v>0</v>
      </c>
      <c r="M657" s="783">
        <f>'Part VI-Revenues &amp; Expenses'!M23</f>
        <v>0</v>
      </c>
      <c r="N657" s="783">
        <f>'Part VI-Revenues &amp; Expenses'!N23</f>
        <v>0</v>
      </c>
      <c r="O657" s="783">
        <f>'Part VI-Revenues &amp; Expenses'!O23</f>
        <v>0</v>
      </c>
      <c r="P657" s="894">
        <f t="shared" si="203"/>
        <v>0</v>
      </c>
      <c r="Q657" s="895" t="str">
        <f>'Part VI-Revenues &amp; Expenses'!Q23</f>
        <v/>
      </c>
      <c r="R657" s="894"/>
      <c r="S657" s="895"/>
      <c r="T657" s="2130"/>
      <c r="U657" s="2130"/>
      <c r="V657" s="580" t="str">
        <f t="shared" si="1"/>
        <v/>
      </c>
      <c r="W657" s="580" t="str">
        <f t="shared" si="2"/>
        <v/>
      </c>
      <c r="X657" s="580" t="str">
        <f t="shared" si="3"/>
        <v/>
      </c>
      <c r="Y657" s="580" t="str">
        <f t="shared" si="4"/>
        <v/>
      </c>
      <c r="Z657" s="580" t="str">
        <f t="shared" si="5"/>
        <v/>
      </c>
      <c r="AA657" s="580" t="str">
        <f t="shared" si="6"/>
        <v/>
      </c>
      <c r="AB657" s="580" t="str">
        <f t="shared" si="7"/>
        <v/>
      </c>
      <c r="AC657" s="580" t="str">
        <f t="shared" si="8"/>
        <v/>
      </c>
      <c r="AD657" s="580" t="str">
        <f t="shared" si="9"/>
        <v/>
      </c>
      <c r="AE657" s="580" t="str">
        <f t="shared" si="10"/>
        <v/>
      </c>
      <c r="AF657" s="580" t="str">
        <f t="shared" si="11"/>
        <v/>
      </c>
      <c r="AG657" s="580" t="str">
        <f t="shared" si="12"/>
        <v/>
      </c>
      <c r="AH657" s="580" t="str">
        <f t="shared" si="13"/>
        <v/>
      </c>
      <c r="AI657" s="580" t="str">
        <f t="shared" si="14"/>
        <v/>
      </c>
      <c r="AJ657" s="580" t="str">
        <f t="shared" si="15"/>
        <v/>
      </c>
      <c r="AK657" s="580" t="str">
        <f t="shared" si="16"/>
        <v/>
      </c>
      <c r="AL657" s="580" t="str">
        <f t="shared" si="17"/>
        <v/>
      </c>
      <c r="AM657" s="580" t="str">
        <f t="shared" si="18"/>
        <v/>
      </c>
      <c r="AN657" s="580" t="str">
        <f t="shared" si="19"/>
        <v/>
      </c>
      <c r="AO657" s="580" t="str">
        <f t="shared" si="20"/>
        <v/>
      </c>
      <c r="AP657" s="580" t="str">
        <f t="shared" si="173"/>
        <v/>
      </c>
      <c r="AQ657" s="580" t="str">
        <f t="shared" si="174"/>
        <v/>
      </c>
      <c r="AR657" s="580" t="str">
        <f t="shared" si="175"/>
        <v/>
      </c>
      <c r="AS657" s="580" t="str">
        <f t="shared" si="176"/>
        <v/>
      </c>
      <c r="AT657" s="580" t="str">
        <f t="shared" si="177"/>
        <v/>
      </c>
      <c r="AU657" s="580" t="str">
        <f t="shared" si="178"/>
        <v/>
      </c>
      <c r="AV657" s="580" t="str">
        <f t="shared" si="179"/>
        <v/>
      </c>
      <c r="AW657" s="580" t="str">
        <f t="shared" si="180"/>
        <v/>
      </c>
      <c r="AX657" s="580" t="str">
        <f t="shared" si="181"/>
        <v/>
      </c>
      <c r="AY657" s="580" t="str">
        <f t="shared" si="182"/>
        <v/>
      </c>
      <c r="AZ657" s="580" t="str">
        <f t="shared" si="183"/>
        <v/>
      </c>
      <c r="BA657" s="580" t="str">
        <f t="shared" si="184"/>
        <v/>
      </c>
      <c r="BB657" s="580" t="str">
        <f t="shared" si="185"/>
        <v/>
      </c>
      <c r="BC657" s="580" t="str">
        <f t="shared" si="186"/>
        <v/>
      </c>
      <c r="BD657" s="580" t="str">
        <f t="shared" si="187"/>
        <v/>
      </c>
      <c r="BE657" s="580" t="str">
        <f t="shared" si="188"/>
        <v/>
      </c>
      <c r="BF657" s="580" t="str">
        <f t="shared" si="189"/>
        <v/>
      </c>
      <c r="BG657" s="580" t="str">
        <f t="shared" si="190"/>
        <v/>
      </c>
      <c r="BH657" s="580" t="str">
        <f t="shared" si="191"/>
        <v/>
      </c>
      <c r="BI657" s="580" t="str">
        <f t="shared" si="192"/>
        <v/>
      </c>
      <c r="BJ657" s="580" t="str">
        <f t="shared" si="193"/>
        <v/>
      </c>
      <c r="BK657" s="580" t="str">
        <f t="shared" si="194"/>
        <v/>
      </c>
      <c r="BL657" s="580" t="str">
        <f t="shared" si="195"/>
        <v/>
      </c>
      <c r="BM657" s="580" t="str">
        <f t="shared" si="196"/>
        <v/>
      </c>
      <c r="BN657" s="580" t="str">
        <f t="shared" si="197"/>
        <v/>
      </c>
      <c r="BO657" s="580" t="str">
        <f t="shared" si="198"/>
        <v/>
      </c>
      <c r="BP657" s="580" t="str">
        <f t="shared" si="199"/>
        <v/>
      </c>
      <c r="BQ657" s="580" t="str">
        <f t="shared" si="200"/>
        <v/>
      </c>
      <c r="BR657" s="580" t="str">
        <f t="shared" si="201"/>
        <v/>
      </c>
      <c r="BS657" s="580" t="str">
        <f t="shared" si="202"/>
        <v/>
      </c>
      <c r="BT657" s="580" t="str">
        <f t="shared" si="21"/>
        <v/>
      </c>
      <c r="BU657" s="580" t="str">
        <f t="shared" si="22"/>
        <v/>
      </c>
      <c r="BV657" s="580" t="str">
        <f t="shared" si="23"/>
        <v/>
      </c>
      <c r="BW657" s="580" t="str">
        <f t="shared" si="24"/>
        <v/>
      </c>
      <c r="BX657" s="580" t="str">
        <f t="shared" si="25"/>
        <v/>
      </c>
      <c r="BY657" s="580" t="str">
        <f t="shared" si="26"/>
        <v/>
      </c>
      <c r="BZ657" s="580" t="str">
        <f t="shared" si="27"/>
        <v/>
      </c>
      <c r="CA657" s="580" t="str">
        <f t="shared" si="28"/>
        <v/>
      </c>
      <c r="CB657" s="580" t="str">
        <f t="shared" si="29"/>
        <v/>
      </c>
      <c r="CC657" s="580" t="str">
        <f t="shared" si="30"/>
        <v/>
      </c>
      <c r="CD657" s="580" t="str">
        <f t="shared" si="31"/>
        <v/>
      </c>
      <c r="CE657" s="580" t="str">
        <f t="shared" si="32"/>
        <v/>
      </c>
      <c r="CF657" s="580" t="str">
        <f t="shared" si="33"/>
        <v/>
      </c>
      <c r="CG657" s="580" t="str">
        <f t="shared" si="34"/>
        <v/>
      </c>
      <c r="CH657" s="580" t="str">
        <f t="shared" si="35"/>
        <v/>
      </c>
      <c r="CI657" s="580" t="str">
        <f t="shared" si="36"/>
        <v/>
      </c>
      <c r="CJ657" s="580" t="str">
        <f t="shared" si="37"/>
        <v/>
      </c>
      <c r="CK657" s="580" t="str">
        <f t="shared" si="38"/>
        <v/>
      </c>
      <c r="CL657" s="580" t="str">
        <f t="shared" si="39"/>
        <v/>
      </c>
      <c r="CM657" s="580" t="str">
        <f t="shared" si="40"/>
        <v/>
      </c>
      <c r="CN657" s="580" t="str">
        <f t="shared" si="41"/>
        <v/>
      </c>
      <c r="CO657" s="580" t="str">
        <f t="shared" si="42"/>
        <v/>
      </c>
      <c r="CP657" s="580" t="str">
        <f t="shared" si="43"/>
        <v/>
      </c>
      <c r="CQ657" s="580" t="str">
        <f t="shared" si="44"/>
        <v/>
      </c>
      <c r="CR657" s="580" t="str">
        <f t="shared" si="45"/>
        <v/>
      </c>
      <c r="CS657" s="580" t="str">
        <f t="shared" si="46"/>
        <v/>
      </c>
      <c r="CT657" s="580" t="str">
        <f t="shared" si="47"/>
        <v/>
      </c>
      <c r="CU657" s="580" t="str">
        <f t="shared" si="48"/>
        <v/>
      </c>
      <c r="CV657" s="580" t="str">
        <f t="shared" si="49"/>
        <v/>
      </c>
      <c r="CW657" s="580" t="str">
        <f t="shared" si="50"/>
        <v/>
      </c>
      <c r="CX657" s="580" t="str">
        <f t="shared" si="51"/>
        <v/>
      </c>
      <c r="CY657" s="580" t="str">
        <f t="shared" si="52"/>
        <v/>
      </c>
      <c r="CZ657" s="580" t="str">
        <f t="shared" si="53"/>
        <v/>
      </c>
      <c r="DA657" s="580" t="str">
        <f t="shared" si="54"/>
        <v/>
      </c>
      <c r="DB657" s="580" t="str">
        <f t="shared" si="55"/>
        <v/>
      </c>
      <c r="DC657" s="580" t="str">
        <f t="shared" si="56"/>
        <v/>
      </c>
      <c r="DD657" s="580" t="str">
        <f t="shared" si="57"/>
        <v/>
      </c>
      <c r="DE657" s="580" t="str">
        <f t="shared" si="58"/>
        <v/>
      </c>
      <c r="DF657" s="580" t="str">
        <f t="shared" si="59"/>
        <v/>
      </c>
      <c r="DG657" s="580" t="str">
        <f t="shared" si="60"/>
        <v/>
      </c>
      <c r="DH657" s="580" t="str">
        <f t="shared" si="61"/>
        <v/>
      </c>
      <c r="DI657" s="580" t="str">
        <f t="shared" si="62"/>
        <v/>
      </c>
      <c r="DJ657" s="580" t="str">
        <f t="shared" si="63"/>
        <v/>
      </c>
      <c r="DK657" s="580" t="str">
        <f t="shared" si="64"/>
        <v/>
      </c>
      <c r="DL657" s="580" t="str">
        <f t="shared" si="65"/>
        <v/>
      </c>
      <c r="DM657" s="580" t="str">
        <f t="shared" si="66"/>
        <v/>
      </c>
      <c r="DN657" s="580" t="str">
        <f t="shared" si="67"/>
        <v/>
      </c>
      <c r="DO657" s="580" t="str">
        <f t="shared" si="68"/>
        <v/>
      </c>
      <c r="DP657" s="580" t="str">
        <f t="shared" si="69"/>
        <v/>
      </c>
      <c r="DQ657" s="580" t="str">
        <f t="shared" si="70"/>
        <v/>
      </c>
      <c r="DR657" s="580" t="str">
        <f t="shared" si="71"/>
        <v/>
      </c>
      <c r="DS657" s="580" t="str">
        <f t="shared" si="72"/>
        <v/>
      </c>
      <c r="DT657" s="580" t="str">
        <f t="shared" si="73"/>
        <v/>
      </c>
      <c r="DU657" s="580" t="str">
        <f t="shared" si="74"/>
        <v/>
      </c>
      <c r="DV657" s="580" t="str">
        <f t="shared" si="75"/>
        <v/>
      </c>
      <c r="DW657" s="580" t="str">
        <f t="shared" si="76"/>
        <v/>
      </c>
      <c r="DX657" s="580" t="str">
        <f t="shared" si="77"/>
        <v/>
      </c>
      <c r="DY657" s="580" t="str">
        <f t="shared" si="78"/>
        <v/>
      </c>
      <c r="DZ657" s="580" t="str">
        <f t="shared" si="79"/>
        <v/>
      </c>
      <c r="EA657" s="580" t="str">
        <f t="shared" si="80"/>
        <v/>
      </c>
      <c r="EB657" s="580" t="str">
        <f t="shared" si="81"/>
        <v/>
      </c>
      <c r="EC657" s="580" t="str">
        <f t="shared" si="82"/>
        <v/>
      </c>
      <c r="ED657" s="580" t="str">
        <f t="shared" si="83"/>
        <v/>
      </c>
      <c r="EE657" s="580" t="str">
        <f t="shared" si="84"/>
        <v/>
      </c>
      <c r="EF657" s="580" t="str">
        <f t="shared" si="85"/>
        <v/>
      </c>
      <c r="EG657" s="580" t="str">
        <f t="shared" si="86"/>
        <v/>
      </c>
      <c r="EH657" s="580" t="str">
        <f t="shared" si="87"/>
        <v/>
      </c>
      <c r="EI657" s="580" t="str">
        <f t="shared" si="88"/>
        <v/>
      </c>
      <c r="EJ657" s="580" t="str">
        <f t="shared" si="89"/>
        <v/>
      </c>
      <c r="EK657" s="580" t="str">
        <f t="shared" si="90"/>
        <v/>
      </c>
      <c r="EL657" s="580" t="str">
        <f t="shared" si="91"/>
        <v/>
      </c>
      <c r="EM657" s="580" t="str">
        <f t="shared" si="92"/>
        <v/>
      </c>
      <c r="EN657" s="580" t="str">
        <f t="shared" si="93"/>
        <v/>
      </c>
      <c r="EO657" s="580" t="str">
        <f t="shared" si="94"/>
        <v/>
      </c>
      <c r="EP657" s="580" t="str">
        <f t="shared" si="95"/>
        <v/>
      </c>
      <c r="EQ657" s="580" t="str">
        <f t="shared" si="96"/>
        <v/>
      </c>
      <c r="ER657" s="580" t="str">
        <f t="shared" si="97"/>
        <v/>
      </c>
      <c r="ES657" s="580" t="str">
        <f t="shared" si="98"/>
        <v/>
      </c>
      <c r="ET657" s="580" t="str">
        <f t="shared" si="99"/>
        <v/>
      </c>
      <c r="EU657" s="580" t="str">
        <f t="shared" si="100"/>
        <v/>
      </c>
      <c r="EV657" s="785" t="str">
        <f t="shared" si="101"/>
        <v/>
      </c>
      <c r="EW657" s="785" t="str">
        <f t="shared" si="102"/>
        <v/>
      </c>
      <c r="EX657" s="785" t="str">
        <f t="shared" si="103"/>
        <v/>
      </c>
      <c r="EY657" s="785" t="str">
        <f t="shared" si="104"/>
        <v/>
      </c>
      <c r="EZ657" s="785" t="str">
        <f t="shared" si="105"/>
        <v/>
      </c>
      <c r="FA657" s="785" t="str">
        <f t="shared" si="106"/>
        <v/>
      </c>
      <c r="FB657" s="785" t="str">
        <f t="shared" si="107"/>
        <v/>
      </c>
      <c r="FC657" s="785" t="str">
        <f t="shared" si="108"/>
        <v/>
      </c>
      <c r="FD657" s="785" t="str">
        <f t="shared" si="109"/>
        <v/>
      </c>
      <c r="FE657" s="785" t="str">
        <f t="shared" si="110"/>
        <v/>
      </c>
      <c r="FF657" s="785" t="str">
        <f t="shared" si="111"/>
        <v/>
      </c>
      <c r="FG657" s="785" t="str">
        <f t="shared" si="112"/>
        <v/>
      </c>
      <c r="FH657" s="785" t="str">
        <f t="shared" si="113"/>
        <v/>
      </c>
      <c r="FI657" s="785" t="str">
        <f t="shared" si="114"/>
        <v/>
      </c>
      <c r="FJ657" s="785" t="str">
        <f t="shared" si="115"/>
        <v/>
      </c>
      <c r="FK657" s="785" t="str">
        <f t="shared" si="116"/>
        <v/>
      </c>
      <c r="FL657" s="785" t="str">
        <f t="shared" si="117"/>
        <v/>
      </c>
      <c r="FM657" s="785" t="str">
        <f t="shared" si="118"/>
        <v/>
      </c>
      <c r="FN657" s="785" t="str">
        <f t="shared" si="119"/>
        <v/>
      </c>
      <c r="FO657" s="785" t="str">
        <f t="shared" si="120"/>
        <v/>
      </c>
      <c r="FP657" s="785" t="str">
        <f t="shared" si="121"/>
        <v/>
      </c>
      <c r="FQ657" s="785" t="str">
        <f t="shared" si="122"/>
        <v/>
      </c>
      <c r="FR657" s="785" t="str">
        <f t="shared" si="123"/>
        <v/>
      </c>
      <c r="FS657" s="785" t="str">
        <f t="shared" si="124"/>
        <v/>
      </c>
      <c r="FT657" s="785" t="str">
        <f t="shared" si="125"/>
        <v/>
      </c>
      <c r="FU657" s="785" t="str">
        <f t="shared" si="126"/>
        <v/>
      </c>
      <c r="FV657" s="785" t="str">
        <f t="shared" si="127"/>
        <v/>
      </c>
      <c r="FW657" s="785" t="str">
        <f t="shared" si="128"/>
        <v/>
      </c>
      <c r="FX657" s="785" t="str">
        <f t="shared" si="129"/>
        <v/>
      </c>
      <c r="FY657" s="785" t="str">
        <f t="shared" si="130"/>
        <v/>
      </c>
      <c r="FZ657" s="785" t="str">
        <f t="shared" si="131"/>
        <v/>
      </c>
      <c r="GA657" s="785" t="str">
        <f t="shared" si="132"/>
        <v/>
      </c>
      <c r="GB657" s="785" t="str">
        <f t="shared" si="133"/>
        <v/>
      </c>
      <c r="GC657" s="785" t="str">
        <f t="shared" si="134"/>
        <v/>
      </c>
      <c r="GD657" s="785" t="str">
        <f t="shared" si="135"/>
        <v/>
      </c>
      <c r="GE657" s="785" t="str">
        <f t="shared" si="136"/>
        <v/>
      </c>
      <c r="GF657" s="785" t="str">
        <f t="shared" si="137"/>
        <v/>
      </c>
      <c r="GG657" s="785" t="str">
        <f t="shared" si="138"/>
        <v/>
      </c>
      <c r="GH657" s="785" t="str">
        <f t="shared" si="139"/>
        <v/>
      </c>
      <c r="GI657" s="785" t="str">
        <f t="shared" si="140"/>
        <v/>
      </c>
      <c r="GJ657" s="785" t="str">
        <f t="shared" si="141"/>
        <v/>
      </c>
      <c r="GK657" s="785" t="str">
        <f t="shared" si="142"/>
        <v/>
      </c>
      <c r="GL657" s="785" t="str">
        <f t="shared" si="143"/>
        <v/>
      </c>
      <c r="GM657" s="785" t="str">
        <f t="shared" si="144"/>
        <v/>
      </c>
      <c r="GN657" s="785" t="str">
        <f t="shared" si="145"/>
        <v/>
      </c>
      <c r="GO657" s="786" t="str">
        <f t="shared" si="146"/>
        <v/>
      </c>
      <c r="GP657" s="786" t="str">
        <f t="shared" si="147"/>
        <v/>
      </c>
      <c r="GQ657" s="786" t="str">
        <f t="shared" si="148"/>
        <v/>
      </c>
      <c r="GR657" s="786" t="str">
        <f t="shared" si="149"/>
        <v/>
      </c>
      <c r="GS657" s="786" t="str">
        <f t="shared" si="150"/>
        <v/>
      </c>
      <c r="GT657" s="580" t="str">
        <f t="shared" si="151"/>
        <v/>
      </c>
      <c r="GU657" s="580" t="str">
        <f t="shared" si="152"/>
        <v/>
      </c>
      <c r="GV657" s="580" t="str">
        <f t="shared" si="153"/>
        <v/>
      </c>
      <c r="GW657" s="580" t="str">
        <f t="shared" si="154"/>
        <v/>
      </c>
      <c r="GX657" s="580" t="str">
        <f t="shared" si="155"/>
        <v/>
      </c>
      <c r="GY657" s="580" t="str">
        <f t="shared" si="156"/>
        <v/>
      </c>
      <c r="GZ657" s="580" t="str">
        <f t="shared" si="157"/>
        <v/>
      </c>
      <c r="HA657" s="580" t="str">
        <f t="shared" si="158"/>
        <v/>
      </c>
      <c r="HB657" s="580" t="str">
        <f t="shared" si="159"/>
        <v/>
      </c>
      <c r="HC657" s="580" t="str">
        <f t="shared" si="160"/>
        <v/>
      </c>
      <c r="HD657" s="580" t="str">
        <f t="shared" si="161"/>
        <v/>
      </c>
      <c r="HE657" s="580" t="str">
        <f t="shared" si="162"/>
        <v/>
      </c>
      <c r="HF657" s="580" t="str">
        <f t="shared" si="163"/>
        <v/>
      </c>
      <c r="HG657" s="580" t="str">
        <f t="shared" si="164"/>
        <v/>
      </c>
      <c r="HH657" s="580" t="str">
        <f t="shared" si="165"/>
        <v/>
      </c>
      <c r="HI657" s="580" t="str">
        <f t="shared" si="166"/>
        <v/>
      </c>
      <c r="HJ657" s="580" t="str">
        <f t="shared" si="167"/>
        <v/>
      </c>
      <c r="HK657" s="580" t="str">
        <f t="shared" si="168"/>
        <v/>
      </c>
      <c r="HL657" s="580" t="str">
        <f t="shared" si="169"/>
        <v/>
      </c>
      <c r="HM657" s="580" t="str">
        <f t="shared" si="170"/>
        <v/>
      </c>
    </row>
    <row r="658" spans="1:221" ht="13.15" customHeight="1">
      <c r="A658" s="888" t="str">
        <f t="shared" si="171"/>
        <v/>
      </c>
      <c r="B658" s="1054" t="str">
        <f>'Part VI-Revenues &amp; Expenses'!B24</f>
        <v>&lt;&lt;Select&gt;&gt;</v>
      </c>
      <c r="C658" s="1055">
        <f>'Part VI-Revenues &amp; Expenses'!C24</f>
        <v>0</v>
      </c>
      <c r="D658" s="1056">
        <f>'Part VI-Revenues &amp; Expenses'!D24</f>
        <v>0</v>
      </c>
      <c r="E658" s="1057">
        <f>'Part VI-Revenues &amp; Expenses'!E24</f>
        <v>0</v>
      </c>
      <c r="F658" s="1057">
        <f>'Part VI-Revenues &amp; Expenses'!F24</f>
        <v>0</v>
      </c>
      <c r="G658" s="1057">
        <f>'Part VI-Revenues &amp; Expenses'!G24</f>
        <v>0</v>
      </c>
      <c r="H658" s="1057">
        <f>'Part VI-Revenues &amp; Expenses'!H24</f>
        <v>0</v>
      </c>
      <c r="I658" s="1057">
        <f>'Part VI-Revenues &amp; Expenses'!I24</f>
        <v>0</v>
      </c>
      <c r="J658" s="818">
        <f>'Part VI-Revenues &amp; Expenses'!J24</f>
        <v>0</v>
      </c>
      <c r="K658" s="893">
        <f t="shared" si="172"/>
        <v>0</v>
      </c>
      <c r="L658" s="893">
        <f t="shared" si="0"/>
        <v>0</v>
      </c>
      <c r="M658" s="783">
        <f>'Part VI-Revenues &amp; Expenses'!M24</f>
        <v>0</v>
      </c>
      <c r="N658" s="783">
        <f>'Part VI-Revenues &amp; Expenses'!N24</f>
        <v>0</v>
      </c>
      <c r="O658" s="783">
        <f>'Part VI-Revenues &amp; Expenses'!O24</f>
        <v>0</v>
      </c>
      <c r="P658" s="894">
        <f t="shared" si="203"/>
        <v>0</v>
      </c>
      <c r="Q658" s="895" t="str">
        <f>'Part VI-Revenues &amp; Expenses'!Q24</f>
        <v/>
      </c>
      <c r="R658" s="894"/>
      <c r="S658" s="895"/>
      <c r="T658" s="2130"/>
      <c r="U658" s="2130"/>
      <c r="V658" s="580" t="str">
        <f t="shared" si="1"/>
        <v/>
      </c>
      <c r="W658" s="580" t="str">
        <f t="shared" si="2"/>
        <v/>
      </c>
      <c r="X658" s="580" t="str">
        <f t="shared" si="3"/>
        <v/>
      </c>
      <c r="Y658" s="580" t="str">
        <f t="shared" si="4"/>
        <v/>
      </c>
      <c r="Z658" s="580" t="str">
        <f t="shared" si="5"/>
        <v/>
      </c>
      <c r="AA658" s="580" t="str">
        <f t="shared" si="6"/>
        <v/>
      </c>
      <c r="AB658" s="580" t="str">
        <f t="shared" si="7"/>
        <v/>
      </c>
      <c r="AC658" s="580" t="str">
        <f t="shared" si="8"/>
        <v/>
      </c>
      <c r="AD658" s="580" t="str">
        <f t="shared" si="9"/>
        <v/>
      </c>
      <c r="AE658" s="580" t="str">
        <f t="shared" si="10"/>
        <v/>
      </c>
      <c r="AF658" s="580" t="str">
        <f t="shared" si="11"/>
        <v/>
      </c>
      <c r="AG658" s="580" t="str">
        <f t="shared" si="12"/>
        <v/>
      </c>
      <c r="AH658" s="580" t="str">
        <f t="shared" si="13"/>
        <v/>
      </c>
      <c r="AI658" s="580" t="str">
        <f t="shared" si="14"/>
        <v/>
      </c>
      <c r="AJ658" s="580" t="str">
        <f t="shared" si="15"/>
        <v/>
      </c>
      <c r="AK658" s="580" t="str">
        <f t="shared" si="16"/>
        <v/>
      </c>
      <c r="AL658" s="580" t="str">
        <f t="shared" si="17"/>
        <v/>
      </c>
      <c r="AM658" s="580" t="str">
        <f t="shared" si="18"/>
        <v/>
      </c>
      <c r="AN658" s="580" t="str">
        <f t="shared" si="19"/>
        <v/>
      </c>
      <c r="AO658" s="580" t="str">
        <f t="shared" si="20"/>
        <v/>
      </c>
      <c r="AP658" s="580" t="str">
        <f t="shared" si="173"/>
        <v/>
      </c>
      <c r="AQ658" s="580" t="str">
        <f t="shared" si="174"/>
        <v/>
      </c>
      <c r="AR658" s="580" t="str">
        <f t="shared" si="175"/>
        <v/>
      </c>
      <c r="AS658" s="580" t="str">
        <f t="shared" si="176"/>
        <v/>
      </c>
      <c r="AT658" s="580" t="str">
        <f t="shared" si="177"/>
        <v/>
      </c>
      <c r="AU658" s="580" t="str">
        <f t="shared" si="178"/>
        <v/>
      </c>
      <c r="AV658" s="580" t="str">
        <f t="shared" si="179"/>
        <v/>
      </c>
      <c r="AW658" s="580" t="str">
        <f t="shared" si="180"/>
        <v/>
      </c>
      <c r="AX658" s="580" t="str">
        <f t="shared" si="181"/>
        <v/>
      </c>
      <c r="AY658" s="580" t="str">
        <f t="shared" si="182"/>
        <v/>
      </c>
      <c r="AZ658" s="580" t="str">
        <f t="shared" si="183"/>
        <v/>
      </c>
      <c r="BA658" s="580" t="str">
        <f t="shared" si="184"/>
        <v/>
      </c>
      <c r="BB658" s="580" t="str">
        <f t="shared" si="185"/>
        <v/>
      </c>
      <c r="BC658" s="580" t="str">
        <f t="shared" si="186"/>
        <v/>
      </c>
      <c r="BD658" s="580" t="str">
        <f t="shared" si="187"/>
        <v/>
      </c>
      <c r="BE658" s="580" t="str">
        <f t="shared" si="188"/>
        <v/>
      </c>
      <c r="BF658" s="580" t="str">
        <f t="shared" si="189"/>
        <v/>
      </c>
      <c r="BG658" s="580" t="str">
        <f t="shared" si="190"/>
        <v/>
      </c>
      <c r="BH658" s="580" t="str">
        <f t="shared" si="191"/>
        <v/>
      </c>
      <c r="BI658" s="580" t="str">
        <f t="shared" si="192"/>
        <v/>
      </c>
      <c r="BJ658" s="580" t="str">
        <f t="shared" si="193"/>
        <v/>
      </c>
      <c r="BK658" s="580" t="str">
        <f t="shared" si="194"/>
        <v/>
      </c>
      <c r="BL658" s="580" t="str">
        <f t="shared" si="195"/>
        <v/>
      </c>
      <c r="BM658" s="580" t="str">
        <f t="shared" si="196"/>
        <v/>
      </c>
      <c r="BN658" s="580" t="str">
        <f t="shared" si="197"/>
        <v/>
      </c>
      <c r="BO658" s="580" t="str">
        <f t="shared" si="198"/>
        <v/>
      </c>
      <c r="BP658" s="580" t="str">
        <f t="shared" si="199"/>
        <v/>
      </c>
      <c r="BQ658" s="580" t="str">
        <f t="shared" si="200"/>
        <v/>
      </c>
      <c r="BR658" s="580" t="str">
        <f t="shared" si="201"/>
        <v/>
      </c>
      <c r="BS658" s="580" t="str">
        <f t="shared" si="202"/>
        <v/>
      </c>
      <c r="BT658" s="580" t="str">
        <f t="shared" si="21"/>
        <v/>
      </c>
      <c r="BU658" s="580" t="str">
        <f t="shared" si="22"/>
        <v/>
      </c>
      <c r="BV658" s="580" t="str">
        <f t="shared" si="23"/>
        <v/>
      </c>
      <c r="BW658" s="580" t="str">
        <f t="shared" si="24"/>
        <v/>
      </c>
      <c r="BX658" s="580" t="str">
        <f t="shared" si="25"/>
        <v/>
      </c>
      <c r="BY658" s="580" t="str">
        <f t="shared" si="26"/>
        <v/>
      </c>
      <c r="BZ658" s="580" t="str">
        <f t="shared" si="27"/>
        <v/>
      </c>
      <c r="CA658" s="580" t="str">
        <f t="shared" si="28"/>
        <v/>
      </c>
      <c r="CB658" s="580" t="str">
        <f t="shared" si="29"/>
        <v/>
      </c>
      <c r="CC658" s="580" t="str">
        <f t="shared" si="30"/>
        <v/>
      </c>
      <c r="CD658" s="580" t="str">
        <f t="shared" si="31"/>
        <v/>
      </c>
      <c r="CE658" s="580" t="str">
        <f t="shared" si="32"/>
        <v/>
      </c>
      <c r="CF658" s="580" t="str">
        <f t="shared" si="33"/>
        <v/>
      </c>
      <c r="CG658" s="580" t="str">
        <f t="shared" si="34"/>
        <v/>
      </c>
      <c r="CH658" s="580" t="str">
        <f t="shared" si="35"/>
        <v/>
      </c>
      <c r="CI658" s="580" t="str">
        <f t="shared" si="36"/>
        <v/>
      </c>
      <c r="CJ658" s="580" t="str">
        <f t="shared" si="37"/>
        <v/>
      </c>
      <c r="CK658" s="580" t="str">
        <f t="shared" si="38"/>
        <v/>
      </c>
      <c r="CL658" s="580" t="str">
        <f t="shared" si="39"/>
        <v/>
      </c>
      <c r="CM658" s="580" t="str">
        <f t="shared" si="40"/>
        <v/>
      </c>
      <c r="CN658" s="580" t="str">
        <f t="shared" si="41"/>
        <v/>
      </c>
      <c r="CO658" s="580" t="str">
        <f t="shared" si="42"/>
        <v/>
      </c>
      <c r="CP658" s="580" t="str">
        <f t="shared" si="43"/>
        <v/>
      </c>
      <c r="CQ658" s="580" t="str">
        <f t="shared" si="44"/>
        <v/>
      </c>
      <c r="CR658" s="580" t="str">
        <f t="shared" si="45"/>
        <v/>
      </c>
      <c r="CS658" s="580" t="str">
        <f t="shared" si="46"/>
        <v/>
      </c>
      <c r="CT658" s="580" t="str">
        <f t="shared" si="47"/>
        <v/>
      </c>
      <c r="CU658" s="580" t="str">
        <f t="shared" si="48"/>
        <v/>
      </c>
      <c r="CV658" s="580" t="str">
        <f t="shared" si="49"/>
        <v/>
      </c>
      <c r="CW658" s="580" t="str">
        <f t="shared" si="50"/>
        <v/>
      </c>
      <c r="CX658" s="580" t="str">
        <f t="shared" si="51"/>
        <v/>
      </c>
      <c r="CY658" s="580" t="str">
        <f t="shared" si="52"/>
        <v/>
      </c>
      <c r="CZ658" s="580" t="str">
        <f t="shared" si="53"/>
        <v/>
      </c>
      <c r="DA658" s="580" t="str">
        <f t="shared" si="54"/>
        <v/>
      </c>
      <c r="DB658" s="580" t="str">
        <f t="shared" si="55"/>
        <v/>
      </c>
      <c r="DC658" s="580" t="str">
        <f t="shared" si="56"/>
        <v/>
      </c>
      <c r="DD658" s="580" t="str">
        <f t="shared" si="57"/>
        <v/>
      </c>
      <c r="DE658" s="580" t="str">
        <f t="shared" si="58"/>
        <v/>
      </c>
      <c r="DF658" s="580" t="str">
        <f t="shared" si="59"/>
        <v/>
      </c>
      <c r="DG658" s="580" t="str">
        <f t="shared" si="60"/>
        <v/>
      </c>
      <c r="DH658" s="580" t="str">
        <f t="shared" si="61"/>
        <v/>
      </c>
      <c r="DI658" s="580" t="str">
        <f t="shared" si="62"/>
        <v/>
      </c>
      <c r="DJ658" s="580" t="str">
        <f t="shared" si="63"/>
        <v/>
      </c>
      <c r="DK658" s="580" t="str">
        <f t="shared" si="64"/>
        <v/>
      </c>
      <c r="DL658" s="580" t="str">
        <f t="shared" si="65"/>
        <v/>
      </c>
      <c r="DM658" s="580" t="str">
        <f t="shared" si="66"/>
        <v/>
      </c>
      <c r="DN658" s="580" t="str">
        <f t="shared" si="67"/>
        <v/>
      </c>
      <c r="DO658" s="580" t="str">
        <f t="shared" si="68"/>
        <v/>
      </c>
      <c r="DP658" s="580" t="str">
        <f t="shared" si="69"/>
        <v/>
      </c>
      <c r="DQ658" s="580" t="str">
        <f t="shared" si="70"/>
        <v/>
      </c>
      <c r="DR658" s="580" t="str">
        <f t="shared" si="71"/>
        <v/>
      </c>
      <c r="DS658" s="580" t="str">
        <f t="shared" si="72"/>
        <v/>
      </c>
      <c r="DT658" s="580" t="str">
        <f t="shared" si="73"/>
        <v/>
      </c>
      <c r="DU658" s="580" t="str">
        <f t="shared" si="74"/>
        <v/>
      </c>
      <c r="DV658" s="580" t="str">
        <f t="shared" si="75"/>
        <v/>
      </c>
      <c r="DW658" s="580" t="str">
        <f t="shared" si="76"/>
        <v/>
      </c>
      <c r="DX658" s="580" t="str">
        <f t="shared" si="77"/>
        <v/>
      </c>
      <c r="DY658" s="580" t="str">
        <f t="shared" si="78"/>
        <v/>
      </c>
      <c r="DZ658" s="580" t="str">
        <f t="shared" si="79"/>
        <v/>
      </c>
      <c r="EA658" s="580" t="str">
        <f t="shared" si="80"/>
        <v/>
      </c>
      <c r="EB658" s="580" t="str">
        <f t="shared" si="81"/>
        <v/>
      </c>
      <c r="EC658" s="580" t="str">
        <f t="shared" si="82"/>
        <v/>
      </c>
      <c r="ED658" s="580" t="str">
        <f t="shared" si="83"/>
        <v/>
      </c>
      <c r="EE658" s="580" t="str">
        <f t="shared" si="84"/>
        <v/>
      </c>
      <c r="EF658" s="580" t="str">
        <f t="shared" si="85"/>
        <v/>
      </c>
      <c r="EG658" s="580" t="str">
        <f t="shared" si="86"/>
        <v/>
      </c>
      <c r="EH658" s="580" t="str">
        <f t="shared" si="87"/>
        <v/>
      </c>
      <c r="EI658" s="580" t="str">
        <f t="shared" si="88"/>
        <v/>
      </c>
      <c r="EJ658" s="580" t="str">
        <f t="shared" si="89"/>
        <v/>
      </c>
      <c r="EK658" s="580" t="str">
        <f t="shared" si="90"/>
        <v/>
      </c>
      <c r="EL658" s="580" t="str">
        <f t="shared" si="91"/>
        <v/>
      </c>
      <c r="EM658" s="580" t="str">
        <f t="shared" si="92"/>
        <v/>
      </c>
      <c r="EN658" s="580" t="str">
        <f t="shared" si="93"/>
        <v/>
      </c>
      <c r="EO658" s="580" t="str">
        <f t="shared" si="94"/>
        <v/>
      </c>
      <c r="EP658" s="580" t="str">
        <f t="shared" si="95"/>
        <v/>
      </c>
      <c r="EQ658" s="580" t="str">
        <f t="shared" si="96"/>
        <v/>
      </c>
      <c r="ER658" s="580" t="str">
        <f t="shared" si="97"/>
        <v/>
      </c>
      <c r="ES658" s="580" t="str">
        <f t="shared" si="98"/>
        <v/>
      </c>
      <c r="ET658" s="580" t="str">
        <f t="shared" si="99"/>
        <v/>
      </c>
      <c r="EU658" s="580" t="str">
        <f t="shared" si="100"/>
        <v/>
      </c>
      <c r="EV658" s="785" t="str">
        <f t="shared" si="101"/>
        <v/>
      </c>
      <c r="EW658" s="785" t="str">
        <f t="shared" si="102"/>
        <v/>
      </c>
      <c r="EX658" s="785" t="str">
        <f t="shared" si="103"/>
        <v/>
      </c>
      <c r="EY658" s="785" t="str">
        <f t="shared" si="104"/>
        <v/>
      </c>
      <c r="EZ658" s="785" t="str">
        <f t="shared" si="105"/>
        <v/>
      </c>
      <c r="FA658" s="785" t="str">
        <f t="shared" si="106"/>
        <v/>
      </c>
      <c r="FB658" s="785" t="str">
        <f t="shared" si="107"/>
        <v/>
      </c>
      <c r="FC658" s="785" t="str">
        <f t="shared" si="108"/>
        <v/>
      </c>
      <c r="FD658" s="785" t="str">
        <f t="shared" si="109"/>
        <v/>
      </c>
      <c r="FE658" s="785" t="str">
        <f t="shared" si="110"/>
        <v/>
      </c>
      <c r="FF658" s="785" t="str">
        <f t="shared" si="111"/>
        <v/>
      </c>
      <c r="FG658" s="785" t="str">
        <f t="shared" si="112"/>
        <v/>
      </c>
      <c r="FH658" s="785" t="str">
        <f t="shared" si="113"/>
        <v/>
      </c>
      <c r="FI658" s="785" t="str">
        <f t="shared" si="114"/>
        <v/>
      </c>
      <c r="FJ658" s="785" t="str">
        <f t="shared" si="115"/>
        <v/>
      </c>
      <c r="FK658" s="785" t="str">
        <f t="shared" si="116"/>
        <v/>
      </c>
      <c r="FL658" s="785" t="str">
        <f t="shared" si="117"/>
        <v/>
      </c>
      <c r="FM658" s="785" t="str">
        <f t="shared" si="118"/>
        <v/>
      </c>
      <c r="FN658" s="785" t="str">
        <f t="shared" si="119"/>
        <v/>
      </c>
      <c r="FO658" s="785" t="str">
        <f t="shared" si="120"/>
        <v/>
      </c>
      <c r="FP658" s="785" t="str">
        <f t="shared" si="121"/>
        <v/>
      </c>
      <c r="FQ658" s="785" t="str">
        <f t="shared" si="122"/>
        <v/>
      </c>
      <c r="FR658" s="785" t="str">
        <f t="shared" si="123"/>
        <v/>
      </c>
      <c r="FS658" s="785" t="str">
        <f t="shared" si="124"/>
        <v/>
      </c>
      <c r="FT658" s="785" t="str">
        <f t="shared" si="125"/>
        <v/>
      </c>
      <c r="FU658" s="785" t="str">
        <f t="shared" si="126"/>
        <v/>
      </c>
      <c r="FV658" s="785" t="str">
        <f t="shared" si="127"/>
        <v/>
      </c>
      <c r="FW658" s="785" t="str">
        <f t="shared" si="128"/>
        <v/>
      </c>
      <c r="FX658" s="785" t="str">
        <f t="shared" si="129"/>
        <v/>
      </c>
      <c r="FY658" s="785" t="str">
        <f t="shared" si="130"/>
        <v/>
      </c>
      <c r="FZ658" s="785" t="str">
        <f t="shared" si="131"/>
        <v/>
      </c>
      <c r="GA658" s="785" t="str">
        <f t="shared" si="132"/>
        <v/>
      </c>
      <c r="GB658" s="785" t="str">
        <f t="shared" si="133"/>
        <v/>
      </c>
      <c r="GC658" s="785" t="str">
        <f t="shared" si="134"/>
        <v/>
      </c>
      <c r="GD658" s="785" t="str">
        <f t="shared" si="135"/>
        <v/>
      </c>
      <c r="GE658" s="785" t="str">
        <f t="shared" si="136"/>
        <v/>
      </c>
      <c r="GF658" s="785" t="str">
        <f t="shared" si="137"/>
        <v/>
      </c>
      <c r="GG658" s="785" t="str">
        <f t="shared" si="138"/>
        <v/>
      </c>
      <c r="GH658" s="785" t="str">
        <f t="shared" si="139"/>
        <v/>
      </c>
      <c r="GI658" s="785" t="str">
        <f t="shared" si="140"/>
        <v/>
      </c>
      <c r="GJ658" s="785" t="str">
        <f t="shared" si="141"/>
        <v/>
      </c>
      <c r="GK658" s="785" t="str">
        <f t="shared" si="142"/>
        <v/>
      </c>
      <c r="GL658" s="785" t="str">
        <f t="shared" si="143"/>
        <v/>
      </c>
      <c r="GM658" s="785" t="str">
        <f t="shared" si="144"/>
        <v/>
      </c>
      <c r="GN658" s="785" t="str">
        <f t="shared" si="145"/>
        <v/>
      </c>
      <c r="GO658" s="786" t="str">
        <f t="shared" si="146"/>
        <v/>
      </c>
      <c r="GP658" s="786" t="str">
        <f t="shared" si="147"/>
        <v/>
      </c>
      <c r="GQ658" s="786" t="str">
        <f t="shared" si="148"/>
        <v/>
      </c>
      <c r="GR658" s="786" t="str">
        <f t="shared" si="149"/>
        <v/>
      </c>
      <c r="GS658" s="786" t="str">
        <f t="shared" si="150"/>
        <v/>
      </c>
      <c r="GT658" s="580" t="str">
        <f t="shared" si="151"/>
        <v/>
      </c>
      <c r="GU658" s="580" t="str">
        <f t="shared" si="152"/>
        <v/>
      </c>
      <c r="GV658" s="580" t="str">
        <f t="shared" si="153"/>
        <v/>
      </c>
      <c r="GW658" s="580" t="str">
        <f t="shared" si="154"/>
        <v/>
      </c>
      <c r="GX658" s="580" t="str">
        <f t="shared" si="155"/>
        <v/>
      </c>
      <c r="GY658" s="580" t="str">
        <f t="shared" si="156"/>
        <v/>
      </c>
      <c r="GZ658" s="580" t="str">
        <f t="shared" si="157"/>
        <v/>
      </c>
      <c r="HA658" s="580" t="str">
        <f t="shared" si="158"/>
        <v/>
      </c>
      <c r="HB658" s="580" t="str">
        <f t="shared" si="159"/>
        <v/>
      </c>
      <c r="HC658" s="580" t="str">
        <f t="shared" si="160"/>
        <v/>
      </c>
      <c r="HD658" s="580" t="str">
        <f t="shared" si="161"/>
        <v/>
      </c>
      <c r="HE658" s="580" t="str">
        <f t="shared" si="162"/>
        <v/>
      </c>
      <c r="HF658" s="580" t="str">
        <f t="shared" si="163"/>
        <v/>
      </c>
      <c r="HG658" s="580" t="str">
        <f t="shared" si="164"/>
        <v/>
      </c>
      <c r="HH658" s="580" t="str">
        <f t="shared" si="165"/>
        <v/>
      </c>
      <c r="HI658" s="580" t="str">
        <f t="shared" si="166"/>
        <v/>
      </c>
      <c r="HJ658" s="580" t="str">
        <f t="shared" si="167"/>
        <v/>
      </c>
      <c r="HK658" s="580" t="str">
        <f t="shared" si="168"/>
        <v/>
      </c>
      <c r="HL658" s="580" t="str">
        <f t="shared" si="169"/>
        <v/>
      </c>
      <c r="HM658" s="580" t="str">
        <f t="shared" si="170"/>
        <v/>
      </c>
    </row>
    <row r="659" spans="1:221" ht="13.15" customHeight="1">
      <c r="A659" s="888" t="str">
        <f t="shared" si="171"/>
        <v/>
      </c>
      <c r="B659" s="1054" t="str">
        <f>'Part VI-Revenues &amp; Expenses'!B25</f>
        <v>&lt;&lt;Select&gt;&gt;</v>
      </c>
      <c r="C659" s="1055">
        <f>'Part VI-Revenues &amp; Expenses'!C25</f>
        <v>0</v>
      </c>
      <c r="D659" s="1056">
        <f>'Part VI-Revenues &amp; Expenses'!D25</f>
        <v>0</v>
      </c>
      <c r="E659" s="1057">
        <f>'Part VI-Revenues &amp; Expenses'!E25</f>
        <v>0</v>
      </c>
      <c r="F659" s="1057">
        <f>'Part VI-Revenues &amp; Expenses'!F25</f>
        <v>0</v>
      </c>
      <c r="G659" s="1057">
        <f>'Part VI-Revenues &amp; Expenses'!G25</f>
        <v>0</v>
      </c>
      <c r="H659" s="1057">
        <f>'Part VI-Revenues &amp; Expenses'!H25</f>
        <v>0</v>
      </c>
      <c r="I659" s="1057">
        <f>'Part VI-Revenues &amp; Expenses'!I25</f>
        <v>0</v>
      </c>
      <c r="J659" s="818">
        <f>'Part VI-Revenues &amp; Expenses'!J25</f>
        <v>0</v>
      </c>
      <c r="K659" s="893">
        <f t="shared" si="172"/>
        <v>0</v>
      </c>
      <c r="L659" s="893">
        <f t="shared" si="0"/>
        <v>0</v>
      </c>
      <c r="M659" s="783">
        <f>'Part VI-Revenues &amp; Expenses'!M25</f>
        <v>0</v>
      </c>
      <c r="N659" s="783">
        <f>'Part VI-Revenues &amp; Expenses'!N25</f>
        <v>0</v>
      </c>
      <c r="O659" s="783">
        <f>'Part VI-Revenues &amp; Expenses'!O25</f>
        <v>0</v>
      </c>
      <c r="P659" s="894">
        <f t="shared" si="203"/>
        <v>0</v>
      </c>
      <c r="Q659" s="895" t="str">
        <f>'Part VI-Revenues &amp; Expenses'!Q25</f>
        <v/>
      </c>
      <c r="R659" s="894"/>
      <c r="S659" s="895"/>
      <c r="T659" s="2130"/>
      <c r="U659" s="2130"/>
      <c r="V659" s="580" t="str">
        <f t="shared" si="1"/>
        <v/>
      </c>
      <c r="W659" s="580" t="str">
        <f t="shared" si="2"/>
        <v/>
      </c>
      <c r="X659" s="580" t="str">
        <f t="shared" si="3"/>
        <v/>
      </c>
      <c r="Y659" s="580" t="str">
        <f t="shared" si="4"/>
        <v/>
      </c>
      <c r="Z659" s="580" t="str">
        <f t="shared" si="5"/>
        <v/>
      </c>
      <c r="AA659" s="580" t="str">
        <f t="shared" si="6"/>
        <v/>
      </c>
      <c r="AB659" s="580" t="str">
        <f t="shared" si="7"/>
        <v/>
      </c>
      <c r="AC659" s="580" t="str">
        <f t="shared" si="8"/>
        <v/>
      </c>
      <c r="AD659" s="580" t="str">
        <f t="shared" si="9"/>
        <v/>
      </c>
      <c r="AE659" s="580" t="str">
        <f t="shared" si="10"/>
        <v/>
      </c>
      <c r="AF659" s="580" t="str">
        <f t="shared" si="11"/>
        <v/>
      </c>
      <c r="AG659" s="580" t="str">
        <f t="shared" si="12"/>
        <v/>
      </c>
      <c r="AH659" s="580" t="str">
        <f t="shared" si="13"/>
        <v/>
      </c>
      <c r="AI659" s="580" t="str">
        <f t="shared" si="14"/>
        <v/>
      </c>
      <c r="AJ659" s="580" t="str">
        <f t="shared" si="15"/>
        <v/>
      </c>
      <c r="AK659" s="580" t="str">
        <f t="shared" si="16"/>
        <v/>
      </c>
      <c r="AL659" s="580" t="str">
        <f t="shared" si="17"/>
        <v/>
      </c>
      <c r="AM659" s="580" t="str">
        <f t="shared" si="18"/>
        <v/>
      </c>
      <c r="AN659" s="580" t="str">
        <f t="shared" si="19"/>
        <v/>
      </c>
      <c r="AO659" s="580" t="str">
        <f t="shared" si="20"/>
        <v/>
      </c>
      <c r="AP659" s="580" t="str">
        <f t="shared" si="173"/>
        <v/>
      </c>
      <c r="AQ659" s="580" t="str">
        <f t="shared" si="174"/>
        <v/>
      </c>
      <c r="AR659" s="580" t="str">
        <f t="shared" si="175"/>
        <v/>
      </c>
      <c r="AS659" s="580" t="str">
        <f t="shared" si="176"/>
        <v/>
      </c>
      <c r="AT659" s="580" t="str">
        <f t="shared" si="177"/>
        <v/>
      </c>
      <c r="AU659" s="580" t="str">
        <f t="shared" si="178"/>
        <v/>
      </c>
      <c r="AV659" s="580" t="str">
        <f t="shared" si="179"/>
        <v/>
      </c>
      <c r="AW659" s="580" t="str">
        <f t="shared" si="180"/>
        <v/>
      </c>
      <c r="AX659" s="580" t="str">
        <f t="shared" si="181"/>
        <v/>
      </c>
      <c r="AY659" s="580" t="str">
        <f t="shared" si="182"/>
        <v/>
      </c>
      <c r="AZ659" s="580" t="str">
        <f t="shared" si="183"/>
        <v/>
      </c>
      <c r="BA659" s="580" t="str">
        <f t="shared" si="184"/>
        <v/>
      </c>
      <c r="BB659" s="580" t="str">
        <f t="shared" si="185"/>
        <v/>
      </c>
      <c r="BC659" s="580" t="str">
        <f t="shared" si="186"/>
        <v/>
      </c>
      <c r="BD659" s="580" t="str">
        <f t="shared" si="187"/>
        <v/>
      </c>
      <c r="BE659" s="580" t="str">
        <f t="shared" si="188"/>
        <v/>
      </c>
      <c r="BF659" s="580" t="str">
        <f t="shared" si="189"/>
        <v/>
      </c>
      <c r="BG659" s="580" t="str">
        <f t="shared" si="190"/>
        <v/>
      </c>
      <c r="BH659" s="580" t="str">
        <f t="shared" si="191"/>
        <v/>
      </c>
      <c r="BI659" s="580" t="str">
        <f t="shared" si="192"/>
        <v/>
      </c>
      <c r="BJ659" s="580" t="str">
        <f t="shared" si="193"/>
        <v/>
      </c>
      <c r="BK659" s="580" t="str">
        <f t="shared" si="194"/>
        <v/>
      </c>
      <c r="BL659" s="580" t="str">
        <f t="shared" si="195"/>
        <v/>
      </c>
      <c r="BM659" s="580" t="str">
        <f t="shared" si="196"/>
        <v/>
      </c>
      <c r="BN659" s="580" t="str">
        <f t="shared" si="197"/>
        <v/>
      </c>
      <c r="BO659" s="580" t="str">
        <f t="shared" si="198"/>
        <v/>
      </c>
      <c r="BP659" s="580" t="str">
        <f t="shared" si="199"/>
        <v/>
      </c>
      <c r="BQ659" s="580" t="str">
        <f t="shared" si="200"/>
        <v/>
      </c>
      <c r="BR659" s="580" t="str">
        <f t="shared" si="201"/>
        <v/>
      </c>
      <c r="BS659" s="580" t="str">
        <f t="shared" si="202"/>
        <v/>
      </c>
      <c r="BT659" s="580" t="str">
        <f t="shared" si="21"/>
        <v/>
      </c>
      <c r="BU659" s="580" t="str">
        <f t="shared" si="22"/>
        <v/>
      </c>
      <c r="BV659" s="580" t="str">
        <f t="shared" si="23"/>
        <v/>
      </c>
      <c r="BW659" s="580" t="str">
        <f t="shared" si="24"/>
        <v/>
      </c>
      <c r="BX659" s="580" t="str">
        <f t="shared" si="25"/>
        <v/>
      </c>
      <c r="BY659" s="580" t="str">
        <f t="shared" si="26"/>
        <v/>
      </c>
      <c r="BZ659" s="580" t="str">
        <f t="shared" si="27"/>
        <v/>
      </c>
      <c r="CA659" s="580" t="str">
        <f t="shared" si="28"/>
        <v/>
      </c>
      <c r="CB659" s="580" t="str">
        <f t="shared" si="29"/>
        <v/>
      </c>
      <c r="CC659" s="580" t="str">
        <f t="shared" si="30"/>
        <v/>
      </c>
      <c r="CD659" s="580" t="str">
        <f t="shared" si="31"/>
        <v/>
      </c>
      <c r="CE659" s="580" t="str">
        <f t="shared" si="32"/>
        <v/>
      </c>
      <c r="CF659" s="580" t="str">
        <f t="shared" si="33"/>
        <v/>
      </c>
      <c r="CG659" s="580" t="str">
        <f t="shared" si="34"/>
        <v/>
      </c>
      <c r="CH659" s="580" t="str">
        <f t="shared" si="35"/>
        <v/>
      </c>
      <c r="CI659" s="580" t="str">
        <f t="shared" si="36"/>
        <v/>
      </c>
      <c r="CJ659" s="580" t="str">
        <f t="shared" si="37"/>
        <v/>
      </c>
      <c r="CK659" s="580" t="str">
        <f t="shared" si="38"/>
        <v/>
      </c>
      <c r="CL659" s="580" t="str">
        <f t="shared" si="39"/>
        <v/>
      </c>
      <c r="CM659" s="580" t="str">
        <f t="shared" si="40"/>
        <v/>
      </c>
      <c r="CN659" s="580" t="str">
        <f t="shared" si="41"/>
        <v/>
      </c>
      <c r="CO659" s="580" t="str">
        <f t="shared" si="42"/>
        <v/>
      </c>
      <c r="CP659" s="580" t="str">
        <f t="shared" si="43"/>
        <v/>
      </c>
      <c r="CQ659" s="580" t="str">
        <f t="shared" si="44"/>
        <v/>
      </c>
      <c r="CR659" s="580" t="str">
        <f t="shared" si="45"/>
        <v/>
      </c>
      <c r="CS659" s="580" t="str">
        <f t="shared" si="46"/>
        <v/>
      </c>
      <c r="CT659" s="580" t="str">
        <f t="shared" si="47"/>
        <v/>
      </c>
      <c r="CU659" s="580" t="str">
        <f t="shared" si="48"/>
        <v/>
      </c>
      <c r="CV659" s="580" t="str">
        <f t="shared" si="49"/>
        <v/>
      </c>
      <c r="CW659" s="580" t="str">
        <f t="shared" si="50"/>
        <v/>
      </c>
      <c r="CX659" s="580" t="str">
        <f t="shared" si="51"/>
        <v/>
      </c>
      <c r="CY659" s="580" t="str">
        <f t="shared" si="52"/>
        <v/>
      </c>
      <c r="CZ659" s="580" t="str">
        <f t="shared" si="53"/>
        <v/>
      </c>
      <c r="DA659" s="580" t="str">
        <f t="shared" si="54"/>
        <v/>
      </c>
      <c r="DB659" s="580" t="str">
        <f t="shared" si="55"/>
        <v/>
      </c>
      <c r="DC659" s="580" t="str">
        <f t="shared" si="56"/>
        <v/>
      </c>
      <c r="DD659" s="580" t="str">
        <f t="shared" si="57"/>
        <v/>
      </c>
      <c r="DE659" s="580" t="str">
        <f t="shared" si="58"/>
        <v/>
      </c>
      <c r="DF659" s="580" t="str">
        <f t="shared" si="59"/>
        <v/>
      </c>
      <c r="DG659" s="580" t="str">
        <f t="shared" si="60"/>
        <v/>
      </c>
      <c r="DH659" s="580" t="str">
        <f t="shared" si="61"/>
        <v/>
      </c>
      <c r="DI659" s="580" t="str">
        <f t="shared" si="62"/>
        <v/>
      </c>
      <c r="DJ659" s="580" t="str">
        <f t="shared" si="63"/>
        <v/>
      </c>
      <c r="DK659" s="580" t="str">
        <f t="shared" si="64"/>
        <v/>
      </c>
      <c r="DL659" s="580" t="str">
        <f t="shared" si="65"/>
        <v/>
      </c>
      <c r="DM659" s="580" t="str">
        <f t="shared" si="66"/>
        <v/>
      </c>
      <c r="DN659" s="580" t="str">
        <f t="shared" si="67"/>
        <v/>
      </c>
      <c r="DO659" s="580" t="str">
        <f t="shared" si="68"/>
        <v/>
      </c>
      <c r="DP659" s="580" t="str">
        <f t="shared" si="69"/>
        <v/>
      </c>
      <c r="DQ659" s="580" t="str">
        <f t="shared" si="70"/>
        <v/>
      </c>
      <c r="DR659" s="580" t="str">
        <f t="shared" si="71"/>
        <v/>
      </c>
      <c r="DS659" s="580" t="str">
        <f t="shared" si="72"/>
        <v/>
      </c>
      <c r="DT659" s="580" t="str">
        <f t="shared" si="73"/>
        <v/>
      </c>
      <c r="DU659" s="580" t="str">
        <f t="shared" si="74"/>
        <v/>
      </c>
      <c r="DV659" s="580" t="str">
        <f t="shared" si="75"/>
        <v/>
      </c>
      <c r="DW659" s="580" t="str">
        <f t="shared" si="76"/>
        <v/>
      </c>
      <c r="DX659" s="580" t="str">
        <f t="shared" si="77"/>
        <v/>
      </c>
      <c r="DY659" s="580" t="str">
        <f t="shared" si="78"/>
        <v/>
      </c>
      <c r="DZ659" s="580" t="str">
        <f t="shared" si="79"/>
        <v/>
      </c>
      <c r="EA659" s="580" t="str">
        <f t="shared" si="80"/>
        <v/>
      </c>
      <c r="EB659" s="580" t="str">
        <f t="shared" si="81"/>
        <v/>
      </c>
      <c r="EC659" s="580" t="str">
        <f t="shared" si="82"/>
        <v/>
      </c>
      <c r="ED659" s="580" t="str">
        <f t="shared" si="83"/>
        <v/>
      </c>
      <c r="EE659" s="580" t="str">
        <f t="shared" si="84"/>
        <v/>
      </c>
      <c r="EF659" s="580" t="str">
        <f t="shared" si="85"/>
        <v/>
      </c>
      <c r="EG659" s="580" t="str">
        <f t="shared" si="86"/>
        <v/>
      </c>
      <c r="EH659" s="580" t="str">
        <f t="shared" si="87"/>
        <v/>
      </c>
      <c r="EI659" s="580" t="str">
        <f t="shared" si="88"/>
        <v/>
      </c>
      <c r="EJ659" s="580" t="str">
        <f t="shared" si="89"/>
        <v/>
      </c>
      <c r="EK659" s="580" t="str">
        <f t="shared" si="90"/>
        <v/>
      </c>
      <c r="EL659" s="580" t="str">
        <f t="shared" si="91"/>
        <v/>
      </c>
      <c r="EM659" s="580" t="str">
        <f t="shared" si="92"/>
        <v/>
      </c>
      <c r="EN659" s="580" t="str">
        <f t="shared" si="93"/>
        <v/>
      </c>
      <c r="EO659" s="580" t="str">
        <f t="shared" si="94"/>
        <v/>
      </c>
      <c r="EP659" s="580" t="str">
        <f t="shared" si="95"/>
        <v/>
      </c>
      <c r="EQ659" s="580" t="str">
        <f t="shared" si="96"/>
        <v/>
      </c>
      <c r="ER659" s="580" t="str">
        <f t="shared" si="97"/>
        <v/>
      </c>
      <c r="ES659" s="580" t="str">
        <f t="shared" si="98"/>
        <v/>
      </c>
      <c r="ET659" s="580" t="str">
        <f t="shared" si="99"/>
        <v/>
      </c>
      <c r="EU659" s="580" t="str">
        <f t="shared" si="100"/>
        <v/>
      </c>
      <c r="EV659" s="785" t="str">
        <f t="shared" si="101"/>
        <v/>
      </c>
      <c r="EW659" s="785" t="str">
        <f t="shared" si="102"/>
        <v/>
      </c>
      <c r="EX659" s="785" t="str">
        <f t="shared" si="103"/>
        <v/>
      </c>
      <c r="EY659" s="785" t="str">
        <f t="shared" si="104"/>
        <v/>
      </c>
      <c r="EZ659" s="785" t="str">
        <f t="shared" si="105"/>
        <v/>
      </c>
      <c r="FA659" s="785" t="str">
        <f t="shared" si="106"/>
        <v/>
      </c>
      <c r="FB659" s="785" t="str">
        <f t="shared" si="107"/>
        <v/>
      </c>
      <c r="FC659" s="785" t="str">
        <f t="shared" si="108"/>
        <v/>
      </c>
      <c r="FD659" s="785" t="str">
        <f t="shared" si="109"/>
        <v/>
      </c>
      <c r="FE659" s="785" t="str">
        <f t="shared" si="110"/>
        <v/>
      </c>
      <c r="FF659" s="785" t="str">
        <f t="shared" si="111"/>
        <v/>
      </c>
      <c r="FG659" s="785" t="str">
        <f t="shared" si="112"/>
        <v/>
      </c>
      <c r="FH659" s="785" t="str">
        <f t="shared" si="113"/>
        <v/>
      </c>
      <c r="FI659" s="785" t="str">
        <f t="shared" si="114"/>
        <v/>
      </c>
      <c r="FJ659" s="785" t="str">
        <f t="shared" si="115"/>
        <v/>
      </c>
      <c r="FK659" s="785" t="str">
        <f t="shared" si="116"/>
        <v/>
      </c>
      <c r="FL659" s="785" t="str">
        <f t="shared" si="117"/>
        <v/>
      </c>
      <c r="FM659" s="785" t="str">
        <f t="shared" si="118"/>
        <v/>
      </c>
      <c r="FN659" s="785" t="str">
        <f t="shared" si="119"/>
        <v/>
      </c>
      <c r="FO659" s="785" t="str">
        <f t="shared" si="120"/>
        <v/>
      </c>
      <c r="FP659" s="785" t="str">
        <f t="shared" si="121"/>
        <v/>
      </c>
      <c r="FQ659" s="785" t="str">
        <f t="shared" si="122"/>
        <v/>
      </c>
      <c r="FR659" s="785" t="str">
        <f t="shared" si="123"/>
        <v/>
      </c>
      <c r="FS659" s="785" t="str">
        <f t="shared" si="124"/>
        <v/>
      </c>
      <c r="FT659" s="785" t="str">
        <f t="shared" si="125"/>
        <v/>
      </c>
      <c r="FU659" s="785" t="str">
        <f t="shared" si="126"/>
        <v/>
      </c>
      <c r="FV659" s="785" t="str">
        <f t="shared" si="127"/>
        <v/>
      </c>
      <c r="FW659" s="785" t="str">
        <f t="shared" si="128"/>
        <v/>
      </c>
      <c r="FX659" s="785" t="str">
        <f t="shared" si="129"/>
        <v/>
      </c>
      <c r="FY659" s="785" t="str">
        <f t="shared" si="130"/>
        <v/>
      </c>
      <c r="FZ659" s="785" t="str">
        <f t="shared" si="131"/>
        <v/>
      </c>
      <c r="GA659" s="785" t="str">
        <f t="shared" si="132"/>
        <v/>
      </c>
      <c r="GB659" s="785" t="str">
        <f t="shared" si="133"/>
        <v/>
      </c>
      <c r="GC659" s="785" t="str">
        <f t="shared" si="134"/>
        <v/>
      </c>
      <c r="GD659" s="785" t="str">
        <f t="shared" si="135"/>
        <v/>
      </c>
      <c r="GE659" s="785" t="str">
        <f t="shared" si="136"/>
        <v/>
      </c>
      <c r="GF659" s="785" t="str">
        <f t="shared" si="137"/>
        <v/>
      </c>
      <c r="GG659" s="785" t="str">
        <f t="shared" si="138"/>
        <v/>
      </c>
      <c r="GH659" s="785" t="str">
        <f t="shared" si="139"/>
        <v/>
      </c>
      <c r="GI659" s="785" t="str">
        <f t="shared" si="140"/>
        <v/>
      </c>
      <c r="GJ659" s="785" t="str">
        <f t="shared" si="141"/>
        <v/>
      </c>
      <c r="GK659" s="785" t="str">
        <f t="shared" si="142"/>
        <v/>
      </c>
      <c r="GL659" s="785" t="str">
        <f t="shared" si="143"/>
        <v/>
      </c>
      <c r="GM659" s="785" t="str">
        <f t="shared" si="144"/>
        <v/>
      </c>
      <c r="GN659" s="785" t="str">
        <f t="shared" si="145"/>
        <v/>
      </c>
      <c r="GO659" s="786" t="str">
        <f t="shared" si="146"/>
        <v/>
      </c>
      <c r="GP659" s="786" t="str">
        <f t="shared" si="147"/>
        <v/>
      </c>
      <c r="GQ659" s="786" t="str">
        <f t="shared" si="148"/>
        <v/>
      </c>
      <c r="GR659" s="786" t="str">
        <f t="shared" si="149"/>
        <v/>
      </c>
      <c r="GS659" s="786" t="str">
        <f t="shared" si="150"/>
        <v/>
      </c>
      <c r="GT659" s="580" t="str">
        <f t="shared" si="151"/>
        <v/>
      </c>
      <c r="GU659" s="580" t="str">
        <f t="shared" si="152"/>
        <v/>
      </c>
      <c r="GV659" s="580" t="str">
        <f t="shared" si="153"/>
        <v/>
      </c>
      <c r="GW659" s="580" t="str">
        <f t="shared" si="154"/>
        <v/>
      </c>
      <c r="GX659" s="580" t="str">
        <f t="shared" si="155"/>
        <v/>
      </c>
      <c r="GY659" s="580" t="str">
        <f t="shared" si="156"/>
        <v/>
      </c>
      <c r="GZ659" s="580" t="str">
        <f t="shared" si="157"/>
        <v/>
      </c>
      <c r="HA659" s="580" t="str">
        <f t="shared" si="158"/>
        <v/>
      </c>
      <c r="HB659" s="580" t="str">
        <f t="shared" si="159"/>
        <v/>
      </c>
      <c r="HC659" s="580" t="str">
        <f t="shared" si="160"/>
        <v/>
      </c>
      <c r="HD659" s="580" t="str">
        <f t="shared" si="161"/>
        <v/>
      </c>
      <c r="HE659" s="580" t="str">
        <f t="shared" si="162"/>
        <v/>
      </c>
      <c r="HF659" s="580" t="str">
        <f t="shared" si="163"/>
        <v/>
      </c>
      <c r="HG659" s="580" t="str">
        <f t="shared" si="164"/>
        <v/>
      </c>
      <c r="HH659" s="580" t="str">
        <f t="shared" si="165"/>
        <v/>
      </c>
      <c r="HI659" s="580" t="str">
        <f t="shared" si="166"/>
        <v/>
      </c>
      <c r="HJ659" s="580" t="str">
        <f t="shared" si="167"/>
        <v/>
      </c>
      <c r="HK659" s="580" t="str">
        <f t="shared" si="168"/>
        <v/>
      </c>
      <c r="HL659" s="580" t="str">
        <f t="shared" si="169"/>
        <v/>
      </c>
      <c r="HM659" s="580" t="str">
        <f t="shared" si="170"/>
        <v/>
      </c>
    </row>
    <row r="660" spans="1:221" ht="13.15" customHeight="1">
      <c r="A660" s="888" t="str">
        <f t="shared" si="171"/>
        <v/>
      </c>
      <c r="B660" s="1054" t="str">
        <f>'Part VI-Revenues &amp; Expenses'!B26</f>
        <v>&lt;&lt;Select&gt;&gt;</v>
      </c>
      <c r="C660" s="1055">
        <f>'Part VI-Revenues &amp; Expenses'!C26</f>
        <v>0</v>
      </c>
      <c r="D660" s="1056">
        <f>'Part VI-Revenues &amp; Expenses'!D26</f>
        <v>0</v>
      </c>
      <c r="E660" s="1057">
        <f>'Part VI-Revenues &amp; Expenses'!E26</f>
        <v>0</v>
      </c>
      <c r="F660" s="1057">
        <f>'Part VI-Revenues &amp; Expenses'!F26</f>
        <v>0</v>
      </c>
      <c r="G660" s="1057">
        <f>'Part VI-Revenues &amp; Expenses'!G26</f>
        <v>0</v>
      </c>
      <c r="H660" s="1057">
        <f>'Part VI-Revenues &amp; Expenses'!H26</f>
        <v>0</v>
      </c>
      <c r="I660" s="1057">
        <f>'Part VI-Revenues &amp; Expenses'!I26</f>
        <v>0</v>
      </c>
      <c r="J660" s="818">
        <f>'Part VI-Revenues &amp; Expenses'!J26</f>
        <v>0</v>
      </c>
      <c r="K660" s="893">
        <f t="shared" si="172"/>
        <v>0</v>
      </c>
      <c r="L660" s="893">
        <f t="shared" si="0"/>
        <v>0</v>
      </c>
      <c r="M660" s="783">
        <f>'Part VI-Revenues &amp; Expenses'!M26</f>
        <v>0</v>
      </c>
      <c r="N660" s="783">
        <f>'Part VI-Revenues &amp; Expenses'!N26</f>
        <v>0</v>
      </c>
      <c r="O660" s="783">
        <f>'Part VI-Revenues &amp; Expenses'!O26</f>
        <v>0</v>
      </c>
      <c r="P660" s="894">
        <f t="shared" si="203"/>
        <v>0</v>
      </c>
      <c r="Q660" s="895" t="str">
        <f>'Part VI-Revenues &amp; Expenses'!Q26</f>
        <v/>
      </c>
      <c r="R660" s="894"/>
      <c r="S660" s="895"/>
      <c r="T660" s="2130"/>
      <c r="U660" s="2130"/>
      <c r="V660" s="580" t="str">
        <f t="shared" si="1"/>
        <v/>
      </c>
      <c r="W660" s="580" t="str">
        <f t="shared" si="2"/>
        <v/>
      </c>
      <c r="X660" s="580" t="str">
        <f t="shared" si="3"/>
        <v/>
      </c>
      <c r="Y660" s="580" t="str">
        <f t="shared" si="4"/>
        <v/>
      </c>
      <c r="Z660" s="580" t="str">
        <f t="shared" si="5"/>
        <v/>
      </c>
      <c r="AA660" s="580" t="str">
        <f t="shared" si="6"/>
        <v/>
      </c>
      <c r="AB660" s="580" t="str">
        <f t="shared" si="7"/>
        <v/>
      </c>
      <c r="AC660" s="580" t="str">
        <f t="shared" si="8"/>
        <v/>
      </c>
      <c r="AD660" s="580" t="str">
        <f t="shared" si="9"/>
        <v/>
      </c>
      <c r="AE660" s="580" t="str">
        <f t="shared" si="10"/>
        <v/>
      </c>
      <c r="AF660" s="580" t="str">
        <f t="shared" si="11"/>
        <v/>
      </c>
      <c r="AG660" s="580" t="str">
        <f t="shared" si="12"/>
        <v/>
      </c>
      <c r="AH660" s="580" t="str">
        <f t="shared" si="13"/>
        <v/>
      </c>
      <c r="AI660" s="580" t="str">
        <f t="shared" si="14"/>
        <v/>
      </c>
      <c r="AJ660" s="580" t="str">
        <f t="shared" si="15"/>
        <v/>
      </c>
      <c r="AK660" s="580" t="str">
        <f t="shared" si="16"/>
        <v/>
      </c>
      <c r="AL660" s="580" t="str">
        <f t="shared" si="17"/>
        <v/>
      </c>
      <c r="AM660" s="580" t="str">
        <f t="shared" si="18"/>
        <v/>
      </c>
      <c r="AN660" s="580" t="str">
        <f t="shared" si="19"/>
        <v/>
      </c>
      <c r="AO660" s="580" t="str">
        <f t="shared" si="20"/>
        <v/>
      </c>
      <c r="AP660" s="580" t="str">
        <f t="shared" si="173"/>
        <v/>
      </c>
      <c r="AQ660" s="580" t="str">
        <f t="shared" si="174"/>
        <v/>
      </c>
      <c r="AR660" s="580" t="str">
        <f t="shared" si="175"/>
        <v/>
      </c>
      <c r="AS660" s="580" t="str">
        <f t="shared" si="176"/>
        <v/>
      </c>
      <c r="AT660" s="580" t="str">
        <f t="shared" si="177"/>
        <v/>
      </c>
      <c r="AU660" s="580" t="str">
        <f t="shared" si="178"/>
        <v/>
      </c>
      <c r="AV660" s="580" t="str">
        <f t="shared" si="179"/>
        <v/>
      </c>
      <c r="AW660" s="580" t="str">
        <f t="shared" si="180"/>
        <v/>
      </c>
      <c r="AX660" s="580" t="str">
        <f t="shared" si="181"/>
        <v/>
      </c>
      <c r="AY660" s="580" t="str">
        <f t="shared" si="182"/>
        <v/>
      </c>
      <c r="AZ660" s="580" t="str">
        <f t="shared" si="183"/>
        <v/>
      </c>
      <c r="BA660" s="580" t="str">
        <f t="shared" si="184"/>
        <v/>
      </c>
      <c r="BB660" s="580" t="str">
        <f t="shared" si="185"/>
        <v/>
      </c>
      <c r="BC660" s="580" t="str">
        <f t="shared" si="186"/>
        <v/>
      </c>
      <c r="BD660" s="580" t="str">
        <f t="shared" si="187"/>
        <v/>
      </c>
      <c r="BE660" s="580" t="str">
        <f t="shared" si="188"/>
        <v/>
      </c>
      <c r="BF660" s="580" t="str">
        <f t="shared" si="189"/>
        <v/>
      </c>
      <c r="BG660" s="580" t="str">
        <f t="shared" si="190"/>
        <v/>
      </c>
      <c r="BH660" s="580" t="str">
        <f t="shared" si="191"/>
        <v/>
      </c>
      <c r="BI660" s="580" t="str">
        <f t="shared" si="192"/>
        <v/>
      </c>
      <c r="BJ660" s="580" t="str">
        <f t="shared" si="193"/>
        <v/>
      </c>
      <c r="BK660" s="580" t="str">
        <f t="shared" si="194"/>
        <v/>
      </c>
      <c r="BL660" s="580" t="str">
        <f t="shared" si="195"/>
        <v/>
      </c>
      <c r="BM660" s="580" t="str">
        <f t="shared" si="196"/>
        <v/>
      </c>
      <c r="BN660" s="580" t="str">
        <f t="shared" si="197"/>
        <v/>
      </c>
      <c r="BO660" s="580" t="str">
        <f t="shared" si="198"/>
        <v/>
      </c>
      <c r="BP660" s="580" t="str">
        <f t="shared" si="199"/>
        <v/>
      </c>
      <c r="BQ660" s="580" t="str">
        <f t="shared" si="200"/>
        <v/>
      </c>
      <c r="BR660" s="580" t="str">
        <f t="shared" si="201"/>
        <v/>
      </c>
      <c r="BS660" s="580" t="str">
        <f t="shared" si="202"/>
        <v/>
      </c>
      <c r="BT660" s="580" t="str">
        <f t="shared" si="21"/>
        <v/>
      </c>
      <c r="BU660" s="580" t="str">
        <f t="shared" si="22"/>
        <v/>
      </c>
      <c r="BV660" s="580" t="str">
        <f t="shared" si="23"/>
        <v/>
      </c>
      <c r="BW660" s="580" t="str">
        <f t="shared" si="24"/>
        <v/>
      </c>
      <c r="BX660" s="580" t="str">
        <f t="shared" si="25"/>
        <v/>
      </c>
      <c r="BY660" s="580" t="str">
        <f t="shared" si="26"/>
        <v/>
      </c>
      <c r="BZ660" s="580" t="str">
        <f t="shared" si="27"/>
        <v/>
      </c>
      <c r="CA660" s="580" t="str">
        <f t="shared" si="28"/>
        <v/>
      </c>
      <c r="CB660" s="580" t="str">
        <f t="shared" si="29"/>
        <v/>
      </c>
      <c r="CC660" s="580" t="str">
        <f t="shared" si="30"/>
        <v/>
      </c>
      <c r="CD660" s="580" t="str">
        <f t="shared" si="31"/>
        <v/>
      </c>
      <c r="CE660" s="580" t="str">
        <f t="shared" si="32"/>
        <v/>
      </c>
      <c r="CF660" s="580" t="str">
        <f t="shared" si="33"/>
        <v/>
      </c>
      <c r="CG660" s="580" t="str">
        <f t="shared" si="34"/>
        <v/>
      </c>
      <c r="CH660" s="580" t="str">
        <f t="shared" si="35"/>
        <v/>
      </c>
      <c r="CI660" s="580" t="str">
        <f t="shared" si="36"/>
        <v/>
      </c>
      <c r="CJ660" s="580" t="str">
        <f t="shared" si="37"/>
        <v/>
      </c>
      <c r="CK660" s="580" t="str">
        <f t="shared" si="38"/>
        <v/>
      </c>
      <c r="CL660" s="580" t="str">
        <f t="shared" si="39"/>
        <v/>
      </c>
      <c r="CM660" s="580" t="str">
        <f t="shared" si="40"/>
        <v/>
      </c>
      <c r="CN660" s="580" t="str">
        <f t="shared" si="41"/>
        <v/>
      </c>
      <c r="CO660" s="580" t="str">
        <f t="shared" si="42"/>
        <v/>
      </c>
      <c r="CP660" s="580" t="str">
        <f t="shared" si="43"/>
        <v/>
      </c>
      <c r="CQ660" s="580" t="str">
        <f t="shared" si="44"/>
        <v/>
      </c>
      <c r="CR660" s="580" t="str">
        <f t="shared" si="45"/>
        <v/>
      </c>
      <c r="CS660" s="580" t="str">
        <f t="shared" si="46"/>
        <v/>
      </c>
      <c r="CT660" s="580" t="str">
        <f t="shared" si="47"/>
        <v/>
      </c>
      <c r="CU660" s="580" t="str">
        <f t="shared" si="48"/>
        <v/>
      </c>
      <c r="CV660" s="580" t="str">
        <f t="shared" si="49"/>
        <v/>
      </c>
      <c r="CW660" s="580" t="str">
        <f t="shared" si="50"/>
        <v/>
      </c>
      <c r="CX660" s="580" t="str">
        <f t="shared" si="51"/>
        <v/>
      </c>
      <c r="CY660" s="580" t="str">
        <f t="shared" si="52"/>
        <v/>
      </c>
      <c r="CZ660" s="580" t="str">
        <f t="shared" si="53"/>
        <v/>
      </c>
      <c r="DA660" s="580" t="str">
        <f t="shared" si="54"/>
        <v/>
      </c>
      <c r="DB660" s="580" t="str">
        <f t="shared" si="55"/>
        <v/>
      </c>
      <c r="DC660" s="580" t="str">
        <f t="shared" si="56"/>
        <v/>
      </c>
      <c r="DD660" s="580" t="str">
        <f t="shared" si="57"/>
        <v/>
      </c>
      <c r="DE660" s="580" t="str">
        <f t="shared" si="58"/>
        <v/>
      </c>
      <c r="DF660" s="580" t="str">
        <f t="shared" si="59"/>
        <v/>
      </c>
      <c r="DG660" s="580" t="str">
        <f t="shared" si="60"/>
        <v/>
      </c>
      <c r="DH660" s="580" t="str">
        <f t="shared" si="61"/>
        <v/>
      </c>
      <c r="DI660" s="580" t="str">
        <f t="shared" si="62"/>
        <v/>
      </c>
      <c r="DJ660" s="580" t="str">
        <f t="shared" si="63"/>
        <v/>
      </c>
      <c r="DK660" s="580" t="str">
        <f t="shared" si="64"/>
        <v/>
      </c>
      <c r="DL660" s="580" t="str">
        <f t="shared" si="65"/>
        <v/>
      </c>
      <c r="DM660" s="580" t="str">
        <f t="shared" si="66"/>
        <v/>
      </c>
      <c r="DN660" s="580" t="str">
        <f t="shared" si="67"/>
        <v/>
      </c>
      <c r="DO660" s="580" t="str">
        <f t="shared" si="68"/>
        <v/>
      </c>
      <c r="DP660" s="580" t="str">
        <f t="shared" si="69"/>
        <v/>
      </c>
      <c r="DQ660" s="580" t="str">
        <f t="shared" si="70"/>
        <v/>
      </c>
      <c r="DR660" s="580" t="str">
        <f t="shared" si="71"/>
        <v/>
      </c>
      <c r="DS660" s="580" t="str">
        <f t="shared" si="72"/>
        <v/>
      </c>
      <c r="DT660" s="580" t="str">
        <f t="shared" si="73"/>
        <v/>
      </c>
      <c r="DU660" s="580" t="str">
        <f t="shared" si="74"/>
        <v/>
      </c>
      <c r="DV660" s="580" t="str">
        <f t="shared" si="75"/>
        <v/>
      </c>
      <c r="DW660" s="580" t="str">
        <f t="shared" si="76"/>
        <v/>
      </c>
      <c r="DX660" s="580" t="str">
        <f t="shared" si="77"/>
        <v/>
      </c>
      <c r="DY660" s="580" t="str">
        <f t="shared" si="78"/>
        <v/>
      </c>
      <c r="DZ660" s="580" t="str">
        <f t="shared" si="79"/>
        <v/>
      </c>
      <c r="EA660" s="580" t="str">
        <f t="shared" si="80"/>
        <v/>
      </c>
      <c r="EB660" s="580" t="str">
        <f t="shared" si="81"/>
        <v/>
      </c>
      <c r="EC660" s="580" t="str">
        <f t="shared" si="82"/>
        <v/>
      </c>
      <c r="ED660" s="580" t="str">
        <f t="shared" si="83"/>
        <v/>
      </c>
      <c r="EE660" s="580" t="str">
        <f t="shared" si="84"/>
        <v/>
      </c>
      <c r="EF660" s="580" t="str">
        <f t="shared" si="85"/>
        <v/>
      </c>
      <c r="EG660" s="580" t="str">
        <f t="shared" si="86"/>
        <v/>
      </c>
      <c r="EH660" s="580" t="str">
        <f t="shared" si="87"/>
        <v/>
      </c>
      <c r="EI660" s="580" t="str">
        <f t="shared" si="88"/>
        <v/>
      </c>
      <c r="EJ660" s="580" t="str">
        <f t="shared" si="89"/>
        <v/>
      </c>
      <c r="EK660" s="580" t="str">
        <f t="shared" si="90"/>
        <v/>
      </c>
      <c r="EL660" s="580" t="str">
        <f t="shared" si="91"/>
        <v/>
      </c>
      <c r="EM660" s="580" t="str">
        <f t="shared" si="92"/>
        <v/>
      </c>
      <c r="EN660" s="580" t="str">
        <f t="shared" si="93"/>
        <v/>
      </c>
      <c r="EO660" s="580" t="str">
        <f t="shared" si="94"/>
        <v/>
      </c>
      <c r="EP660" s="580" t="str">
        <f t="shared" si="95"/>
        <v/>
      </c>
      <c r="EQ660" s="580" t="str">
        <f t="shared" si="96"/>
        <v/>
      </c>
      <c r="ER660" s="580" t="str">
        <f t="shared" si="97"/>
        <v/>
      </c>
      <c r="ES660" s="580" t="str">
        <f t="shared" si="98"/>
        <v/>
      </c>
      <c r="ET660" s="580" t="str">
        <f t="shared" si="99"/>
        <v/>
      </c>
      <c r="EU660" s="580" t="str">
        <f t="shared" si="100"/>
        <v/>
      </c>
      <c r="EV660" s="785" t="str">
        <f t="shared" si="101"/>
        <v/>
      </c>
      <c r="EW660" s="785" t="str">
        <f t="shared" si="102"/>
        <v/>
      </c>
      <c r="EX660" s="785" t="str">
        <f t="shared" si="103"/>
        <v/>
      </c>
      <c r="EY660" s="785" t="str">
        <f t="shared" si="104"/>
        <v/>
      </c>
      <c r="EZ660" s="785" t="str">
        <f t="shared" si="105"/>
        <v/>
      </c>
      <c r="FA660" s="785" t="str">
        <f t="shared" si="106"/>
        <v/>
      </c>
      <c r="FB660" s="785" t="str">
        <f t="shared" si="107"/>
        <v/>
      </c>
      <c r="FC660" s="785" t="str">
        <f t="shared" si="108"/>
        <v/>
      </c>
      <c r="FD660" s="785" t="str">
        <f t="shared" si="109"/>
        <v/>
      </c>
      <c r="FE660" s="785" t="str">
        <f t="shared" si="110"/>
        <v/>
      </c>
      <c r="FF660" s="785" t="str">
        <f t="shared" si="111"/>
        <v/>
      </c>
      <c r="FG660" s="785" t="str">
        <f t="shared" si="112"/>
        <v/>
      </c>
      <c r="FH660" s="785" t="str">
        <f t="shared" si="113"/>
        <v/>
      </c>
      <c r="FI660" s="785" t="str">
        <f t="shared" si="114"/>
        <v/>
      </c>
      <c r="FJ660" s="785" t="str">
        <f t="shared" si="115"/>
        <v/>
      </c>
      <c r="FK660" s="785" t="str">
        <f t="shared" si="116"/>
        <v/>
      </c>
      <c r="FL660" s="785" t="str">
        <f t="shared" si="117"/>
        <v/>
      </c>
      <c r="FM660" s="785" t="str">
        <f t="shared" si="118"/>
        <v/>
      </c>
      <c r="FN660" s="785" t="str">
        <f t="shared" si="119"/>
        <v/>
      </c>
      <c r="FO660" s="785" t="str">
        <f t="shared" si="120"/>
        <v/>
      </c>
      <c r="FP660" s="785" t="str">
        <f t="shared" si="121"/>
        <v/>
      </c>
      <c r="FQ660" s="785" t="str">
        <f t="shared" si="122"/>
        <v/>
      </c>
      <c r="FR660" s="785" t="str">
        <f t="shared" si="123"/>
        <v/>
      </c>
      <c r="FS660" s="785" t="str">
        <f t="shared" si="124"/>
        <v/>
      </c>
      <c r="FT660" s="785" t="str">
        <f t="shared" si="125"/>
        <v/>
      </c>
      <c r="FU660" s="785" t="str">
        <f t="shared" si="126"/>
        <v/>
      </c>
      <c r="FV660" s="785" t="str">
        <f t="shared" si="127"/>
        <v/>
      </c>
      <c r="FW660" s="785" t="str">
        <f t="shared" si="128"/>
        <v/>
      </c>
      <c r="FX660" s="785" t="str">
        <f t="shared" si="129"/>
        <v/>
      </c>
      <c r="FY660" s="785" t="str">
        <f t="shared" si="130"/>
        <v/>
      </c>
      <c r="FZ660" s="785" t="str">
        <f t="shared" si="131"/>
        <v/>
      </c>
      <c r="GA660" s="785" t="str">
        <f t="shared" si="132"/>
        <v/>
      </c>
      <c r="GB660" s="785" t="str">
        <f t="shared" si="133"/>
        <v/>
      </c>
      <c r="GC660" s="785" t="str">
        <f t="shared" si="134"/>
        <v/>
      </c>
      <c r="GD660" s="785" t="str">
        <f t="shared" si="135"/>
        <v/>
      </c>
      <c r="GE660" s="785" t="str">
        <f t="shared" si="136"/>
        <v/>
      </c>
      <c r="GF660" s="785" t="str">
        <f t="shared" si="137"/>
        <v/>
      </c>
      <c r="GG660" s="785" t="str">
        <f t="shared" si="138"/>
        <v/>
      </c>
      <c r="GH660" s="785" t="str">
        <f t="shared" si="139"/>
        <v/>
      </c>
      <c r="GI660" s="785" t="str">
        <f t="shared" si="140"/>
        <v/>
      </c>
      <c r="GJ660" s="785" t="str">
        <f t="shared" si="141"/>
        <v/>
      </c>
      <c r="GK660" s="785" t="str">
        <f t="shared" si="142"/>
        <v/>
      </c>
      <c r="GL660" s="785" t="str">
        <f t="shared" si="143"/>
        <v/>
      </c>
      <c r="GM660" s="785" t="str">
        <f t="shared" si="144"/>
        <v/>
      </c>
      <c r="GN660" s="785" t="str">
        <f t="shared" si="145"/>
        <v/>
      </c>
      <c r="GO660" s="786" t="str">
        <f t="shared" si="146"/>
        <v/>
      </c>
      <c r="GP660" s="786" t="str">
        <f t="shared" si="147"/>
        <v/>
      </c>
      <c r="GQ660" s="786" t="str">
        <f t="shared" si="148"/>
        <v/>
      </c>
      <c r="GR660" s="786" t="str">
        <f t="shared" si="149"/>
        <v/>
      </c>
      <c r="GS660" s="786" t="str">
        <f t="shared" si="150"/>
        <v/>
      </c>
      <c r="GT660" s="580" t="str">
        <f t="shared" si="151"/>
        <v/>
      </c>
      <c r="GU660" s="580" t="str">
        <f t="shared" si="152"/>
        <v/>
      </c>
      <c r="GV660" s="580" t="str">
        <f t="shared" si="153"/>
        <v/>
      </c>
      <c r="GW660" s="580" t="str">
        <f t="shared" si="154"/>
        <v/>
      </c>
      <c r="GX660" s="580" t="str">
        <f t="shared" si="155"/>
        <v/>
      </c>
      <c r="GY660" s="580" t="str">
        <f t="shared" si="156"/>
        <v/>
      </c>
      <c r="GZ660" s="580" t="str">
        <f t="shared" si="157"/>
        <v/>
      </c>
      <c r="HA660" s="580" t="str">
        <f t="shared" si="158"/>
        <v/>
      </c>
      <c r="HB660" s="580" t="str">
        <f t="shared" si="159"/>
        <v/>
      </c>
      <c r="HC660" s="580" t="str">
        <f t="shared" si="160"/>
        <v/>
      </c>
      <c r="HD660" s="580" t="str">
        <f t="shared" si="161"/>
        <v/>
      </c>
      <c r="HE660" s="580" t="str">
        <f t="shared" si="162"/>
        <v/>
      </c>
      <c r="HF660" s="580" t="str">
        <f t="shared" si="163"/>
        <v/>
      </c>
      <c r="HG660" s="580" t="str">
        <f t="shared" si="164"/>
        <v/>
      </c>
      <c r="HH660" s="580" t="str">
        <f t="shared" si="165"/>
        <v/>
      </c>
      <c r="HI660" s="580" t="str">
        <f t="shared" si="166"/>
        <v/>
      </c>
      <c r="HJ660" s="580" t="str">
        <f t="shared" si="167"/>
        <v/>
      </c>
      <c r="HK660" s="580" t="str">
        <f t="shared" si="168"/>
        <v/>
      </c>
      <c r="HL660" s="580" t="str">
        <f t="shared" si="169"/>
        <v/>
      </c>
      <c r="HM660" s="580" t="str">
        <f t="shared" si="170"/>
        <v/>
      </c>
    </row>
    <row r="661" spans="1:221" ht="13.15" customHeight="1">
      <c r="A661" s="888" t="str">
        <f t="shared" si="171"/>
        <v/>
      </c>
      <c r="B661" s="1054" t="str">
        <f>'Part VI-Revenues &amp; Expenses'!B27</f>
        <v>&lt;&lt;Select&gt;&gt;</v>
      </c>
      <c r="C661" s="1055">
        <f>'Part VI-Revenues &amp; Expenses'!C27</f>
        <v>0</v>
      </c>
      <c r="D661" s="1056">
        <f>'Part VI-Revenues &amp; Expenses'!D27</f>
        <v>0</v>
      </c>
      <c r="E661" s="1057">
        <f>'Part VI-Revenues &amp; Expenses'!E27</f>
        <v>0</v>
      </c>
      <c r="F661" s="1057">
        <f>'Part VI-Revenues &amp; Expenses'!F27</f>
        <v>0</v>
      </c>
      <c r="G661" s="1057">
        <f>'Part VI-Revenues &amp; Expenses'!G27</f>
        <v>0</v>
      </c>
      <c r="H661" s="1057">
        <f>'Part VI-Revenues &amp; Expenses'!H27</f>
        <v>0</v>
      </c>
      <c r="I661" s="1057">
        <f>'Part VI-Revenues &amp; Expenses'!I27</f>
        <v>0</v>
      </c>
      <c r="J661" s="818">
        <f>'Part VI-Revenues &amp; Expenses'!J27</f>
        <v>0</v>
      </c>
      <c r="K661" s="893">
        <f t="shared" si="172"/>
        <v>0</v>
      </c>
      <c r="L661" s="893">
        <f t="shared" si="0"/>
        <v>0</v>
      </c>
      <c r="M661" s="783">
        <f>'Part VI-Revenues &amp; Expenses'!M27</f>
        <v>0</v>
      </c>
      <c r="N661" s="783">
        <f>'Part VI-Revenues &amp; Expenses'!N27</f>
        <v>0</v>
      </c>
      <c r="O661" s="783">
        <f>'Part VI-Revenues &amp; Expenses'!O27</f>
        <v>0</v>
      </c>
      <c r="P661" s="894">
        <f t="shared" si="203"/>
        <v>0</v>
      </c>
      <c r="Q661" s="895" t="str">
        <f>'Part VI-Revenues &amp; Expenses'!Q27</f>
        <v/>
      </c>
      <c r="R661" s="894"/>
      <c r="S661" s="895"/>
      <c r="T661" s="2130"/>
      <c r="U661" s="2130"/>
      <c r="V661" s="580" t="str">
        <f t="shared" si="1"/>
        <v/>
      </c>
      <c r="W661" s="580" t="str">
        <f t="shared" si="2"/>
        <v/>
      </c>
      <c r="X661" s="580" t="str">
        <f t="shared" si="3"/>
        <v/>
      </c>
      <c r="Y661" s="580" t="str">
        <f t="shared" si="4"/>
        <v/>
      </c>
      <c r="Z661" s="580" t="str">
        <f t="shared" si="5"/>
        <v/>
      </c>
      <c r="AA661" s="580" t="str">
        <f t="shared" si="6"/>
        <v/>
      </c>
      <c r="AB661" s="580" t="str">
        <f t="shared" si="7"/>
        <v/>
      </c>
      <c r="AC661" s="580" t="str">
        <f t="shared" si="8"/>
        <v/>
      </c>
      <c r="AD661" s="580" t="str">
        <f t="shared" si="9"/>
        <v/>
      </c>
      <c r="AE661" s="580" t="str">
        <f t="shared" si="10"/>
        <v/>
      </c>
      <c r="AF661" s="580" t="str">
        <f t="shared" si="11"/>
        <v/>
      </c>
      <c r="AG661" s="580" t="str">
        <f t="shared" si="12"/>
        <v/>
      </c>
      <c r="AH661" s="580" t="str">
        <f t="shared" si="13"/>
        <v/>
      </c>
      <c r="AI661" s="580" t="str">
        <f t="shared" si="14"/>
        <v/>
      </c>
      <c r="AJ661" s="580" t="str">
        <f t="shared" si="15"/>
        <v/>
      </c>
      <c r="AK661" s="580" t="str">
        <f t="shared" si="16"/>
        <v/>
      </c>
      <c r="AL661" s="580" t="str">
        <f t="shared" si="17"/>
        <v/>
      </c>
      <c r="AM661" s="580" t="str">
        <f t="shared" si="18"/>
        <v/>
      </c>
      <c r="AN661" s="580" t="str">
        <f t="shared" si="19"/>
        <v/>
      </c>
      <c r="AO661" s="580" t="str">
        <f t="shared" si="20"/>
        <v/>
      </c>
      <c r="AP661" s="580" t="str">
        <f t="shared" si="173"/>
        <v/>
      </c>
      <c r="AQ661" s="580" t="str">
        <f t="shared" si="174"/>
        <v/>
      </c>
      <c r="AR661" s="580" t="str">
        <f t="shared" si="175"/>
        <v/>
      </c>
      <c r="AS661" s="580" t="str">
        <f t="shared" si="176"/>
        <v/>
      </c>
      <c r="AT661" s="580" t="str">
        <f t="shared" si="177"/>
        <v/>
      </c>
      <c r="AU661" s="580" t="str">
        <f t="shared" si="178"/>
        <v/>
      </c>
      <c r="AV661" s="580" t="str">
        <f t="shared" si="179"/>
        <v/>
      </c>
      <c r="AW661" s="580" t="str">
        <f t="shared" si="180"/>
        <v/>
      </c>
      <c r="AX661" s="580" t="str">
        <f t="shared" si="181"/>
        <v/>
      </c>
      <c r="AY661" s="580" t="str">
        <f t="shared" si="182"/>
        <v/>
      </c>
      <c r="AZ661" s="580" t="str">
        <f t="shared" si="183"/>
        <v/>
      </c>
      <c r="BA661" s="580" t="str">
        <f t="shared" si="184"/>
        <v/>
      </c>
      <c r="BB661" s="580" t="str">
        <f t="shared" si="185"/>
        <v/>
      </c>
      <c r="BC661" s="580" t="str">
        <f t="shared" si="186"/>
        <v/>
      </c>
      <c r="BD661" s="580" t="str">
        <f t="shared" si="187"/>
        <v/>
      </c>
      <c r="BE661" s="580" t="str">
        <f t="shared" si="188"/>
        <v/>
      </c>
      <c r="BF661" s="580" t="str">
        <f t="shared" si="189"/>
        <v/>
      </c>
      <c r="BG661" s="580" t="str">
        <f t="shared" si="190"/>
        <v/>
      </c>
      <c r="BH661" s="580" t="str">
        <f t="shared" si="191"/>
        <v/>
      </c>
      <c r="BI661" s="580" t="str">
        <f t="shared" si="192"/>
        <v/>
      </c>
      <c r="BJ661" s="580" t="str">
        <f t="shared" si="193"/>
        <v/>
      </c>
      <c r="BK661" s="580" t="str">
        <f t="shared" si="194"/>
        <v/>
      </c>
      <c r="BL661" s="580" t="str">
        <f t="shared" si="195"/>
        <v/>
      </c>
      <c r="BM661" s="580" t="str">
        <f t="shared" si="196"/>
        <v/>
      </c>
      <c r="BN661" s="580" t="str">
        <f t="shared" si="197"/>
        <v/>
      </c>
      <c r="BO661" s="580" t="str">
        <f t="shared" si="198"/>
        <v/>
      </c>
      <c r="BP661" s="580" t="str">
        <f t="shared" si="199"/>
        <v/>
      </c>
      <c r="BQ661" s="580" t="str">
        <f t="shared" si="200"/>
        <v/>
      </c>
      <c r="BR661" s="580" t="str">
        <f t="shared" si="201"/>
        <v/>
      </c>
      <c r="BS661" s="580" t="str">
        <f t="shared" si="202"/>
        <v/>
      </c>
      <c r="BT661" s="580" t="str">
        <f t="shared" si="21"/>
        <v/>
      </c>
      <c r="BU661" s="580" t="str">
        <f t="shared" si="22"/>
        <v/>
      </c>
      <c r="BV661" s="580" t="str">
        <f t="shared" si="23"/>
        <v/>
      </c>
      <c r="BW661" s="580" t="str">
        <f t="shared" si="24"/>
        <v/>
      </c>
      <c r="BX661" s="580" t="str">
        <f t="shared" si="25"/>
        <v/>
      </c>
      <c r="BY661" s="580" t="str">
        <f t="shared" si="26"/>
        <v/>
      </c>
      <c r="BZ661" s="580" t="str">
        <f t="shared" si="27"/>
        <v/>
      </c>
      <c r="CA661" s="580" t="str">
        <f t="shared" si="28"/>
        <v/>
      </c>
      <c r="CB661" s="580" t="str">
        <f t="shared" si="29"/>
        <v/>
      </c>
      <c r="CC661" s="580" t="str">
        <f t="shared" si="30"/>
        <v/>
      </c>
      <c r="CD661" s="580" t="str">
        <f t="shared" si="31"/>
        <v/>
      </c>
      <c r="CE661" s="580" t="str">
        <f t="shared" si="32"/>
        <v/>
      </c>
      <c r="CF661" s="580" t="str">
        <f t="shared" si="33"/>
        <v/>
      </c>
      <c r="CG661" s="580" t="str">
        <f t="shared" si="34"/>
        <v/>
      </c>
      <c r="CH661" s="580" t="str">
        <f t="shared" si="35"/>
        <v/>
      </c>
      <c r="CI661" s="580" t="str">
        <f t="shared" si="36"/>
        <v/>
      </c>
      <c r="CJ661" s="580" t="str">
        <f t="shared" si="37"/>
        <v/>
      </c>
      <c r="CK661" s="580" t="str">
        <f t="shared" si="38"/>
        <v/>
      </c>
      <c r="CL661" s="580" t="str">
        <f t="shared" si="39"/>
        <v/>
      </c>
      <c r="CM661" s="580" t="str">
        <f t="shared" si="40"/>
        <v/>
      </c>
      <c r="CN661" s="580" t="str">
        <f t="shared" si="41"/>
        <v/>
      </c>
      <c r="CO661" s="580" t="str">
        <f t="shared" si="42"/>
        <v/>
      </c>
      <c r="CP661" s="580" t="str">
        <f t="shared" si="43"/>
        <v/>
      </c>
      <c r="CQ661" s="580" t="str">
        <f t="shared" si="44"/>
        <v/>
      </c>
      <c r="CR661" s="580" t="str">
        <f t="shared" si="45"/>
        <v/>
      </c>
      <c r="CS661" s="580" t="str">
        <f t="shared" si="46"/>
        <v/>
      </c>
      <c r="CT661" s="580" t="str">
        <f t="shared" si="47"/>
        <v/>
      </c>
      <c r="CU661" s="580" t="str">
        <f t="shared" si="48"/>
        <v/>
      </c>
      <c r="CV661" s="580" t="str">
        <f t="shared" si="49"/>
        <v/>
      </c>
      <c r="CW661" s="580" t="str">
        <f t="shared" si="50"/>
        <v/>
      </c>
      <c r="CX661" s="580" t="str">
        <f t="shared" si="51"/>
        <v/>
      </c>
      <c r="CY661" s="580" t="str">
        <f t="shared" si="52"/>
        <v/>
      </c>
      <c r="CZ661" s="580" t="str">
        <f t="shared" si="53"/>
        <v/>
      </c>
      <c r="DA661" s="580" t="str">
        <f t="shared" si="54"/>
        <v/>
      </c>
      <c r="DB661" s="580" t="str">
        <f t="shared" si="55"/>
        <v/>
      </c>
      <c r="DC661" s="580" t="str">
        <f t="shared" si="56"/>
        <v/>
      </c>
      <c r="DD661" s="580" t="str">
        <f t="shared" si="57"/>
        <v/>
      </c>
      <c r="DE661" s="580" t="str">
        <f t="shared" si="58"/>
        <v/>
      </c>
      <c r="DF661" s="580" t="str">
        <f t="shared" si="59"/>
        <v/>
      </c>
      <c r="DG661" s="580" t="str">
        <f t="shared" si="60"/>
        <v/>
      </c>
      <c r="DH661" s="580" t="str">
        <f t="shared" si="61"/>
        <v/>
      </c>
      <c r="DI661" s="580" t="str">
        <f t="shared" si="62"/>
        <v/>
      </c>
      <c r="DJ661" s="580" t="str">
        <f t="shared" si="63"/>
        <v/>
      </c>
      <c r="DK661" s="580" t="str">
        <f t="shared" si="64"/>
        <v/>
      </c>
      <c r="DL661" s="580" t="str">
        <f t="shared" si="65"/>
        <v/>
      </c>
      <c r="DM661" s="580" t="str">
        <f t="shared" si="66"/>
        <v/>
      </c>
      <c r="DN661" s="580" t="str">
        <f t="shared" si="67"/>
        <v/>
      </c>
      <c r="DO661" s="580" t="str">
        <f t="shared" si="68"/>
        <v/>
      </c>
      <c r="DP661" s="580" t="str">
        <f t="shared" si="69"/>
        <v/>
      </c>
      <c r="DQ661" s="580" t="str">
        <f t="shared" si="70"/>
        <v/>
      </c>
      <c r="DR661" s="580" t="str">
        <f t="shared" si="71"/>
        <v/>
      </c>
      <c r="DS661" s="580" t="str">
        <f t="shared" si="72"/>
        <v/>
      </c>
      <c r="DT661" s="580" t="str">
        <f t="shared" si="73"/>
        <v/>
      </c>
      <c r="DU661" s="580" t="str">
        <f t="shared" si="74"/>
        <v/>
      </c>
      <c r="DV661" s="580" t="str">
        <f t="shared" si="75"/>
        <v/>
      </c>
      <c r="DW661" s="580" t="str">
        <f t="shared" si="76"/>
        <v/>
      </c>
      <c r="DX661" s="580" t="str">
        <f t="shared" si="77"/>
        <v/>
      </c>
      <c r="DY661" s="580" t="str">
        <f t="shared" si="78"/>
        <v/>
      </c>
      <c r="DZ661" s="580" t="str">
        <f t="shared" si="79"/>
        <v/>
      </c>
      <c r="EA661" s="580" t="str">
        <f t="shared" si="80"/>
        <v/>
      </c>
      <c r="EB661" s="580" t="str">
        <f t="shared" si="81"/>
        <v/>
      </c>
      <c r="EC661" s="580" t="str">
        <f t="shared" si="82"/>
        <v/>
      </c>
      <c r="ED661" s="580" t="str">
        <f t="shared" si="83"/>
        <v/>
      </c>
      <c r="EE661" s="580" t="str">
        <f t="shared" si="84"/>
        <v/>
      </c>
      <c r="EF661" s="580" t="str">
        <f t="shared" si="85"/>
        <v/>
      </c>
      <c r="EG661" s="580" t="str">
        <f t="shared" si="86"/>
        <v/>
      </c>
      <c r="EH661" s="580" t="str">
        <f t="shared" si="87"/>
        <v/>
      </c>
      <c r="EI661" s="580" t="str">
        <f t="shared" si="88"/>
        <v/>
      </c>
      <c r="EJ661" s="580" t="str">
        <f t="shared" si="89"/>
        <v/>
      </c>
      <c r="EK661" s="580" t="str">
        <f t="shared" si="90"/>
        <v/>
      </c>
      <c r="EL661" s="580" t="str">
        <f t="shared" si="91"/>
        <v/>
      </c>
      <c r="EM661" s="580" t="str">
        <f t="shared" si="92"/>
        <v/>
      </c>
      <c r="EN661" s="580" t="str">
        <f t="shared" si="93"/>
        <v/>
      </c>
      <c r="EO661" s="580" t="str">
        <f t="shared" si="94"/>
        <v/>
      </c>
      <c r="EP661" s="580" t="str">
        <f t="shared" si="95"/>
        <v/>
      </c>
      <c r="EQ661" s="580" t="str">
        <f t="shared" si="96"/>
        <v/>
      </c>
      <c r="ER661" s="580" t="str">
        <f t="shared" si="97"/>
        <v/>
      </c>
      <c r="ES661" s="580" t="str">
        <f t="shared" si="98"/>
        <v/>
      </c>
      <c r="ET661" s="580" t="str">
        <f t="shared" si="99"/>
        <v/>
      </c>
      <c r="EU661" s="580" t="str">
        <f t="shared" si="100"/>
        <v/>
      </c>
      <c r="EV661" s="785" t="str">
        <f t="shared" si="101"/>
        <v/>
      </c>
      <c r="EW661" s="785" t="str">
        <f t="shared" si="102"/>
        <v/>
      </c>
      <c r="EX661" s="785" t="str">
        <f t="shared" si="103"/>
        <v/>
      </c>
      <c r="EY661" s="785" t="str">
        <f t="shared" si="104"/>
        <v/>
      </c>
      <c r="EZ661" s="785" t="str">
        <f t="shared" si="105"/>
        <v/>
      </c>
      <c r="FA661" s="785" t="str">
        <f t="shared" si="106"/>
        <v/>
      </c>
      <c r="FB661" s="785" t="str">
        <f t="shared" si="107"/>
        <v/>
      </c>
      <c r="FC661" s="785" t="str">
        <f t="shared" si="108"/>
        <v/>
      </c>
      <c r="FD661" s="785" t="str">
        <f t="shared" si="109"/>
        <v/>
      </c>
      <c r="FE661" s="785" t="str">
        <f t="shared" si="110"/>
        <v/>
      </c>
      <c r="FF661" s="785" t="str">
        <f t="shared" si="111"/>
        <v/>
      </c>
      <c r="FG661" s="785" t="str">
        <f t="shared" si="112"/>
        <v/>
      </c>
      <c r="FH661" s="785" t="str">
        <f t="shared" si="113"/>
        <v/>
      </c>
      <c r="FI661" s="785" t="str">
        <f t="shared" si="114"/>
        <v/>
      </c>
      <c r="FJ661" s="785" t="str">
        <f t="shared" si="115"/>
        <v/>
      </c>
      <c r="FK661" s="785" t="str">
        <f t="shared" si="116"/>
        <v/>
      </c>
      <c r="FL661" s="785" t="str">
        <f t="shared" si="117"/>
        <v/>
      </c>
      <c r="FM661" s="785" t="str">
        <f t="shared" si="118"/>
        <v/>
      </c>
      <c r="FN661" s="785" t="str">
        <f t="shared" si="119"/>
        <v/>
      </c>
      <c r="FO661" s="785" t="str">
        <f t="shared" si="120"/>
        <v/>
      </c>
      <c r="FP661" s="785" t="str">
        <f t="shared" si="121"/>
        <v/>
      </c>
      <c r="FQ661" s="785" t="str">
        <f t="shared" si="122"/>
        <v/>
      </c>
      <c r="FR661" s="785" t="str">
        <f t="shared" si="123"/>
        <v/>
      </c>
      <c r="FS661" s="785" t="str">
        <f t="shared" si="124"/>
        <v/>
      </c>
      <c r="FT661" s="785" t="str">
        <f t="shared" si="125"/>
        <v/>
      </c>
      <c r="FU661" s="785" t="str">
        <f t="shared" si="126"/>
        <v/>
      </c>
      <c r="FV661" s="785" t="str">
        <f t="shared" si="127"/>
        <v/>
      </c>
      <c r="FW661" s="785" t="str">
        <f t="shared" si="128"/>
        <v/>
      </c>
      <c r="FX661" s="785" t="str">
        <f t="shared" si="129"/>
        <v/>
      </c>
      <c r="FY661" s="785" t="str">
        <f t="shared" si="130"/>
        <v/>
      </c>
      <c r="FZ661" s="785" t="str">
        <f t="shared" si="131"/>
        <v/>
      </c>
      <c r="GA661" s="785" t="str">
        <f t="shared" si="132"/>
        <v/>
      </c>
      <c r="GB661" s="785" t="str">
        <f t="shared" si="133"/>
        <v/>
      </c>
      <c r="GC661" s="785" t="str">
        <f t="shared" si="134"/>
        <v/>
      </c>
      <c r="GD661" s="785" t="str">
        <f t="shared" si="135"/>
        <v/>
      </c>
      <c r="GE661" s="785" t="str">
        <f t="shared" si="136"/>
        <v/>
      </c>
      <c r="GF661" s="785" t="str">
        <f t="shared" si="137"/>
        <v/>
      </c>
      <c r="GG661" s="785" t="str">
        <f t="shared" si="138"/>
        <v/>
      </c>
      <c r="GH661" s="785" t="str">
        <f t="shared" si="139"/>
        <v/>
      </c>
      <c r="GI661" s="785" t="str">
        <f t="shared" si="140"/>
        <v/>
      </c>
      <c r="GJ661" s="785" t="str">
        <f t="shared" si="141"/>
        <v/>
      </c>
      <c r="GK661" s="785" t="str">
        <f t="shared" si="142"/>
        <v/>
      </c>
      <c r="GL661" s="785" t="str">
        <f t="shared" si="143"/>
        <v/>
      </c>
      <c r="GM661" s="785" t="str">
        <f t="shared" si="144"/>
        <v/>
      </c>
      <c r="GN661" s="785" t="str">
        <f t="shared" si="145"/>
        <v/>
      </c>
      <c r="GO661" s="786" t="str">
        <f t="shared" si="146"/>
        <v/>
      </c>
      <c r="GP661" s="786" t="str">
        <f t="shared" si="147"/>
        <v/>
      </c>
      <c r="GQ661" s="786" t="str">
        <f t="shared" si="148"/>
        <v/>
      </c>
      <c r="GR661" s="786" t="str">
        <f t="shared" si="149"/>
        <v/>
      </c>
      <c r="GS661" s="786" t="str">
        <f t="shared" si="150"/>
        <v/>
      </c>
      <c r="GT661" s="580" t="str">
        <f t="shared" si="151"/>
        <v/>
      </c>
      <c r="GU661" s="580" t="str">
        <f t="shared" si="152"/>
        <v/>
      </c>
      <c r="GV661" s="580" t="str">
        <f t="shared" si="153"/>
        <v/>
      </c>
      <c r="GW661" s="580" t="str">
        <f t="shared" si="154"/>
        <v/>
      </c>
      <c r="GX661" s="580" t="str">
        <f t="shared" si="155"/>
        <v/>
      </c>
      <c r="GY661" s="580" t="str">
        <f t="shared" si="156"/>
        <v/>
      </c>
      <c r="GZ661" s="580" t="str">
        <f t="shared" si="157"/>
        <v/>
      </c>
      <c r="HA661" s="580" t="str">
        <f t="shared" si="158"/>
        <v/>
      </c>
      <c r="HB661" s="580" t="str">
        <f t="shared" si="159"/>
        <v/>
      </c>
      <c r="HC661" s="580" t="str">
        <f t="shared" si="160"/>
        <v/>
      </c>
      <c r="HD661" s="580" t="str">
        <f t="shared" si="161"/>
        <v/>
      </c>
      <c r="HE661" s="580" t="str">
        <f t="shared" si="162"/>
        <v/>
      </c>
      <c r="HF661" s="580" t="str">
        <f t="shared" si="163"/>
        <v/>
      </c>
      <c r="HG661" s="580" t="str">
        <f t="shared" si="164"/>
        <v/>
      </c>
      <c r="HH661" s="580" t="str">
        <f t="shared" si="165"/>
        <v/>
      </c>
      <c r="HI661" s="580" t="str">
        <f t="shared" si="166"/>
        <v/>
      </c>
      <c r="HJ661" s="580" t="str">
        <f t="shared" si="167"/>
        <v/>
      </c>
      <c r="HK661" s="580" t="str">
        <f t="shared" si="168"/>
        <v/>
      </c>
      <c r="HL661" s="580" t="str">
        <f t="shared" si="169"/>
        <v/>
      </c>
      <c r="HM661" s="580" t="str">
        <f t="shared" si="170"/>
        <v/>
      </c>
    </row>
    <row r="662" spans="1:221" ht="13.15" customHeight="1">
      <c r="A662" s="888" t="str">
        <f t="shared" si="171"/>
        <v/>
      </c>
      <c r="B662" s="1054" t="str">
        <f>'Part VI-Revenues &amp; Expenses'!B28</f>
        <v>&lt;&lt;Select&gt;&gt;</v>
      </c>
      <c r="C662" s="1055">
        <f>'Part VI-Revenues &amp; Expenses'!C28</f>
        <v>0</v>
      </c>
      <c r="D662" s="1056">
        <f>'Part VI-Revenues &amp; Expenses'!D28</f>
        <v>0</v>
      </c>
      <c r="E662" s="1057">
        <f>'Part VI-Revenues &amp; Expenses'!E28</f>
        <v>0</v>
      </c>
      <c r="F662" s="1057">
        <f>'Part VI-Revenues &amp; Expenses'!F28</f>
        <v>0</v>
      </c>
      <c r="G662" s="1057">
        <f>'Part VI-Revenues &amp; Expenses'!G28</f>
        <v>0</v>
      </c>
      <c r="H662" s="1057">
        <f>'Part VI-Revenues &amp; Expenses'!H28</f>
        <v>0</v>
      </c>
      <c r="I662" s="1057">
        <f>'Part VI-Revenues &amp; Expenses'!I28</f>
        <v>0</v>
      </c>
      <c r="J662" s="818">
        <f>'Part VI-Revenues &amp; Expenses'!J28</f>
        <v>0</v>
      </c>
      <c r="K662" s="893">
        <f>MAX(0,H662-I662)</f>
        <v>0</v>
      </c>
      <c r="L662" s="893">
        <f t="shared" si="0"/>
        <v>0</v>
      </c>
      <c r="M662" s="783">
        <f>'Part VI-Revenues &amp; Expenses'!M28</f>
        <v>0</v>
      </c>
      <c r="N662" s="783">
        <f>'Part VI-Revenues &amp; Expenses'!N28</f>
        <v>0</v>
      </c>
      <c r="O662" s="783">
        <f>'Part VI-Revenues &amp; Expenses'!O28</f>
        <v>0</v>
      </c>
      <c r="P662" s="894">
        <f t="shared" si="203"/>
        <v>0</v>
      </c>
      <c r="Q662" s="895" t="str">
        <f>'Part VI-Revenues &amp; Expenses'!Q28</f>
        <v/>
      </c>
      <c r="R662" s="894"/>
      <c r="S662" s="895"/>
      <c r="T662" s="2130"/>
      <c r="U662" s="2130"/>
      <c r="V662" s="580" t="str">
        <f t="shared" si="1"/>
        <v/>
      </c>
      <c r="W662" s="580" t="str">
        <f t="shared" si="2"/>
        <v/>
      </c>
      <c r="X662" s="580" t="str">
        <f t="shared" si="3"/>
        <v/>
      </c>
      <c r="Y662" s="580" t="str">
        <f t="shared" si="4"/>
        <v/>
      </c>
      <c r="Z662" s="580" t="str">
        <f t="shared" si="5"/>
        <v/>
      </c>
      <c r="AA662" s="580" t="str">
        <f t="shared" si="6"/>
        <v/>
      </c>
      <c r="AB662" s="580" t="str">
        <f t="shared" si="7"/>
        <v/>
      </c>
      <c r="AC662" s="580" t="str">
        <f t="shared" si="8"/>
        <v/>
      </c>
      <c r="AD662" s="580" t="str">
        <f t="shared" si="9"/>
        <v/>
      </c>
      <c r="AE662" s="580" t="str">
        <f t="shared" si="10"/>
        <v/>
      </c>
      <c r="AF662" s="580" t="str">
        <f t="shared" si="11"/>
        <v/>
      </c>
      <c r="AG662" s="580" t="str">
        <f t="shared" si="12"/>
        <v/>
      </c>
      <c r="AH662" s="580" t="str">
        <f t="shared" si="13"/>
        <v/>
      </c>
      <c r="AI662" s="580" t="str">
        <f t="shared" si="14"/>
        <v/>
      </c>
      <c r="AJ662" s="580" t="str">
        <f t="shared" si="15"/>
        <v/>
      </c>
      <c r="AK662" s="580" t="str">
        <f t="shared" si="16"/>
        <v/>
      </c>
      <c r="AL662" s="580" t="str">
        <f t="shared" si="17"/>
        <v/>
      </c>
      <c r="AM662" s="580" t="str">
        <f t="shared" si="18"/>
        <v/>
      </c>
      <c r="AN662" s="580" t="str">
        <f t="shared" si="19"/>
        <v/>
      </c>
      <c r="AO662" s="580" t="str">
        <f t="shared" si="20"/>
        <v/>
      </c>
      <c r="AP662" s="580" t="str">
        <f t="shared" si="173"/>
        <v/>
      </c>
      <c r="AQ662" s="580" t="str">
        <f t="shared" si="174"/>
        <v/>
      </c>
      <c r="AR662" s="580" t="str">
        <f t="shared" si="175"/>
        <v/>
      </c>
      <c r="AS662" s="580" t="str">
        <f t="shared" si="176"/>
        <v/>
      </c>
      <c r="AT662" s="580" t="str">
        <f t="shared" si="177"/>
        <v/>
      </c>
      <c r="AU662" s="580" t="str">
        <f t="shared" si="178"/>
        <v/>
      </c>
      <c r="AV662" s="580" t="str">
        <f t="shared" si="179"/>
        <v/>
      </c>
      <c r="AW662" s="580" t="str">
        <f t="shared" si="180"/>
        <v/>
      </c>
      <c r="AX662" s="580" t="str">
        <f t="shared" si="181"/>
        <v/>
      </c>
      <c r="AY662" s="580" t="str">
        <f t="shared" si="182"/>
        <v/>
      </c>
      <c r="AZ662" s="580" t="str">
        <f t="shared" si="183"/>
        <v/>
      </c>
      <c r="BA662" s="580" t="str">
        <f t="shared" si="184"/>
        <v/>
      </c>
      <c r="BB662" s="580" t="str">
        <f t="shared" si="185"/>
        <v/>
      </c>
      <c r="BC662" s="580" t="str">
        <f t="shared" si="186"/>
        <v/>
      </c>
      <c r="BD662" s="580" t="str">
        <f t="shared" si="187"/>
        <v/>
      </c>
      <c r="BE662" s="580" t="str">
        <f t="shared" si="188"/>
        <v/>
      </c>
      <c r="BF662" s="580" t="str">
        <f t="shared" si="189"/>
        <v/>
      </c>
      <c r="BG662" s="580" t="str">
        <f t="shared" si="190"/>
        <v/>
      </c>
      <c r="BH662" s="580" t="str">
        <f t="shared" si="191"/>
        <v/>
      </c>
      <c r="BI662" s="580" t="str">
        <f t="shared" si="192"/>
        <v/>
      </c>
      <c r="BJ662" s="580" t="str">
        <f t="shared" si="193"/>
        <v/>
      </c>
      <c r="BK662" s="580" t="str">
        <f t="shared" si="194"/>
        <v/>
      </c>
      <c r="BL662" s="580" t="str">
        <f t="shared" si="195"/>
        <v/>
      </c>
      <c r="BM662" s="580" t="str">
        <f t="shared" si="196"/>
        <v/>
      </c>
      <c r="BN662" s="580" t="str">
        <f t="shared" si="197"/>
        <v/>
      </c>
      <c r="BO662" s="580" t="str">
        <f t="shared" si="198"/>
        <v/>
      </c>
      <c r="BP662" s="580" t="str">
        <f t="shared" si="199"/>
        <v/>
      </c>
      <c r="BQ662" s="580" t="str">
        <f t="shared" si="200"/>
        <v/>
      </c>
      <c r="BR662" s="580" t="str">
        <f t="shared" si="201"/>
        <v/>
      </c>
      <c r="BS662" s="580" t="str">
        <f t="shared" si="202"/>
        <v/>
      </c>
      <c r="BT662" s="580" t="str">
        <f t="shared" si="21"/>
        <v/>
      </c>
      <c r="BU662" s="580" t="str">
        <f t="shared" si="22"/>
        <v/>
      </c>
      <c r="BV662" s="580" t="str">
        <f t="shared" si="23"/>
        <v/>
      </c>
      <c r="BW662" s="580" t="str">
        <f t="shared" si="24"/>
        <v/>
      </c>
      <c r="BX662" s="580" t="str">
        <f t="shared" si="25"/>
        <v/>
      </c>
      <c r="BY662" s="580" t="str">
        <f t="shared" si="26"/>
        <v/>
      </c>
      <c r="BZ662" s="580" t="str">
        <f t="shared" si="27"/>
        <v/>
      </c>
      <c r="CA662" s="580" t="str">
        <f t="shared" si="28"/>
        <v/>
      </c>
      <c r="CB662" s="580" t="str">
        <f t="shared" si="29"/>
        <v/>
      </c>
      <c r="CC662" s="580" t="str">
        <f t="shared" si="30"/>
        <v/>
      </c>
      <c r="CD662" s="580" t="str">
        <f t="shared" si="31"/>
        <v/>
      </c>
      <c r="CE662" s="580" t="str">
        <f t="shared" si="32"/>
        <v/>
      </c>
      <c r="CF662" s="580" t="str">
        <f t="shared" si="33"/>
        <v/>
      </c>
      <c r="CG662" s="580" t="str">
        <f t="shared" si="34"/>
        <v/>
      </c>
      <c r="CH662" s="580" t="str">
        <f t="shared" si="35"/>
        <v/>
      </c>
      <c r="CI662" s="580" t="str">
        <f t="shared" si="36"/>
        <v/>
      </c>
      <c r="CJ662" s="580" t="str">
        <f t="shared" si="37"/>
        <v/>
      </c>
      <c r="CK662" s="580" t="str">
        <f t="shared" si="38"/>
        <v/>
      </c>
      <c r="CL662" s="580" t="str">
        <f t="shared" si="39"/>
        <v/>
      </c>
      <c r="CM662" s="580" t="str">
        <f t="shared" si="40"/>
        <v/>
      </c>
      <c r="CN662" s="580" t="str">
        <f t="shared" si="41"/>
        <v/>
      </c>
      <c r="CO662" s="580" t="str">
        <f t="shared" si="42"/>
        <v/>
      </c>
      <c r="CP662" s="580" t="str">
        <f t="shared" si="43"/>
        <v/>
      </c>
      <c r="CQ662" s="580" t="str">
        <f t="shared" si="44"/>
        <v/>
      </c>
      <c r="CR662" s="580" t="str">
        <f t="shared" si="45"/>
        <v/>
      </c>
      <c r="CS662" s="580" t="str">
        <f t="shared" si="46"/>
        <v/>
      </c>
      <c r="CT662" s="580" t="str">
        <f t="shared" si="47"/>
        <v/>
      </c>
      <c r="CU662" s="580" t="str">
        <f t="shared" si="48"/>
        <v/>
      </c>
      <c r="CV662" s="580" t="str">
        <f t="shared" si="49"/>
        <v/>
      </c>
      <c r="CW662" s="580" t="str">
        <f t="shared" si="50"/>
        <v/>
      </c>
      <c r="CX662" s="580" t="str">
        <f t="shared" si="51"/>
        <v/>
      </c>
      <c r="CY662" s="580" t="str">
        <f t="shared" si="52"/>
        <v/>
      </c>
      <c r="CZ662" s="580" t="str">
        <f t="shared" si="53"/>
        <v/>
      </c>
      <c r="DA662" s="580" t="str">
        <f t="shared" si="54"/>
        <v/>
      </c>
      <c r="DB662" s="580" t="str">
        <f t="shared" si="55"/>
        <v/>
      </c>
      <c r="DC662" s="580" t="str">
        <f t="shared" si="56"/>
        <v/>
      </c>
      <c r="DD662" s="580" t="str">
        <f t="shared" si="57"/>
        <v/>
      </c>
      <c r="DE662" s="580" t="str">
        <f t="shared" si="58"/>
        <v/>
      </c>
      <c r="DF662" s="580" t="str">
        <f t="shared" si="59"/>
        <v/>
      </c>
      <c r="DG662" s="580" t="str">
        <f t="shared" si="60"/>
        <v/>
      </c>
      <c r="DH662" s="580" t="str">
        <f t="shared" si="61"/>
        <v/>
      </c>
      <c r="DI662" s="580" t="str">
        <f t="shared" si="62"/>
        <v/>
      </c>
      <c r="DJ662" s="580" t="str">
        <f t="shared" si="63"/>
        <v/>
      </c>
      <c r="DK662" s="580" t="str">
        <f t="shared" si="64"/>
        <v/>
      </c>
      <c r="DL662" s="580" t="str">
        <f t="shared" si="65"/>
        <v/>
      </c>
      <c r="DM662" s="580" t="str">
        <f t="shared" si="66"/>
        <v/>
      </c>
      <c r="DN662" s="580" t="str">
        <f t="shared" si="67"/>
        <v/>
      </c>
      <c r="DO662" s="580" t="str">
        <f t="shared" si="68"/>
        <v/>
      </c>
      <c r="DP662" s="580" t="str">
        <f t="shared" si="69"/>
        <v/>
      </c>
      <c r="DQ662" s="580" t="str">
        <f t="shared" si="70"/>
        <v/>
      </c>
      <c r="DR662" s="580" t="str">
        <f t="shared" si="71"/>
        <v/>
      </c>
      <c r="DS662" s="580" t="str">
        <f t="shared" si="72"/>
        <v/>
      </c>
      <c r="DT662" s="580" t="str">
        <f t="shared" si="73"/>
        <v/>
      </c>
      <c r="DU662" s="580" t="str">
        <f t="shared" si="74"/>
        <v/>
      </c>
      <c r="DV662" s="580" t="str">
        <f t="shared" si="75"/>
        <v/>
      </c>
      <c r="DW662" s="580" t="str">
        <f t="shared" si="76"/>
        <v/>
      </c>
      <c r="DX662" s="580" t="str">
        <f t="shared" si="77"/>
        <v/>
      </c>
      <c r="DY662" s="580" t="str">
        <f t="shared" si="78"/>
        <v/>
      </c>
      <c r="DZ662" s="580" t="str">
        <f t="shared" si="79"/>
        <v/>
      </c>
      <c r="EA662" s="580" t="str">
        <f t="shared" si="80"/>
        <v/>
      </c>
      <c r="EB662" s="580" t="str">
        <f t="shared" si="81"/>
        <v/>
      </c>
      <c r="EC662" s="580" t="str">
        <f t="shared" si="82"/>
        <v/>
      </c>
      <c r="ED662" s="580" t="str">
        <f t="shared" si="83"/>
        <v/>
      </c>
      <c r="EE662" s="580" t="str">
        <f t="shared" si="84"/>
        <v/>
      </c>
      <c r="EF662" s="580" t="str">
        <f t="shared" si="85"/>
        <v/>
      </c>
      <c r="EG662" s="580" t="str">
        <f t="shared" si="86"/>
        <v/>
      </c>
      <c r="EH662" s="580" t="str">
        <f t="shared" si="87"/>
        <v/>
      </c>
      <c r="EI662" s="580" t="str">
        <f t="shared" si="88"/>
        <v/>
      </c>
      <c r="EJ662" s="580" t="str">
        <f t="shared" si="89"/>
        <v/>
      </c>
      <c r="EK662" s="580" t="str">
        <f t="shared" si="90"/>
        <v/>
      </c>
      <c r="EL662" s="580" t="str">
        <f t="shared" si="91"/>
        <v/>
      </c>
      <c r="EM662" s="580" t="str">
        <f t="shared" si="92"/>
        <v/>
      </c>
      <c r="EN662" s="580" t="str">
        <f t="shared" si="93"/>
        <v/>
      </c>
      <c r="EO662" s="580" t="str">
        <f t="shared" si="94"/>
        <v/>
      </c>
      <c r="EP662" s="580" t="str">
        <f t="shared" si="95"/>
        <v/>
      </c>
      <c r="EQ662" s="580" t="str">
        <f t="shared" si="96"/>
        <v/>
      </c>
      <c r="ER662" s="580" t="str">
        <f t="shared" si="97"/>
        <v/>
      </c>
      <c r="ES662" s="580" t="str">
        <f t="shared" si="98"/>
        <v/>
      </c>
      <c r="ET662" s="580" t="str">
        <f t="shared" si="99"/>
        <v/>
      </c>
      <c r="EU662" s="580" t="str">
        <f t="shared" si="100"/>
        <v/>
      </c>
      <c r="EV662" s="785" t="str">
        <f t="shared" si="101"/>
        <v/>
      </c>
      <c r="EW662" s="785" t="str">
        <f t="shared" si="102"/>
        <v/>
      </c>
      <c r="EX662" s="785" t="str">
        <f t="shared" si="103"/>
        <v/>
      </c>
      <c r="EY662" s="785" t="str">
        <f t="shared" si="104"/>
        <v/>
      </c>
      <c r="EZ662" s="785" t="str">
        <f t="shared" si="105"/>
        <v/>
      </c>
      <c r="FA662" s="785" t="str">
        <f t="shared" si="106"/>
        <v/>
      </c>
      <c r="FB662" s="785" t="str">
        <f t="shared" si="107"/>
        <v/>
      </c>
      <c r="FC662" s="785" t="str">
        <f t="shared" si="108"/>
        <v/>
      </c>
      <c r="FD662" s="785" t="str">
        <f t="shared" si="109"/>
        <v/>
      </c>
      <c r="FE662" s="785" t="str">
        <f t="shared" si="110"/>
        <v/>
      </c>
      <c r="FF662" s="785" t="str">
        <f t="shared" si="111"/>
        <v/>
      </c>
      <c r="FG662" s="785" t="str">
        <f t="shared" si="112"/>
        <v/>
      </c>
      <c r="FH662" s="785" t="str">
        <f t="shared" si="113"/>
        <v/>
      </c>
      <c r="FI662" s="785" t="str">
        <f t="shared" si="114"/>
        <v/>
      </c>
      <c r="FJ662" s="785" t="str">
        <f t="shared" si="115"/>
        <v/>
      </c>
      <c r="FK662" s="785" t="str">
        <f t="shared" si="116"/>
        <v/>
      </c>
      <c r="FL662" s="785" t="str">
        <f t="shared" si="117"/>
        <v/>
      </c>
      <c r="FM662" s="785" t="str">
        <f t="shared" si="118"/>
        <v/>
      </c>
      <c r="FN662" s="785" t="str">
        <f t="shared" si="119"/>
        <v/>
      </c>
      <c r="FO662" s="785" t="str">
        <f t="shared" si="120"/>
        <v/>
      </c>
      <c r="FP662" s="785" t="str">
        <f t="shared" si="121"/>
        <v/>
      </c>
      <c r="FQ662" s="785" t="str">
        <f t="shared" si="122"/>
        <v/>
      </c>
      <c r="FR662" s="785" t="str">
        <f t="shared" si="123"/>
        <v/>
      </c>
      <c r="FS662" s="785" t="str">
        <f t="shared" si="124"/>
        <v/>
      </c>
      <c r="FT662" s="785" t="str">
        <f t="shared" si="125"/>
        <v/>
      </c>
      <c r="FU662" s="785" t="str">
        <f t="shared" si="126"/>
        <v/>
      </c>
      <c r="FV662" s="785" t="str">
        <f t="shared" si="127"/>
        <v/>
      </c>
      <c r="FW662" s="785" t="str">
        <f t="shared" si="128"/>
        <v/>
      </c>
      <c r="FX662" s="785" t="str">
        <f t="shared" si="129"/>
        <v/>
      </c>
      <c r="FY662" s="785" t="str">
        <f t="shared" si="130"/>
        <v/>
      </c>
      <c r="FZ662" s="785" t="str">
        <f t="shared" si="131"/>
        <v/>
      </c>
      <c r="GA662" s="785" t="str">
        <f t="shared" si="132"/>
        <v/>
      </c>
      <c r="GB662" s="785" t="str">
        <f t="shared" si="133"/>
        <v/>
      </c>
      <c r="GC662" s="785" t="str">
        <f t="shared" si="134"/>
        <v/>
      </c>
      <c r="GD662" s="785" t="str">
        <f t="shared" si="135"/>
        <v/>
      </c>
      <c r="GE662" s="785" t="str">
        <f t="shared" si="136"/>
        <v/>
      </c>
      <c r="GF662" s="785" t="str">
        <f t="shared" si="137"/>
        <v/>
      </c>
      <c r="GG662" s="785" t="str">
        <f t="shared" si="138"/>
        <v/>
      </c>
      <c r="GH662" s="785" t="str">
        <f t="shared" si="139"/>
        <v/>
      </c>
      <c r="GI662" s="785" t="str">
        <f t="shared" si="140"/>
        <v/>
      </c>
      <c r="GJ662" s="785" t="str">
        <f t="shared" si="141"/>
        <v/>
      </c>
      <c r="GK662" s="785" t="str">
        <f t="shared" si="142"/>
        <v/>
      </c>
      <c r="GL662" s="785" t="str">
        <f t="shared" si="143"/>
        <v/>
      </c>
      <c r="GM662" s="785" t="str">
        <f t="shared" si="144"/>
        <v/>
      </c>
      <c r="GN662" s="785" t="str">
        <f t="shared" si="145"/>
        <v/>
      </c>
      <c r="GO662" s="786" t="str">
        <f t="shared" si="146"/>
        <v/>
      </c>
      <c r="GP662" s="786" t="str">
        <f t="shared" si="147"/>
        <v/>
      </c>
      <c r="GQ662" s="786" t="str">
        <f t="shared" si="148"/>
        <v/>
      </c>
      <c r="GR662" s="786" t="str">
        <f t="shared" si="149"/>
        <v/>
      </c>
      <c r="GS662" s="786" t="str">
        <f t="shared" si="150"/>
        <v/>
      </c>
      <c r="GT662" s="580" t="str">
        <f t="shared" si="151"/>
        <v/>
      </c>
      <c r="GU662" s="580" t="str">
        <f t="shared" si="152"/>
        <v/>
      </c>
      <c r="GV662" s="580" t="str">
        <f t="shared" si="153"/>
        <v/>
      </c>
      <c r="GW662" s="580" t="str">
        <f t="shared" si="154"/>
        <v/>
      </c>
      <c r="GX662" s="580" t="str">
        <f t="shared" si="155"/>
        <v/>
      </c>
      <c r="GY662" s="580" t="str">
        <f t="shared" si="156"/>
        <v/>
      </c>
      <c r="GZ662" s="580" t="str">
        <f t="shared" si="157"/>
        <v/>
      </c>
      <c r="HA662" s="580" t="str">
        <f t="shared" si="158"/>
        <v/>
      </c>
      <c r="HB662" s="580" t="str">
        <f t="shared" si="159"/>
        <v/>
      </c>
      <c r="HC662" s="580" t="str">
        <f t="shared" si="160"/>
        <v/>
      </c>
      <c r="HD662" s="580" t="str">
        <f t="shared" si="161"/>
        <v/>
      </c>
      <c r="HE662" s="580" t="str">
        <f t="shared" si="162"/>
        <v/>
      </c>
      <c r="HF662" s="580" t="str">
        <f t="shared" si="163"/>
        <v/>
      </c>
      <c r="HG662" s="580" t="str">
        <f t="shared" si="164"/>
        <v/>
      </c>
      <c r="HH662" s="580" t="str">
        <f t="shared" si="165"/>
        <v/>
      </c>
      <c r="HI662" s="580" t="str">
        <f t="shared" si="166"/>
        <v/>
      </c>
      <c r="HJ662" s="580" t="str">
        <f t="shared" si="167"/>
        <v/>
      </c>
      <c r="HK662" s="580" t="str">
        <f t="shared" si="168"/>
        <v/>
      </c>
      <c r="HL662" s="580" t="str">
        <f t="shared" si="169"/>
        <v/>
      </c>
      <c r="HM662" s="580" t="str">
        <f t="shared" si="170"/>
        <v/>
      </c>
    </row>
    <row r="663" spans="1:221" ht="13.15" customHeight="1">
      <c r="A663" s="888" t="str">
        <f t="shared" si="171"/>
        <v/>
      </c>
      <c r="B663" s="1054" t="str">
        <f>'Part VI-Revenues &amp; Expenses'!B29</f>
        <v>&lt;&lt;Select&gt;&gt;</v>
      </c>
      <c r="C663" s="1055">
        <f>'Part VI-Revenues &amp; Expenses'!C29</f>
        <v>0</v>
      </c>
      <c r="D663" s="1056">
        <f>'Part VI-Revenues &amp; Expenses'!D29</f>
        <v>0</v>
      </c>
      <c r="E663" s="1057">
        <f>'Part VI-Revenues &amp; Expenses'!E29</f>
        <v>0</v>
      </c>
      <c r="F663" s="1057">
        <f>'Part VI-Revenues &amp; Expenses'!F29</f>
        <v>0</v>
      </c>
      <c r="G663" s="1057">
        <f>'Part VI-Revenues &amp; Expenses'!G29</f>
        <v>0</v>
      </c>
      <c r="H663" s="1057">
        <f>'Part VI-Revenues &amp; Expenses'!H29</f>
        <v>0</v>
      </c>
      <c r="I663" s="1057">
        <f>'Part VI-Revenues &amp; Expenses'!I29</f>
        <v>0</v>
      </c>
      <c r="J663" s="818">
        <f>'Part VI-Revenues &amp; Expenses'!J29</f>
        <v>0</v>
      </c>
      <c r="K663" s="893">
        <f t="shared" ref="K663:K681" si="204">MAX(0,H663-I663)</f>
        <v>0</v>
      </c>
      <c r="L663" s="893">
        <f t="shared" si="0"/>
        <v>0</v>
      </c>
      <c r="M663" s="783">
        <f>'Part VI-Revenues &amp; Expenses'!M29</f>
        <v>0</v>
      </c>
      <c r="N663" s="783">
        <f>'Part VI-Revenues &amp; Expenses'!N29</f>
        <v>0</v>
      </c>
      <c r="O663" s="783">
        <f>'Part VI-Revenues &amp; Expenses'!O29</f>
        <v>0</v>
      </c>
      <c r="P663" s="894">
        <f t="shared" si="203"/>
        <v>0</v>
      </c>
      <c r="Q663" s="895" t="str">
        <f>'Part VI-Revenues &amp; Expenses'!Q29</f>
        <v/>
      </c>
      <c r="R663" s="894"/>
      <c r="S663" s="895"/>
      <c r="T663" s="2130"/>
      <c r="U663" s="2130"/>
      <c r="V663" s="580" t="str">
        <f t="shared" si="1"/>
        <v/>
      </c>
      <c r="W663" s="580" t="str">
        <f t="shared" si="2"/>
        <v/>
      </c>
      <c r="X663" s="580" t="str">
        <f t="shared" si="3"/>
        <v/>
      </c>
      <c r="Y663" s="580" t="str">
        <f t="shared" si="4"/>
        <v/>
      </c>
      <c r="Z663" s="580" t="str">
        <f t="shared" si="5"/>
        <v/>
      </c>
      <c r="AA663" s="580" t="str">
        <f t="shared" si="6"/>
        <v/>
      </c>
      <c r="AB663" s="580" t="str">
        <f t="shared" si="7"/>
        <v/>
      </c>
      <c r="AC663" s="580" t="str">
        <f t="shared" si="8"/>
        <v/>
      </c>
      <c r="AD663" s="580" t="str">
        <f t="shared" si="9"/>
        <v/>
      </c>
      <c r="AE663" s="580" t="str">
        <f t="shared" si="10"/>
        <v/>
      </c>
      <c r="AF663" s="580" t="str">
        <f t="shared" si="11"/>
        <v/>
      </c>
      <c r="AG663" s="580" t="str">
        <f t="shared" si="12"/>
        <v/>
      </c>
      <c r="AH663" s="580" t="str">
        <f t="shared" si="13"/>
        <v/>
      </c>
      <c r="AI663" s="580" t="str">
        <f t="shared" si="14"/>
        <v/>
      </c>
      <c r="AJ663" s="580" t="str">
        <f t="shared" si="15"/>
        <v/>
      </c>
      <c r="AK663" s="580" t="str">
        <f t="shared" si="16"/>
        <v/>
      </c>
      <c r="AL663" s="580" t="str">
        <f t="shared" si="17"/>
        <v/>
      </c>
      <c r="AM663" s="580" t="str">
        <f t="shared" si="18"/>
        <v/>
      </c>
      <c r="AN663" s="580" t="str">
        <f t="shared" si="19"/>
        <v/>
      </c>
      <c r="AO663" s="580" t="str">
        <f t="shared" si="20"/>
        <v/>
      </c>
      <c r="AP663" s="580" t="str">
        <f t="shared" si="173"/>
        <v/>
      </c>
      <c r="AQ663" s="580" t="str">
        <f t="shared" si="174"/>
        <v/>
      </c>
      <c r="AR663" s="580" t="str">
        <f t="shared" si="175"/>
        <v/>
      </c>
      <c r="AS663" s="580" t="str">
        <f t="shared" si="176"/>
        <v/>
      </c>
      <c r="AT663" s="580" t="str">
        <f t="shared" si="177"/>
        <v/>
      </c>
      <c r="AU663" s="580" t="str">
        <f t="shared" si="178"/>
        <v/>
      </c>
      <c r="AV663" s="580" t="str">
        <f t="shared" si="179"/>
        <v/>
      </c>
      <c r="AW663" s="580" t="str">
        <f t="shared" si="180"/>
        <v/>
      </c>
      <c r="AX663" s="580" t="str">
        <f t="shared" si="181"/>
        <v/>
      </c>
      <c r="AY663" s="580" t="str">
        <f t="shared" si="182"/>
        <v/>
      </c>
      <c r="AZ663" s="580" t="str">
        <f t="shared" si="183"/>
        <v/>
      </c>
      <c r="BA663" s="580" t="str">
        <f t="shared" si="184"/>
        <v/>
      </c>
      <c r="BB663" s="580" t="str">
        <f t="shared" si="185"/>
        <v/>
      </c>
      <c r="BC663" s="580" t="str">
        <f t="shared" si="186"/>
        <v/>
      </c>
      <c r="BD663" s="580" t="str">
        <f t="shared" si="187"/>
        <v/>
      </c>
      <c r="BE663" s="580" t="str">
        <f t="shared" si="188"/>
        <v/>
      </c>
      <c r="BF663" s="580" t="str">
        <f t="shared" si="189"/>
        <v/>
      </c>
      <c r="BG663" s="580" t="str">
        <f t="shared" si="190"/>
        <v/>
      </c>
      <c r="BH663" s="580" t="str">
        <f t="shared" si="191"/>
        <v/>
      </c>
      <c r="BI663" s="580" t="str">
        <f t="shared" si="192"/>
        <v/>
      </c>
      <c r="BJ663" s="580" t="str">
        <f t="shared" si="193"/>
        <v/>
      </c>
      <c r="BK663" s="580" t="str">
        <f t="shared" si="194"/>
        <v/>
      </c>
      <c r="BL663" s="580" t="str">
        <f t="shared" si="195"/>
        <v/>
      </c>
      <c r="BM663" s="580" t="str">
        <f t="shared" si="196"/>
        <v/>
      </c>
      <c r="BN663" s="580" t="str">
        <f t="shared" si="197"/>
        <v/>
      </c>
      <c r="BO663" s="580" t="str">
        <f t="shared" si="198"/>
        <v/>
      </c>
      <c r="BP663" s="580" t="str">
        <f t="shared" si="199"/>
        <v/>
      </c>
      <c r="BQ663" s="580" t="str">
        <f t="shared" si="200"/>
        <v/>
      </c>
      <c r="BR663" s="580" t="str">
        <f t="shared" si="201"/>
        <v/>
      </c>
      <c r="BS663" s="580" t="str">
        <f t="shared" si="202"/>
        <v/>
      </c>
      <c r="BT663" s="580" t="str">
        <f t="shared" si="21"/>
        <v/>
      </c>
      <c r="BU663" s="580" t="str">
        <f t="shared" si="22"/>
        <v/>
      </c>
      <c r="BV663" s="580" t="str">
        <f t="shared" si="23"/>
        <v/>
      </c>
      <c r="BW663" s="580" t="str">
        <f t="shared" si="24"/>
        <v/>
      </c>
      <c r="BX663" s="580" t="str">
        <f t="shared" si="25"/>
        <v/>
      </c>
      <c r="BY663" s="580" t="str">
        <f t="shared" si="26"/>
        <v/>
      </c>
      <c r="BZ663" s="580" t="str">
        <f t="shared" si="27"/>
        <v/>
      </c>
      <c r="CA663" s="580" t="str">
        <f t="shared" si="28"/>
        <v/>
      </c>
      <c r="CB663" s="580" t="str">
        <f t="shared" si="29"/>
        <v/>
      </c>
      <c r="CC663" s="580" t="str">
        <f t="shared" si="30"/>
        <v/>
      </c>
      <c r="CD663" s="580" t="str">
        <f t="shared" si="31"/>
        <v/>
      </c>
      <c r="CE663" s="580" t="str">
        <f t="shared" si="32"/>
        <v/>
      </c>
      <c r="CF663" s="580" t="str">
        <f t="shared" si="33"/>
        <v/>
      </c>
      <c r="CG663" s="580" t="str">
        <f t="shared" si="34"/>
        <v/>
      </c>
      <c r="CH663" s="580" t="str">
        <f t="shared" si="35"/>
        <v/>
      </c>
      <c r="CI663" s="580" t="str">
        <f t="shared" si="36"/>
        <v/>
      </c>
      <c r="CJ663" s="580" t="str">
        <f t="shared" si="37"/>
        <v/>
      </c>
      <c r="CK663" s="580" t="str">
        <f t="shared" si="38"/>
        <v/>
      </c>
      <c r="CL663" s="580" t="str">
        <f t="shared" si="39"/>
        <v/>
      </c>
      <c r="CM663" s="580" t="str">
        <f t="shared" si="40"/>
        <v/>
      </c>
      <c r="CN663" s="580" t="str">
        <f t="shared" si="41"/>
        <v/>
      </c>
      <c r="CO663" s="580" t="str">
        <f t="shared" si="42"/>
        <v/>
      </c>
      <c r="CP663" s="580" t="str">
        <f t="shared" si="43"/>
        <v/>
      </c>
      <c r="CQ663" s="580" t="str">
        <f t="shared" si="44"/>
        <v/>
      </c>
      <c r="CR663" s="580" t="str">
        <f t="shared" si="45"/>
        <v/>
      </c>
      <c r="CS663" s="580" t="str">
        <f t="shared" si="46"/>
        <v/>
      </c>
      <c r="CT663" s="580" t="str">
        <f t="shared" si="47"/>
        <v/>
      </c>
      <c r="CU663" s="580" t="str">
        <f t="shared" si="48"/>
        <v/>
      </c>
      <c r="CV663" s="580" t="str">
        <f t="shared" si="49"/>
        <v/>
      </c>
      <c r="CW663" s="580" t="str">
        <f t="shared" si="50"/>
        <v/>
      </c>
      <c r="CX663" s="580" t="str">
        <f t="shared" si="51"/>
        <v/>
      </c>
      <c r="CY663" s="580" t="str">
        <f t="shared" si="52"/>
        <v/>
      </c>
      <c r="CZ663" s="580" t="str">
        <f t="shared" si="53"/>
        <v/>
      </c>
      <c r="DA663" s="580" t="str">
        <f t="shared" si="54"/>
        <v/>
      </c>
      <c r="DB663" s="580" t="str">
        <f t="shared" si="55"/>
        <v/>
      </c>
      <c r="DC663" s="580" t="str">
        <f t="shared" si="56"/>
        <v/>
      </c>
      <c r="DD663" s="580" t="str">
        <f t="shared" si="57"/>
        <v/>
      </c>
      <c r="DE663" s="580" t="str">
        <f t="shared" si="58"/>
        <v/>
      </c>
      <c r="DF663" s="580" t="str">
        <f t="shared" si="59"/>
        <v/>
      </c>
      <c r="DG663" s="580" t="str">
        <f t="shared" si="60"/>
        <v/>
      </c>
      <c r="DH663" s="580" t="str">
        <f t="shared" si="61"/>
        <v/>
      </c>
      <c r="DI663" s="580" t="str">
        <f t="shared" si="62"/>
        <v/>
      </c>
      <c r="DJ663" s="580" t="str">
        <f t="shared" si="63"/>
        <v/>
      </c>
      <c r="DK663" s="580" t="str">
        <f t="shared" si="64"/>
        <v/>
      </c>
      <c r="DL663" s="580" t="str">
        <f t="shared" si="65"/>
        <v/>
      </c>
      <c r="DM663" s="580" t="str">
        <f t="shared" si="66"/>
        <v/>
      </c>
      <c r="DN663" s="580" t="str">
        <f t="shared" si="67"/>
        <v/>
      </c>
      <c r="DO663" s="580" t="str">
        <f t="shared" si="68"/>
        <v/>
      </c>
      <c r="DP663" s="580" t="str">
        <f t="shared" si="69"/>
        <v/>
      </c>
      <c r="DQ663" s="580" t="str">
        <f t="shared" si="70"/>
        <v/>
      </c>
      <c r="DR663" s="580" t="str">
        <f t="shared" si="71"/>
        <v/>
      </c>
      <c r="DS663" s="580" t="str">
        <f t="shared" si="72"/>
        <v/>
      </c>
      <c r="DT663" s="580" t="str">
        <f t="shared" si="73"/>
        <v/>
      </c>
      <c r="DU663" s="580" t="str">
        <f t="shared" si="74"/>
        <v/>
      </c>
      <c r="DV663" s="580" t="str">
        <f t="shared" si="75"/>
        <v/>
      </c>
      <c r="DW663" s="580" t="str">
        <f t="shared" si="76"/>
        <v/>
      </c>
      <c r="DX663" s="580" t="str">
        <f t="shared" si="77"/>
        <v/>
      </c>
      <c r="DY663" s="580" t="str">
        <f t="shared" si="78"/>
        <v/>
      </c>
      <c r="DZ663" s="580" t="str">
        <f t="shared" si="79"/>
        <v/>
      </c>
      <c r="EA663" s="580" t="str">
        <f t="shared" si="80"/>
        <v/>
      </c>
      <c r="EB663" s="580" t="str">
        <f t="shared" si="81"/>
        <v/>
      </c>
      <c r="EC663" s="580" t="str">
        <f t="shared" si="82"/>
        <v/>
      </c>
      <c r="ED663" s="580" t="str">
        <f t="shared" si="83"/>
        <v/>
      </c>
      <c r="EE663" s="580" t="str">
        <f t="shared" si="84"/>
        <v/>
      </c>
      <c r="EF663" s="580" t="str">
        <f t="shared" si="85"/>
        <v/>
      </c>
      <c r="EG663" s="580" t="str">
        <f t="shared" si="86"/>
        <v/>
      </c>
      <c r="EH663" s="580" t="str">
        <f t="shared" si="87"/>
        <v/>
      </c>
      <c r="EI663" s="580" t="str">
        <f t="shared" si="88"/>
        <v/>
      </c>
      <c r="EJ663" s="580" t="str">
        <f t="shared" si="89"/>
        <v/>
      </c>
      <c r="EK663" s="580" t="str">
        <f t="shared" si="90"/>
        <v/>
      </c>
      <c r="EL663" s="580" t="str">
        <f t="shared" si="91"/>
        <v/>
      </c>
      <c r="EM663" s="580" t="str">
        <f t="shared" si="92"/>
        <v/>
      </c>
      <c r="EN663" s="580" t="str">
        <f t="shared" si="93"/>
        <v/>
      </c>
      <c r="EO663" s="580" t="str">
        <f t="shared" si="94"/>
        <v/>
      </c>
      <c r="EP663" s="580" t="str">
        <f t="shared" si="95"/>
        <v/>
      </c>
      <c r="EQ663" s="580" t="str">
        <f t="shared" si="96"/>
        <v/>
      </c>
      <c r="ER663" s="580" t="str">
        <f t="shared" si="97"/>
        <v/>
      </c>
      <c r="ES663" s="580" t="str">
        <f t="shared" si="98"/>
        <v/>
      </c>
      <c r="ET663" s="580" t="str">
        <f t="shared" si="99"/>
        <v/>
      </c>
      <c r="EU663" s="580" t="str">
        <f t="shared" si="100"/>
        <v/>
      </c>
      <c r="EV663" s="785" t="str">
        <f t="shared" si="101"/>
        <v/>
      </c>
      <c r="EW663" s="785" t="str">
        <f t="shared" si="102"/>
        <v/>
      </c>
      <c r="EX663" s="785" t="str">
        <f t="shared" si="103"/>
        <v/>
      </c>
      <c r="EY663" s="785" t="str">
        <f t="shared" si="104"/>
        <v/>
      </c>
      <c r="EZ663" s="785" t="str">
        <f t="shared" si="105"/>
        <v/>
      </c>
      <c r="FA663" s="785" t="str">
        <f t="shared" si="106"/>
        <v/>
      </c>
      <c r="FB663" s="785" t="str">
        <f t="shared" si="107"/>
        <v/>
      </c>
      <c r="FC663" s="785" t="str">
        <f t="shared" si="108"/>
        <v/>
      </c>
      <c r="FD663" s="785" t="str">
        <f t="shared" si="109"/>
        <v/>
      </c>
      <c r="FE663" s="785" t="str">
        <f t="shared" si="110"/>
        <v/>
      </c>
      <c r="FF663" s="785" t="str">
        <f t="shared" si="111"/>
        <v/>
      </c>
      <c r="FG663" s="785" t="str">
        <f t="shared" si="112"/>
        <v/>
      </c>
      <c r="FH663" s="785" t="str">
        <f t="shared" si="113"/>
        <v/>
      </c>
      <c r="FI663" s="785" t="str">
        <f t="shared" si="114"/>
        <v/>
      </c>
      <c r="FJ663" s="785" t="str">
        <f t="shared" si="115"/>
        <v/>
      </c>
      <c r="FK663" s="785" t="str">
        <f t="shared" si="116"/>
        <v/>
      </c>
      <c r="FL663" s="785" t="str">
        <f t="shared" si="117"/>
        <v/>
      </c>
      <c r="FM663" s="785" t="str">
        <f t="shared" si="118"/>
        <v/>
      </c>
      <c r="FN663" s="785" t="str">
        <f t="shared" si="119"/>
        <v/>
      </c>
      <c r="FO663" s="785" t="str">
        <f t="shared" si="120"/>
        <v/>
      </c>
      <c r="FP663" s="785" t="str">
        <f t="shared" si="121"/>
        <v/>
      </c>
      <c r="FQ663" s="785" t="str">
        <f t="shared" si="122"/>
        <v/>
      </c>
      <c r="FR663" s="785" t="str">
        <f t="shared" si="123"/>
        <v/>
      </c>
      <c r="FS663" s="785" t="str">
        <f t="shared" si="124"/>
        <v/>
      </c>
      <c r="FT663" s="785" t="str">
        <f t="shared" si="125"/>
        <v/>
      </c>
      <c r="FU663" s="785" t="str">
        <f t="shared" si="126"/>
        <v/>
      </c>
      <c r="FV663" s="785" t="str">
        <f t="shared" si="127"/>
        <v/>
      </c>
      <c r="FW663" s="785" t="str">
        <f t="shared" si="128"/>
        <v/>
      </c>
      <c r="FX663" s="785" t="str">
        <f t="shared" si="129"/>
        <v/>
      </c>
      <c r="FY663" s="785" t="str">
        <f t="shared" si="130"/>
        <v/>
      </c>
      <c r="FZ663" s="785" t="str">
        <f t="shared" si="131"/>
        <v/>
      </c>
      <c r="GA663" s="785" t="str">
        <f t="shared" si="132"/>
        <v/>
      </c>
      <c r="GB663" s="785" t="str">
        <f t="shared" si="133"/>
        <v/>
      </c>
      <c r="GC663" s="785" t="str">
        <f t="shared" si="134"/>
        <v/>
      </c>
      <c r="GD663" s="785" t="str">
        <f t="shared" si="135"/>
        <v/>
      </c>
      <c r="GE663" s="785" t="str">
        <f t="shared" si="136"/>
        <v/>
      </c>
      <c r="GF663" s="785" t="str">
        <f t="shared" si="137"/>
        <v/>
      </c>
      <c r="GG663" s="785" t="str">
        <f t="shared" si="138"/>
        <v/>
      </c>
      <c r="GH663" s="785" t="str">
        <f t="shared" si="139"/>
        <v/>
      </c>
      <c r="GI663" s="785" t="str">
        <f t="shared" si="140"/>
        <v/>
      </c>
      <c r="GJ663" s="785" t="str">
        <f t="shared" si="141"/>
        <v/>
      </c>
      <c r="GK663" s="785" t="str">
        <f t="shared" si="142"/>
        <v/>
      </c>
      <c r="GL663" s="785" t="str">
        <f t="shared" si="143"/>
        <v/>
      </c>
      <c r="GM663" s="785" t="str">
        <f t="shared" si="144"/>
        <v/>
      </c>
      <c r="GN663" s="785" t="str">
        <f t="shared" si="145"/>
        <v/>
      </c>
      <c r="GO663" s="786" t="str">
        <f t="shared" si="146"/>
        <v/>
      </c>
      <c r="GP663" s="786" t="str">
        <f t="shared" si="147"/>
        <v/>
      </c>
      <c r="GQ663" s="786" t="str">
        <f t="shared" si="148"/>
        <v/>
      </c>
      <c r="GR663" s="786" t="str">
        <f t="shared" si="149"/>
        <v/>
      </c>
      <c r="GS663" s="786" t="str">
        <f t="shared" si="150"/>
        <v/>
      </c>
      <c r="GT663" s="580" t="str">
        <f t="shared" si="151"/>
        <v/>
      </c>
      <c r="GU663" s="580" t="str">
        <f t="shared" si="152"/>
        <v/>
      </c>
      <c r="GV663" s="580" t="str">
        <f t="shared" si="153"/>
        <v/>
      </c>
      <c r="GW663" s="580" t="str">
        <f t="shared" si="154"/>
        <v/>
      </c>
      <c r="GX663" s="580" t="str">
        <f t="shared" si="155"/>
        <v/>
      </c>
      <c r="GY663" s="580" t="str">
        <f t="shared" si="156"/>
        <v/>
      </c>
      <c r="GZ663" s="580" t="str">
        <f t="shared" si="157"/>
        <v/>
      </c>
      <c r="HA663" s="580" t="str">
        <f t="shared" si="158"/>
        <v/>
      </c>
      <c r="HB663" s="580" t="str">
        <f t="shared" si="159"/>
        <v/>
      </c>
      <c r="HC663" s="580" t="str">
        <f t="shared" si="160"/>
        <v/>
      </c>
      <c r="HD663" s="580" t="str">
        <f t="shared" si="161"/>
        <v/>
      </c>
      <c r="HE663" s="580" t="str">
        <f t="shared" si="162"/>
        <v/>
      </c>
      <c r="HF663" s="580" t="str">
        <f t="shared" si="163"/>
        <v/>
      </c>
      <c r="HG663" s="580" t="str">
        <f t="shared" si="164"/>
        <v/>
      </c>
      <c r="HH663" s="580" t="str">
        <f t="shared" si="165"/>
        <v/>
      </c>
      <c r="HI663" s="580" t="str">
        <f t="shared" si="166"/>
        <v/>
      </c>
      <c r="HJ663" s="580" t="str">
        <f t="shared" si="167"/>
        <v/>
      </c>
      <c r="HK663" s="580" t="str">
        <f t="shared" si="168"/>
        <v/>
      </c>
      <c r="HL663" s="580" t="str">
        <f t="shared" si="169"/>
        <v/>
      </c>
      <c r="HM663" s="580" t="str">
        <f t="shared" si="170"/>
        <v/>
      </c>
    </row>
    <row r="664" spans="1:221" ht="13.15" customHeight="1">
      <c r="A664" s="888" t="str">
        <f t="shared" si="171"/>
        <v/>
      </c>
      <c r="B664" s="1054" t="str">
        <f>'Part VI-Revenues &amp; Expenses'!B30</f>
        <v>&lt;&lt;Select&gt;&gt;</v>
      </c>
      <c r="C664" s="1055">
        <f>'Part VI-Revenues &amp; Expenses'!C30</f>
        <v>0</v>
      </c>
      <c r="D664" s="1056">
        <f>'Part VI-Revenues &amp; Expenses'!D30</f>
        <v>0</v>
      </c>
      <c r="E664" s="1057">
        <f>'Part VI-Revenues &amp; Expenses'!E30</f>
        <v>0</v>
      </c>
      <c r="F664" s="1057">
        <f>'Part VI-Revenues &amp; Expenses'!F30</f>
        <v>0</v>
      </c>
      <c r="G664" s="1057">
        <f>'Part VI-Revenues &amp; Expenses'!G30</f>
        <v>0</v>
      </c>
      <c r="H664" s="1057">
        <f>'Part VI-Revenues &amp; Expenses'!H30</f>
        <v>0</v>
      </c>
      <c r="I664" s="1057">
        <f>'Part VI-Revenues &amp; Expenses'!I30</f>
        <v>0</v>
      </c>
      <c r="J664" s="818">
        <f>'Part VI-Revenues &amp; Expenses'!J30</f>
        <v>0</v>
      </c>
      <c r="K664" s="893">
        <f t="shared" si="204"/>
        <v>0</v>
      </c>
      <c r="L664" s="893">
        <f t="shared" si="0"/>
        <v>0</v>
      </c>
      <c r="M664" s="783">
        <f>'Part VI-Revenues &amp; Expenses'!M30</f>
        <v>0</v>
      </c>
      <c r="N664" s="783">
        <f>'Part VI-Revenues &amp; Expenses'!N30</f>
        <v>0</v>
      </c>
      <c r="O664" s="783">
        <f>'Part VI-Revenues &amp; Expenses'!O30</f>
        <v>0</v>
      </c>
      <c r="P664" s="894">
        <f t="shared" si="203"/>
        <v>0</v>
      </c>
      <c r="Q664" s="895" t="str">
        <f>'Part VI-Revenues &amp; Expenses'!Q30</f>
        <v/>
      </c>
      <c r="R664" s="894"/>
      <c r="S664" s="895"/>
      <c r="T664" s="2130"/>
      <c r="U664" s="2130"/>
      <c r="V664" s="580" t="str">
        <f t="shared" si="1"/>
        <v/>
      </c>
      <c r="W664" s="580" t="str">
        <f t="shared" si="2"/>
        <v/>
      </c>
      <c r="X664" s="580" t="str">
        <f t="shared" si="3"/>
        <v/>
      </c>
      <c r="Y664" s="580" t="str">
        <f t="shared" si="4"/>
        <v/>
      </c>
      <c r="Z664" s="580" t="str">
        <f t="shared" si="5"/>
        <v/>
      </c>
      <c r="AA664" s="580" t="str">
        <f t="shared" si="6"/>
        <v/>
      </c>
      <c r="AB664" s="580" t="str">
        <f t="shared" si="7"/>
        <v/>
      </c>
      <c r="AC664" s="580" t="str">
        <f t="shared" si="8"/>
        <v/>
      </c>
      <c r="AD664" s="580" t="str">
        <f t="shared" si="9"/>
        <v/>
      </c>
      <c r="AE664" s="580" t="str">
        <f t="shared" si="10"/>
        <v/>
      </c>
      <c r="AF664" s="580" t="str">
        <f t="shared" si="11"/>
        <v/>
      </c>
      <c r="AG664" s="580" t="str">
        <f t="shared" si="12"/>
        <v/>
      </c>
      <c r="AH664" s="580" t="str">
        <f t="shared" si="13"/>
        <v/>
      </c>
      <c r="AI664" s="580" t="str">
        <f t="shared" si="14"/>
        <v/>
      </c>
      <c r="AJ664" s="580" t="str">
        <f t="shared" si="15"/>
        <v/>
      </c>
      <c r="AK664" s="580" t="str">
        <f t="shared" si="16"/>
        <v/>
      </c>
      <c r="AL664" s="580" t="str">
        <f t="shared" si="17"/>
        <v/>
      </c>
      <c r="AM664" s="580" t="str">
        <f t="shared" si="18"/>
        <v/>
      </c>
      <c r="AN664" s="580" t="str">
        <f t="shared" si="19"/>
        <v/>
      </c>
      <c r="AO664" s="580" t="str">
        <f t="shared" si="20"/>
        <v/>
      </c>
      <c r="AP664" s="580" t="str">
        <f t="shared" si="173"/>
        <v/>
      </c>
      <c r="AQ664" s="580" t="str">
        <f t="shared" si="174"/>
        <v/>
      </c>
      <c r="AR664" s="580" t="str">
        <f t="shared" si="175"/>
        <v/>
      </c>
      <c r="AS664" s="580" t="str">
        <f t="shared" si="176"/>
        <v/>
      </c>
      <c r="AT664" s="580" t="str">
        <f t="shared" si="177"/>
        <v/>
      </c>
      <c r="AU664" s="580" t="str">
        <f t="shared" si="178"/>
        <v/>
      </c>
      <c r="AV664" s="580" t="str">
        <f t="shared" si="179"/>
        <v/>
      </c>
      <c r="AW664" s="580" t="str">
        <f t="shared" si="180"/>
        <v/>
      </c>
      <c r="AX664" s="580" t="str">
        <f t="shared" si="181"/>
        <v/>
      </c>
      <c r="AY664" s="580" t="str">
        <f t="shared" si="182"/>
        <v/>
      </c>
      <c r="AZ664" s="580" t="str">
        <f t="shared" si="183"/>
        <v/>
      </c>
      <c r="BA664" s="580" t="str">
        <f t="shared" si="184"/>
        <v/>
      </c>
      <c r="BB664" s="580" t="str">
        <f t="shared" si="185"/>
        <v/>
      </c>
      <c r="BC664" s="580" t="str">
        <f t="shared" si="186"/>
        <v/>
      </c>
      <c r="BD664" s="580" t="str">
        <f t="shared" si="187"/>
        <v/>
      </c>
      <c r="BE664" s="580" t="str">
        <f t="shared" si="188"/>
        <v/>
      </c>
      <c r="BF664" s="580" t="str">
        <f t="shared" si="189"/>
        <v/>
      </c>
      <c r="BG664" s="580" t="str">
        <f t="shared" si="190"/>
        <v/>
      </c>
      <c r="BH664" s="580" t="str">
        <f t="shared" si="191"/>
        <v/>
      </c>
      <c r="BI664" s="580" t="str">
        <f t="shared" si="192"/>
        <v/>
      </c>
      <c r="BJ664" s="580" t="str">
        <f t="shared" si="193"/>
        <v/>
      </c>
      <c r="BK664" s="580" t="str">
        <f t="shared" si="194"/>
        <v/>
      </c>
      <c r="BL664" s="580" t="str">
        <f t="shared" si="195"/>
        <v/>
      </c>
      <c r="BM664" s="580" t="str">
        <f t="shared" si="196"/>
        <v/>
      </c>
      <c r="BN664" s="580" t="str">
        <f t="shared" si="197"/>
        <v/>
      </c>
      <c r="BO664" s="580" t="str">
        <f t="shared" si="198"/>
        <v/>
      </c>
      <c r="BP664" s="580" t="str">
        <f t="shared" si="199"/>
        <v/>
      </c>
      <c r="BQ664" s="580" t="str">
        <f t="shared" si="200"/>
        <v/>
      </c>
      <c r="BR664" s="580" t="str">
        <f t="shared" si="201"/>
        <v/>
      </c>
      <c r="BS664" s="580" t="str">
        <f t="shared" si="202"/>
        <v/>
      </c>
      <c r="BT664" s="580" t="str">
        <f t="shared" si="21"/>
        <v/>
      </c>
      <c r="BU664" s="580" t="str">
        <f t="shared" si="22"/>
        <v/>
      </c>
      <c r="BV664" s="580" t="str">
        <f t="shared" si="23"/>
        <v/>
      </c>
      <c r="BW664" s="580" t="str">
        <f t="shared" si="24"/>
        <v/>
      </c>
      <c r="BX664" s="580" t="str">
        <f t="shared" si="25"/>
        <v/>
      </c>
      <c r="BY664" s="580" t="str">
        <f t="shared" si="26"/>
        <v/>
      </c>
      <c r="BZ664" s="580" t="str">
        <f t="shared" si="27"/>
        <v/>
      </c>
      <c r="CA664" s="580" t="str">
        <f t="shared" si="28"/>
        <v/>
      </c>
      <c r="CB664" s="580" t="str">
        <f t="shared" si="29"/>
        <v/>
      </c>
      <c r="CC664" s="580" t="str">
        <f t="shared" si="30"/>
        <v/>
      </c>
      <c r="CD664" s="580" t="str">
        <f t="shared" si="31"/>
        <v/>
      </c>
      <c r="CE664" s="580" t="str">
        <f t="shared" si="32"/>
        <v/>
      </c>
      <c r="CF664" s="580" t="str">
        <f t="shared" si="33"/>
        <v/>
      </c>
      <c r="CG664" s="580" t="str">
        <f t="shared" si="34"/>
        <v/>
      </c>
      <c r="CH664" s="580" t="str">
        <f t="shared" si="35"/>
        <v/>
      </c>
      <c r="CI664" s="580" t="str">
        <f t="shared" si="36"/>
        <v/>
      </c>
      <c r="CJ664" s="580" t="str">
        <f t="shared" si="37"/>
        <v/>
      </c>
      <c r="CK664" s="580" t="str">
        <f t="shared" si="38"/>
        <v/>
      </c>
      <c r="CL664" s="580" t="str">
        <f t="shared" si="39"/>
        <v/>
      </c>
      <c r="CM664" s="580" t="str">
        <f t="shared" si="40"/>
        <v/>
      </c>
      <c r="CN664" s="580" t="str">
        <f t="shared" si="41"/>
        <v/>
      </c>
      <c r="CO664" s="580" t="str">
        <f t="shared" si="42"/>
        <v/>
      </c>
      <c r="CP664" s="580" t="str">
        <f t="shared" si="43"/>
        <v/>
      </c>
      <c r="CQ664" s="580" t="str">
        <f t="shared" si="44"/>
        <v/>
      </c>
      <c r="CR664" s="580" t="str">
        <f t="shared" si="45"/>
        <v/>
      </c>
      <c r="CS664" s="580" t="str">
        <f t="shared" si="46"/>
        <v/>
      </c>
      <c r="CT664" s="580" t="str">
        <f t="shared" si="47"/>
        <v/>
      </c>
      <c r="CU664" s="580" t="str">
        <f t="shared" si="48"/>
        <v/>
      </c>
      <c r="CV664" s="580" t="str">
        <f t="shared" si="49"/>
        <v/>
      </c>
      <c r="CW664" s="580" t="str">
        <f t="shared" si="50"/>
        <v/>
      </c>
      <c r="CX664" s="580" t="str">
        <f t="shared" si="51"/>
        <v/>
      </c>
      <c r="CY664" s="580" t="str">
        <f t="shared" si="52"/>
        <v/>
      </c>
      <c r="CZ664" s="580" t="str">
        <f t="shared" si="53"/>
        <v/>
      </c>
      <c r="DA664" s="580" t="str">
        <f t="shared" si="54"/>
        <v/>
      </c>
      <c r="DB664" s="580" t="str">
        <f t="shared" si="55"/>
        <v/>
      </c>
      <c r="DC664" s="580" t="str">
        <f t="shared" si="56"/>
        <v/>
      </c>
      <c r="DD664" s="580" t="str">
        <f t="shared" si="57"/>
        <v/>
      </c>
      <c r="DE664" s="580" t="str">
        <f t="shared" si="58"/>
        <v/>
      </c>
      <c r="DF664" s="580" t="str">
        <f t="shared" si="59"/>
        <v/>
      </c>
      <c r="DG664" s="580" t="str">
        <f t="shared" si="60"/>
        <v/>
      </c>
      <c r="DH664" s="580" t="str">
        <f t="shared" si="61"/>
        <v/>
      </c>
      <c r="DI664" s="580" t="str">
        <f t="shared" si="62"/>
        <v/>
      </c>
      <c r="DJ664" s="580" t="str">
        <f t="shared" si="63"/>
        <v/>
      </c>
      <c r="DK664" s="580" t="str">
        <f t="shared" si="64"/>
        <v/>
      </c>
      <c r="DL664" s="580" t="str">
        <f t="shared" si="65"/>
        <v/>
      </c>
      <c r="DM664" s="580" t="str">
        <f t="shared" si="66"/>
        <v/>
      </c>
      <c r="DN664" s="580" t="str">
        <f t="shared" si="67"/>
        <v/>
      </c>
      <c r="DO664" s="580" t="str">
        <f t="shared" si="68"/>
        <v/>
      </c>
      <c r="DP664" s="580" t="str">
        <f t="shared" si="69"/>
        <v/>
      </c>
      <c r="DQ664" s="580" t="str">
        <f t="shared" si="70"/>
        <v/>
      </c>
      <c r="DR664" s="580" t="str">
        <f t="shared" si="71"/>
        <v/>
      </c>
      <c r="DS664" s="580" t="str">
        <f t="shared" si="72"/>
        <v/>
      </c>
      <c r="DT664" s="580" t="str">
        <f t="shared" si="73"/>
        <v/>
      </c>
      <c r="DU664" s="580" t="str">
        <f t="shared" si="74"/>
        <v/>
      </c>
      <c r="DV664" s="580" t="str">
        <f t="shared" si="75"/>
        <v/>
      </c>
      <c r="DW664" s="580" t="str">
        <f t="shared" si="76"/>
        <v/>
      </c>
      <c r="DX664" s="580" t="str">
        <f t="shared" si="77"/>
        <v/>
      </c>
      <c r="DY664" s="580" t="str">
        <f t="shared" si="78"/>
        <v/>
      </c>
      <c r="DZ664" s="580" t="str">
        <f t="shared" si="79"/>
        <v/>
      </c>
      <c r="EA664" s="580" t="str">
        <f t="shared" si="80"/>
        <v/>
      </c>
      <c r="EB664" s="580" t="str">
        <f t="shared" si="81"/>
        <v/>
      </c>
      <c r="EC664" s="580" t="str">
        <f t="shared" si="82"/>
        <v/>
      </c>
      <c r="ED664" s="580" t="str">
        <f t="shared" si="83"/>
        <v/>
      </c>
      <c r="EE664" s="580" t="str">
        <f t="shared" si="84"/>
        <v/>
      </c>
      <c r="EF664" s="580" t="str">
        <f t="shared" si="85"/>
        <v/>
      </c>
      <c r="EG664" s="580" t="str">
        <f t="shared" si="86"/>
        <v/>
      </c>
      <c r="EH664" s="580" t="str">
        <f t="shared" si="87"/>
        <v/>
      </c>
      <c r="EI664" s="580" t="str">
        <f t="shared" si="88"/>
        <v/>
      </c>
      <c r="EJ664" s="580" t="str">
        <f t="shared" si="89"/>
        <v/>
      </c>
      <c r="EK664" s="580" t="str">
        <f t="shared" si="90"/>
        <v/>
      </c>
      <c r="EL664" s="580" t="str">
        <f t="shared" si="91"/>
        <v/>
      </c>
      <c r="EM664" s="580" t="str">
        <f t="shared" si="92"/>
        <v/>
      </c>
      <c r="EN664" s="580" t="str">
        <f t="shared" si="93"/>
        <v/>
      </c>
      <c r="EO664" s="580" t="str">
        <f t="shared" si="94"/>
        <v/>
      </c>
      <c r="EP664" s="580" t="str">
        <f t="shared" si="95"/>
        <v/>
      </c>
      <c r="EQ664" s="580" t="str">
        <f t="shared" si="96"/>
        <v/>
      </c>
      <c r="ER664" s="580" t="str">
        <f t="shared" si="97"/>
        <v/>
      </c>
      <c r="ES664" s="580" t="str">
        <f t="shared" si="98"/>
        <v/>
      </c>
      <c r="ET664" s="580" t="str">
        <f t="shared" si="99"/>
        <v/>
      </c>
      <c r="EU664" s="580" t="str">
        <f t="shared" si="100"/>
        <v/>
      </c>
      <c r="EV664" s="785" t="str">
        <f t="shared" si="101"/>
        <v/>
      </c>
      <c r="EW664" s="785" t="str">
        <f t="shared" si="102"/>
        <v/>
      </c>
      <c r="EX664" s="785" t="str">
        <f t="shared" si="103"/>
        <v/>
      </c>
      <c r="EY664" s="785" t="str">
        <f t="shared" si="104"/>
        <v/>
      </c>
      <c r="EZ664" s="785" t="str">
        <f t="shared" si="105"/>
        <v/>
      </c>
      <c r="FA664" s="785" t="str">
        <f t="shared" si="106"/>
        <v/>
      </c>
      <c r="FB664" s="785" t="str">
        <f t="shared" si="107"/>
        <v/>
      </c>
      <c r="FC664" s="785" t="str">
        <f t="shared" si="108"/>
        <v/>
      </c>
      <c r="FD664" s="785" t="str">
        <f t="shared" si="109"/>
        <v/>
      </c>
      <c r="FE664" s="785" t="str">
        <f t="shared" si="110"/>
        <v/>
      </c>
      <c r="FF664" s="785" t="str">
        <f t="shared" si="111"/>
        <v/>
      </c>
      <c r="FG664" s="785" t="str">
        <f t="shared" si="112"/>
        <v/>
      </c>
      <c r="FH664" s="785" t="str">
        <f t="shared" si="113"/>
        <v/>
      </c>
      <c r="FI664" s="785" t="str">
        <f t="shared" si="114"/>
        <v/>
      </c>
      <c r="FJ664" s="785" t="str">
        <f t="shared" si="115"/>
        <v/>
      </c>
      <c r="FK664" s="785" t="str">
        <f t="shared" si="116"/>
        <v/>
      </c>
      <c r="FL664" s="785" t="str">
        <f t="shared" si="117"/>
        <v/>
      </c>
      <c r="FM664" s="785" t="str">
        <f t="shared" si="118"/>
        <v/>
      </c>
      <c r="FN664" s="785" t="str">
        <f t="shared" si="119"/>
        <v/>
      </c>
      <c r="FO664" s="785" t="str">
        <f t="shared" si="120"/>
        <v/>
      </c>
      <c r="FP664" s="785" t="str">
        <f t="shared" si="121"/>
        <v/>
      </c>
      <c r="FQ664" s="785" t="str">
        <f t="shared" si="122"/>
        <v/>
      </c>
      <c r="FR664" s="785" t="str">
        <f t="shared" si="123"/>
        <v/>
      </c>
      <c r="FS664" s="785" t="str">
        <f t="shared" si="124"/>
        <v/>
      </c>
      <c r="FT664" s="785" t="str">
        <f t="shared" si="125"/>
        <v/>
      </c>
      <c r="FU664" s="785" t="str">
        <f t="shared" si="126"/>
        <v/>
      </c>
      <c r="FV664" s="785" t="str">
        <f t="shared" si="127"/>
        <v/>
      </c>
      <c r="FW664" s="785" t="str">
        <f t="shared" si="128"/>
        <v/>
      </c>
      <c r="FX664" s="785" t="str">
        <f t="shared" si="129"/>
        <v/>
      </c>
      <c r="FY664" s="785" t="str">
        <f t="shared" si="130"/>
        <v/>
      </c>
      <c r="FZ664" s="785" t="str">
        <f t="shared" si="131"/>
        <v/>
      </c>
      <c r="GA664" s="785" t="str">
        <f t="shared" si="132"/>
        <v/>
      </c>
      <c r="GB664" s="785" t="str">
        <f t="shared" si="133"/>
        <v/>
      </c>
      <c r="GC664" s="785" t="str">
        <f t="shared" si="134"/>
        <v/>
      </c>
      <c r="GD664" s="785" t="str">
        <f t="shared" si="135"/>
        <v/>
      </c>
      <c r="GE664" s="785" t="str">
        <f t="shared" si="136"/>
        <v/>
      </c>
      <c r="GF664" s="785" t="str">
        <f t="shared" si="137"/>
        <v/>
      </c>
      <c r="GG664" s="785" t="str">
        <f t="shared" si="138"/>
        <v/>
      </c>
      <c r="GH664" s="785" t="str">
        <f t="shared" si="139"/>
        <v/>
      </c>
      <c r="GI664" s="785" t="str">
        <f t="shared" si="140"/>
        <v/>
      </c>
      <c r="GJ664" s="785" t="str">
        <f t="shared" si="141"/>
        <v/>
      </c>
      <c r="GK664" s="785" t="str">
        <f t="shared" si="142"/>
        <v/>
      </c>
      <c r="GL664" s="785" t="str">
        <f t="shared" si="143"/>
        <v/>
      </c>
      <c r="GM664" s="785" t="str">
        <f t="shared" si="144"/>
        <v/>
      </c>
      <c r="GN664" s="785" t="str">
        <f t="shared" si="145"/>
        <v/>
      </c>
      <c r="GO664" s="786" t="str">
        <f t="shared" si="146"/>
        <v/>
      </c>
      <c r="GP664" s="786" t="str">
        <f t="shared" si="147"/>
        <v/>
      </c>
      <c r="GQ664" s="786" t="str">
        <f t="shared" si="148"/>
        <v/>
      </c>
      <c r="GR664" s="786" t="str">
        <f t="shared" si="149"/>
        <v/>
      </c>
      <c r="GS664" s="786" t="str">
        <f t="shared" si="150"/>
        <v/>
      </c>
      <c r="GT664" s="580" t="str">
        <f t="shared" si="151"/>
        <v/>
      </c>
      <c r="GU664" s="580" t="str">
        <f t="shared" si="152"/>
        <v/>
      </c>
      <c r="GV664" s="580" t="str">
        <f t="shared" si="153"/>
        <v/>
      </c>
      <c r="GW664" s="580" t="str">
        <f t="shared" si="154"/>
        <v/>
      </c>
      <c r="GX664" s="580" t="str">
        <f t="shared" si="155"/>
        <v/>
      </c>
      <c r="GY664" s="580" t="str">
        <f t="shared" si="156"/>
        <v/>
      </c>
      <c r="GZ664" s="580" t="str">
        <f t="shared" si="157"/>
        <v/>
      </c>
      <c r="HA664" s="580" t="str">
        <f t="shared" si="158"/>
        <v/>
      </c>
      <c r="HB664" s="580" t="str">
        <f t="shared" si="159"/>
        <v/>
      </c>
      <c r="HC664" s="580" t="str">
        <f t="shared" si="160"/>
        <v/>
      </c>
      <c r="HD664" s="580" t="str">
        <f t="shared" si="161"/>
        <v/>
      </c>
      <c r="HE664" s="580" t="str">
        <f t="shared" si="162"/>
        <v/>
      </c>
      <c r="HF664" s="580" t="str">
        <f t="shared" si="163"/>
        <v/>
      </c>
      <c r="HG664" s="580" t="str">
        <f t="shared" si="164"/>
        <v/>
      </c>
      <c r="HH664" s="580" t="str">
        <f t="shared" si="165"/>
        <v/>
      </c>
      <c r="HI664" s="580" t="str">
        <f t="shared" si="166"/>
        <v/>
      </c>
      <c r="HJ664" s="580" t="str">
        <f t="shared" si="167"/>
        <v/>
      </c>
      <c r="HK664" s="580" t="str">
        <f t="shared" si="168"/>
        <v/>
      </c>
      <c r="HL664" s="580" t="str">
        <f t="shared" si="169"/>
        <v/>
      </c>
      <c r="HM664" s="580" t="str">
        <f t="shared" si="170"/>
        <v/>
      </c>
    </row>
    <row r="665" spans="1:221" ht="13.15" customHeight="1">
      <c r="A665" s="888" t="str">
        <f t="shared" si="171"/>
        <v/>
      </c>
      <c r="B665" s="1054" t="str">
        <f>'Part VI-Revenues &amp; Expenses'!B31</f>
        <v>&lt;&lt;Select&gt;&gt;</v>
      </c>
      <c r="C665" s="1055">
        <f>'Part VI-Revenues &amp; Expenses'!C31</f>
        <v>0</v>
      </c>
      <c r="D665" s="1056">
        <f>'Part VI-Revenues &amp; Expenses'!D31</f>
        <v>0</v>
      </c>
      <c r="E665" s="1057">
        <f>'Part VI-Revenues &amp; Expenses'!E31</f>
        <v>0</v>
      </c>
      <c r="F665" s="1057">
        <f>'Part VI-Revenues &amp; Expenses'!F31</f>
        <v>0</v>
      </c>
      <c r="G665" s="1057">
        <f>'Part VI-Revenues &amp; Expenses'!G31</f>
        <v>0</v>
      </c>
      <c r="H665" s="1057">
        <f>'Part VI-Revenues &amp; Expenses'!H31</f>
        <v>0</v>
      </c>
      <c r="I665" s="1057">
        <f>'Part VI-Revenues &amp; Expenses'!I31</f>
        <v>0</v>
      </c>
      <c r="J665" s="818">
        <f>'Part VI-Revenues &amp; Expenses'!J31</f>
        <v>0</v>
      </c>
      <c r="K665" s="893">
        <f t="shared" si="204"/>
        <v>0</v>
      </c>
      <c r="L665" s="893">
        <f t="shared" si="0"/>
        <v>0</v>
      </c>
      <c r="M665" s="783">
        <f>'Part VI-Revenues &amp; Expenses'!M31</f>
        <v>0</v>
      </c>
      <c r="N665" s="783">
        <f>'Part VI-Revenues &amp; Expenses'!N31</f>
        <v>0</v>
      </c>
      <c r="O665" s="783">
        <f>'Part VI-Revenues &amp; Expenses'!O31</f>
        <v>0</v>
      </c>
      <c r="P665" s="894">
        <f t="shared" si="203"/>
        <v>0</v>
      </c>
      <c r="Q665" s="895" t="str">
        <f>'Part VI-Revenues &amp; Expenses'!Q31</f>
        <v/>
      </c>
      <c r="R665" s="894"/>
      <c r="S665" s="895"/>
      <c r="T665" s="2130"/>
      <c r="U665" s="2130"/>
      <c r="V665" s="580" t="str">
        <f t="shared" si="1"/>
        <v/>
      </c>
      <c r="W665" s="580" t="str">
        <f t="shared" si="2"/>
        <v/>
      </c>
      <c r="X665" s="580" t="str">
        <f t="shared" si="3"/>
        <v/>
      </c>
      <c r="Y665" s="580" t="str">
        <f t="shared" si="4"/>
        <v/>
      </c>
      <c r="Z665" s="580" t="str">
        <f t="shared" si="5"/>
        <v/>
      </c>
      <c r="AA665" s="580" t="str">
        <f t="shared" si="6"/>
        <v/>
      </c>
      <c r="AB665" s="580" t="str">
        <f t="shared" si="7"/>
        <v/>
      </c>
      <c r="AC665" s="580" t="str">
        <f t="shared" si="8"/>
        <v/>
      </c>
      <c r="AD665" s="580" t="str">
        <f t="shared" si="9"/>
        <v/>
      </c>
      <c r="AE665" s="580" t="str">
        <f t="shared" si="10"/>
        <v/>
      </c>
      <c r="AF665" s="580" t="str">
        <f t="shared" si="11"/>
        <v/>
      </c>
      <c r="AG665" s="580" t="str">
        <f t="shared" si="12"/>
        <v/>
      </c>
      <c r="AH665" s="580" t="str">
        <f t="shared" si="13"/>
        <v/>
      </c>
      <c r="AI665" s="580" t="str">
        <f t="shared" si="14"/>
        <v/>
      </c>
      <c r="AJ665" s="580" t="str">
        <f t="shared" si="15"/>
        <v/>
      </c>
      <c r="AK665" s="580" t="str">
        <f t="shared" si="16"/>
        <v/>
      </c>
      <c r="AL665" s="580" t="str">
        <f t="shared" si="17"/>
        <v/>
      </c>
      <c r="AM665" s="580" t="str">
        <f t="shared" si="18"/>
        <v/>
      </c>
      <c r="AN665" s="580" t="str">
        <f t="shared" si="19"/>
        <v/>
      </c>
      <c r="AO665" s="580" t="str">
        <f t="shared" si="20"/>
        <v/>
      </c>
      <c r="AP665" s="580" t="str">
        <f t="shared" si="173"/>
        <v/>
      </c>
      <c r="AQ665" s="580" t="str">
        <f t="shared" si="174"/>
        <v/>
      </c>
      <c r="AR665" s="580" t="str">
        <f t="shared" si="175"/>
        <v/>
      </c>
      <c r="AS665" s="580" t="str">
        <f t="shared" si="176"/>
        <v/>
      </c>
      <c r="AT665" s="580" t="str">
        <f t="shared" si="177"/>
        <v/>
      </c>
      <c r="AU665" s="580" t="str">
        <f t="shared" si="178"/>
        <v/>
      </c>
      <c r="AV665" s="580" t="str">
        <f t="shared" si="179"/>
        <v/>
      </c>
      <c r="AW665" s="580" t="str">
        <f t="shared" si="180"/>
        <v/>
      </c>
      <c r="AX665" s="580" t="str">
        <f t="shared" si="181"/>
        <v/>
      </c>
      <c r="AY665" s="580" t="str">
        <f t="shared" si="182"/>
        <v/>
      </c>
      <c r="AZ665" s="580" t="str">
        <f t="shared" si="183"/>
        <v/>
      </c>
      <c r="BA665" s="580" t="str">
        <f t="shared" si="184"/>
        <v/>
      </c>
      <c r="BB665" s="580" t="str">
        <f t="shared" si="185"/>
        <v/>
      </c>
      <c r="BC665" s="580" t="str">
        <f t="shared" si="186"/>
        <v/>
      </c>
      <c r="BD665" s="580" t="str">
        <f t="shared" si="187"/>
        <v/>
      </c>
      <c r="BE665" s="580" t="str">
        <f t="shared" si="188"/>
        <v/>
      </c>
      <c r="BF665" s="580" t="str">
        <f t="shared" si="189"/>
        <v/>
      </c>
      <c r="BG665" s="580" t="str">
        <f t="shared" si="190"/>
        <v/>
      </c>
      <c r="BH665" s="580" t="str">
        <f t="shared" si="191"/>
        <v/>
      </c>
      <c r="BI665" s="580" t="str">
        <f t="shared" si="192"/>
        <v/>
      </c>
      <c r="BJ665" s="580" t="str">
        <f t="shared" si="193"/>
        <v/>
      </c>
      <c r="BK665" s="580" t="str">
        <f t="shared" si="194"/>
        <v/>
      </c>
      <c r="BL665" s="580" t="str">
        <f t="shared" si="195"/>
        <v/>
      </c>
      <c r="BM665" s="580" t="str">
        <f t="shared" si="196"/>
        <v/>
      </c>
      <c r="BN665" s="580" t="str">
        <f t="shared" si="197"/>
        <v/>
      </c>
      <c r="BO665" s="580" t="str">
        <f t="shared" si="198"/>
        <v/>
      </c>
      <c r="BP665" s="580" t="str">
        <f t="shared" si="199"/>
        <v/>
      </c>
      <c r="BQ665" s="580" t="str">
        <f t="shared" si="200"/>
        <v/>
      </c>
      <c r="BR665" s="580" t="str">
        <f t="shared" si="201"/>
        <v/>
      </c>
      <c r="BS665" s="580" t="str">
        <f t="shared" si="202"/>
        <v/>
      </c>
      <c r="BT665" s="580" t="str">
        <f t="shared" si="21"/>
        <v/>
      </c>
      <c r="BU665" s="580" t="str">
        <f t="shared" si="22"/>
        <v/>
      </c>
      <c r="BV665" s="580" t="str">
        <f t="shared" si="23"/>
        <v/>
      </c>
      <c r="BW665" s="580" t="str">
        <f t="shared" si="24"/>
        <v/>
      </c>
      <c r="BX665" s="580" t="str">
        <f t="shared" si="25"/>
        <v/>
      </c>
      <c r="BY665" s="580" t="str">
        <f t="shared" si="26"/>
        <v/>
      </c>
      <c r="BZ665" s="580" t="str">
        <f t="shared" si="27"/>
        <v/>
      </c>
      <c r="CA665" s="580" t="str">
        <f t="shared" si="28"/>
        <v/>
      </c>
      <c r="CB665" s="580" t="str">
        <f t="shared" si="29"/>
        <v/>
      </c>
      <c r="CC665" s="580" t="str">
        <f t="shared" si="30"/>
        <v/>
      </c>
      <c r="CD665" s="580" t="str">
        <f t="shared" si="31"/>
        <v/>
      </c>
      <c r="CE665" s="580" t="str">
        <f t="shared" si="32"/>
        <v/>
      </c>
      <c r="CF665" s="580" t="str">
        <f t="shared" si="33"/>
        <v/>
      </c>
      <c r="CG665" s="580" t="str">
        <f t="shared" si="34"/>
        <v/>
      </c>
      <c r="CH665" s="580" t="str">
        <f t="shared" si="35"/>
        <v/>
      </c>
      <c r="CI665" s="580" t="str">
        <f t="shared" si="36"/>
        <v/>
      </c>
      <c r="CJ665" s="580" t="str">
        <f t="shared" si="37"/>
        <v/>
      </c>
      <c r="CK665" s="580" t="str">
        <f t="shared" si="38"/>
        <v/>
      </c>
      <c r="CL665" s="580" t="str">
        <f t="shared" si="39"/>
        <v/>
      </c>
      <c r="CM665" s="580" t="str">
        <f t="shared" si="40"/>
        <v/>
      </c>
      <c r="CN665" s="580" t="str">
        <f t="shared" si="41"/>
        <v/>
      </c>
      <c r="CO665" s="580" t="str">
        <f t="shared" si="42"/>
        <v/>
      </c>
      <c r="CP665" s="580" t="str">
        <f t="shared" si="43"/>
        <v/>
      </c>
      <c r="CQ665" s="580" t="str">
        <f t="shared" si="44"/>
        <v/>
      </c>
      <c r="CR665" s="580" t="str">
        <f t="shared" si="45"/>
        <v/>
      </c>
      <c r="CS665" s="580" t="str">
        <f t="shared" si="46"/>
        <v/>
      </c>
      <c r="CT665" s="580" t="str">
        <f t="shared" si="47"/>
        <v/>
      </c>
      <c r="CU665" s="580" t="str">
        <f t="shared" si="48"/>
        <v/>
      </c>
      <c r="CV665" s="580" t="str">
        <f t="shared" si="49"/>
        <v/>
      </c>
      <c r="CW665" s="580" t="str">
        <f t="shared" si="50"/>
        <v/>
      </c>
      <c r="CX665" s="580" t="str">
        <f t="shared" si="51"/>
        <v/>
      </c>
      <c r="CY665" s="580" t="str">
        <f t="shared" si="52"/>
        <v/>
      </c>
      <c r="CZ665" s="580" t="str">
        <f t="shared" si="53"/>
        <v/>
      </c>
      <c r="DA665" s="580" t="str">
        <f t="shared" si="54"/>
        <v/>
      </c>
      <c r="DB665" s="580" t="str">
        <f t="shared" si="55"/>
        <v/>
      </c>
      <c r="DC665" s="580" t="str">
        <f t="shared" si="56"/>
        <v/>
      </c>
      <c r="DD665" s="580" t="str">
        <f t="shared" si="57"/>
        <v/>
      </c>
      <c r="DE665" s="580" t="str">
        <f t="shared" si="58"/>
        <v/>
      </c>
      <c r="DF665" s="580" t="str">
        <f t="shared" si="59"/>
        <v/>
      </c>
      <c r="DG665" s="580" t="str">
        <f t="shared" si="60"/>
        <v/>
      </c>
      <c r="DH665" s="580" t="str">
        <f t="shared" si="61"/>
        <v/>
      </c>
      <c r="DI665" s="580" t="str">
        <f t="shared" si="62"/>
        <v/>
      </c>
      <c r="DJ665" s="580" t="str">
        <f t="shared" si="63"/>
        <v/>
      </c>
      <c r="DK665" s="580" t="str">
        <f t="shared" si="64"/>
        <v/>
      </c>
      <c r="DL665" s="580" t="str">
        <f t="shared" si="65"/>
        <v/>
      </c>
      <c r="DM665" s="580" t="str">
        <f t="shared" si="66"/>
        <v/>
      </c>
      <c r="DN665" s="580" t="str">
        <f t="shared" si="67"/>
        <v/>
      </c>
      <c r="DO665" s="580" t="str">
        <f t="shared" si="68"/>
        <v/>
      </c>
      <c r="DP665" s="580" t="str">
        <f t="shared" si="69"/>
        <v/>
      </c>
      <c r="DQ665" s="580" t="str">
        <f t="shared" si="70"/>
        <v/>
      </c>
      <c r="DR665" s="580" t="str">
        <f t="shared" si="71"/>
        <v/>
      </c>
      <c r="DS665" s="580" t="str">
        <f t="shared" si="72"/>
        <v/>
      </c>
      <c r="DT665" s="580" t="str">
        <f t="shared" si="73"/>
        <v/>
      </c>
      <c r="DU665" s="580" t="str">
        <f t="shared" si="74"/>
        <v/>
      </c>
      <c r="DV665" s="580" t="str">
        <f t="shared" si="75"/>
        <v/>
      </c>
      <c r="DW665" s="580" t="str">
        <f t="shared" si="76"/>
        <v/>
      </c>
      <c r="DX665" s="580" t="str">
        <f t="shared" si="77"/>
        <v/>
      </c>
      <c r="DY665" s="580" t="str">
        <f t="shared" si="78"/>
        <v/>
      </c>
      <c r="DZ665" s="580" t="str">
        <f t="shared" si="79"/>
        <v/>
      </c>
      <c r="EA665" s="580" t="str">
        <f t="shared" si="80"/>
        <v/>
      </c>
      <c r="EB665" s="580" t="str">
        <f t="shared" si="81"/>
        <v/>
      </c>
      <c r="EC665" s="580" t="str">
        <f t="shared" si="82"/>
        <v/>
      </c>
      <c r="ED665" s="580" t="str">
        <f t="shared" si="83"/>
        <v/>
      </c>
      <c r="EE665" s="580" t="str">
        <f t="shared" si="84"/>
        <v/>
      </c>
      <c r="EF665" s="580" t="str">
        <f t="shared" si="85"/>
        <v/>
      </c>
      <c r="EG665" s="580" t="str">
        <f t="shared" si="86"/>
        <v/>
      </c>
      <c r="EH665" s="580" t="str">
        <f t="shared" si="87"/>
        <v/>
      </c>
      <c r="EI665" s="580" t="str">
        <f t="shared" si="88"/>
        <v/>
      </c>
      <c r="EJ665" s="580" t="str">
        <f t="shared" si="89"/>
        <v/>
      </c>
      <c r="EK665" s="580" t="str">
        <f t="shared" si="90"/>
        <v/>
      </c>
      <c r="EL665" s="580" t="str">
        <f t="shared" si="91"/>
        <v/>
      </c>
      <c r="EM665" s="580" t="str">
        <f t="shared" si="92"/>
        <v/>
      </c>
      <c r="EN665" s="580" t="str">
        <f t="shared" si="93"/>
        <v/>
      </c>
      <c r="EO665" s="580" t="str">
        <f t="shared" si="94"/>
        <v/>
      </c>
      <c r="EP665" s="580" t="str">
        <f t="shared" si="95"/>
        <v/>
      </c>
      <c r="EQ665" s="580" t="str">
        <f t="shared" si="96"/>
        <v/>
      </c>
      <c r="ER665" s="580" t="str">
        <f t="shared" si="97"/>
        <v/>
      </c>
      <c r="ES665" s="580" t="str">
        <f t="shared" si="98"/>
        <v/>
      </c>
      <c r="ET665" s="580" t="str">
        <f t="shared" si="99"/>
        <v/>
      </c>
      <c r="EU665" s="580" t="str">
        <f t="shared" si="100"/>
        <v/>
      </c>
      <c r="EV665" s="785" t="str">
        <f t="shared" si="101"/>
        <v/>
      </c>
      <c r="EW665" s="785" t="str">
        <f t="shared" si="102"/>
        <v/>
      </c>
      <c r="EX665" s="785" t="str">
        <f t="shared" si="103"/>
        <v/>
      </c>
      <c r="EY665" s="785" t="str">
        <f t="shared" si="104"/>
        <v/>
      </c>
      <c r="EZ665" s="785" t="str">
        <f t="shared" si="105"/>
        <v/>
      </c>
      <c r="FA665" s="785" t="str">
        <f t="shared" si="106"/>
        <v/>
      </c>
      <c r="FB665" s="785" t="str">
        <f t="shared" si="107"/>
        <v/>
      </c>
      <c r="FC665" s="785" t="str">
        <f t="shared" si="108"/>
        <v/>
      </c>
      <c r="FD665" s="785" t="str">
        <f t="shared" si="109"/>
        <v/>
      </c>
      <c r="FE665" s="785" t="str">
        <f t="shared" si="110"/>
        <v/>
      </c>
      <c r="FF665" s="785" t="str">
        <f t="shared" si="111"/>
        <v/>
      </c>
      <c r="FG665" s="785" t="str">
        <f t="shared" si="112"/>
        <v/>
      </c>
      <c r="FH665" s="785" t="str">
        <f t="shared" si="113"/>
        <v/>
      </c>
      <c r="FI665" s="785" t="str">
        <f t="shared" si="114"/>
        <v/>
      </c>
      <c r="FJ665" s="785" t="str">
        <f t="shared" si="115"/>
        <v/>
      </c>
      <c r="FK665" s="785" t="str">
        <f t="shared" si="116"/>
        <v/>
      </c>
      <c r="FL665" s="785" t="str">
        <f t="shared" si="117"/>
        <v/>
      </c>
      <c r="FM665" s="785" t="str">
        <f t="shared" si="118"/>
        <v/>
      </c>
      <c r="FN665" s="785" t="str">
        <f t="shared" si="119"/>
        <v/>
      </c>
      <c r="FO665" s="785" t="str">
        <f t="shared" si="120"/>
        <v/>
      </c>
      <c r="FP665" s="785" t="str">
        <f t="shared" si="121"/>
        <v/>
      </c>
      <c r="FQ665" s="785" t="str">
        <f t="shared" si="122"/>
        <v/>
      </c>
      <c r="FR665" s="785" t="str">
        <f t="shared" si="123"/>
        <v/>
      </c>
      <c r="FS665" s="785" t="str">
        <f t="shared" si="124"/>
        <v/>
      </c>
      <c r="FT665" s="785" t="str">
        <f t="shared" si="125"/>
        <v/>
      </c>
      <c r="FU665" s="785" t="str">
        <f t="shared" si="126"/>
        <v/>
      </c>
      <c r="FV665" s="785" t="str">
        <f t="shared" si="127"/>
        <v/>
      </c>
      <c r="FW665" s="785" t="str">
        <f t="shared" si="128"/>
        <v/>
      </c>
      <c r="FX665" s="785" t="str">
        <f t="shared" si="129"/>
        <v/>
      </c>
      <c r="FY665" s="785" t="str">
        <f t="shared" si="130"/>
        <v/>
      </c>
      <c r="FZ665" s="785" t="str">
        <f t="shared" si="131"/>
        <v/>
      </c>
      <c r="GA665" s="785" t="str">
        <f t="shared" si="132"/>
        <v/>
      </c>
      <c r="GB665" s="785" t="str">
        <f t="shared" si="133"/>
        <v/>
      </c>
      <c r="GC665" s="785" t="str">
        <f t="shared" si="134"/>
        <v/>
      </c>
      <c r="GD665" s="785" t="str">
        <f t="shared" si="135"/>
        <v/>
      </c>
      <c r="GE665" s="785" t="str">
        <f t="shared" si="136"/>
        <v/>
      </c>
      <c r="GF665" s="785" t="str">
        <f t="shared" si="137"/>
        <v/>
      </c>
      <c r="GG665" s="785" t="str">
        <f t="shared" si="138"/>
        <v/>
      </c>
      <c r="GH665" s="785" t="str">
        <f t="shared" si="139"/>
        <v/>
      </c>
      <c r="GI665" s="785" t="str">
        <f t="shared" si="140"/>
        <v/>
      </c>
      <c r="GJ665" s="785" t="str">
        <f t="shared" si="141"/>
        <v/>
      </c>
      <c r="GK665" s="785" t="str">
        <f t="shared" si="142"/>
        <v/>
      </c>
      <c r="GL665" s="785" t="str">
        <f t="shared" si="143"/>
        <v/>
      </c>
      <c r="GM665" s="785" t="str">
        <f t="shared" si="144"/>
        <v/>
      </c>
      <c r="GN665" s="785" t="str">
        <f t="shared" si="145"/>
        <v/>
      </c>
      <c r="GO665" s="786" t="str">
        <f t="shared" si="146"/>
        <v/>
      </c>
      <c r="GP665" s="786" t="str">
        <f t="shared" si="147"/>
        <v/>
      </c>
      <c r="GQ665" s="786" t="str">
        <f t="shared" si="148"/>
        <v/>
      </c>
      <c r="GR665" s="786" t="str">
        <f t="shared" si="149"/>
        <v/>
      </c>
      <c r="GS665" s="786" t="str">
        <f t="shared" si="150"/>
        <v/>
      </c>
      <c r="GT665" s="580" t="str">
        <f t="shared" si="151"/>
        <v/>
      </c>
      <c r="GU665" s="580" t="str">
        <f t="shared" si="152"/>
        <v/>
      </c>
      <c r="GV665" s="580" t="str">
        <f t="shared" si="153"/>
        <v/>
      </c>
      <c r="GW665" s="580" t="str">
        <f t="shared" si="154"/>
        <v/>
      </c>
      <c r="GX665" s="580" t="str">
        <f t="shared" si="155"/>
        <v/>
      </c>
      <c r="GY665" s="580" t="str">
        <f t="shared" si="156"/>
        <v/>
      </c>
      <c r="GZ665" s="580" t="str">
        <f t="shared" si="157"/>
        <v/>
      </c>
      <c r="HA665" s="580" t="str">
        <f t="shared" si="158"/>
        <v/>
      </c>
      <c r="HB665" s="580" t="str">
        <f t="shared" si="159"/>
        <v/>
      </c>
      <c r="HC665" s="580" t="str">
        <f t="shared" si="160"/>
        <v/>
      </c>
      <c r="HD665" s="580" t="str">
        <f t="shared" si="161"/>
        <v/>
      </c>
      <c r="HE665" s="580" t="str">
        <f t="shared" si="162"/>
        <v/>
      </c>
      <c r="HF665" s="580" t="str">
        <f t="shared" si="163"/>
        <v/>
      </c>
      <c r="HG665" s="580" t="str">
        <f t="shared" si="164"/>
        <v/>
      </c>
      <c r="HH665" s="580" t="str">
        <f t="shared" si="165"/>
        <v/>
      </c>
      <c r="HI665" s="580" t="str">
        <f t="shared" si="166"/>
        <v/>
      </c>
      <c r="HJ665" s="580" t="str">
        <f t="shared" si="167"/>
        <v/>
      </c>
      <c r="HK665" s="580" t="str">
        <f t="shared" si="168"/>
        <v/>
      </c>
      <c r="HL665" s="580" t="str">
        <f t="shared" si="169"/>
        <v/>
      </c>
      <c r="HM665" s="580" t="str">
        <f t="shared" si="170"/>
        <v/>
      </c>
    </row>
    <row r="666" spans="1:221" ht="13.15" customHeight="1">
      <c r="A666" s="888" t="str">
        <f t="shared" si="171"/>
        <v/>
      </c>
      <c r="B666" s="1054" t="str">
        <f>'Part VI-Revenues &amp; Expenses'!B32</f>
        <v>&lt;&lt;Select&gt;&gt;</v>
      </c>
      <c r="C666" s="1055">
        <f>'Part VI-Revenues &amp; Expenses'!C32</f>
        <v>0</v>
      </c>
      <c r="D666" s="1056">
        <f>'Part VI-Revenues &amp; Expenses'!D32</f>
        <v>0</v>
      </c>
      <c r="E666" s="1057">
        <f>'Part VI-Revenues &amp; Expenses'!E32</f>
        <v>0</v>
      </c>
      <c r="F666" s="1057">
        <f>'Part VI-Revenues &amp; Expenses'!F32</f>
        <v>0</v>
      </c>
      <c r="G666" s="1057">
        <f>'Part VI-Revenues &amp; Expenses'!G32</f>
        <v>0</v>
      </c>
      <c r="H666" s="1057">
        <f>'Part VI-Revenues &amp; Expenses'!H32</f>
        <v>0</v>
      </c>
      <c r="I666" s="1057">
        <f>'Part VI-Revenues &amp; Expenses'!I32</f>
        <v>0</v>
      </c>
      <c r="J666" s="818">
        <f>'Part VI-Revenues &amp; Expenses'!J32</f>
        <v>0</v>
      </c>
      <c r="K666" s="893">
        <f t="shared" si="204"/>
        <v>0</v>
      </c>
      <c r="L666" s="893">
        <f t="shared" si="0"/>
        <v>0</v>
      </c>
      <c r="M666" s="783">
        <f>'Part VI-Revenues &amp; Expenses'!M32</f>
        <v>0</v>
      </c>
      <c r="N666" s="783">
        <f>'Part VI-Revenues &amp; Expenses'!N32</f>
        <v>0</v>
      </c>
      <c r="O666" s="783">
        <f>'Part VI-Revenues &amp; Expenses'!O32</f>
        <v>0</v>
      </c>
      <c r="P666" s="894">
        <f t="shared" si="203"/>
        <v>0</v>
      </c>
      <c r="Q666" s="895" t="str">
        <f>'Part VI-Revenues &amp; Expenses'!Q32</f>
        <v/>
      </c>
      <c r="R666" s="894"/>
      <c r="S666" s="895"/>
      <c r="T666" s="2130"/>
      <c r="U666" s="2130"/>
      <c r="V666" s="580" t="str">
        <f t="shared" si="1"/>
        <v/>
      </c>
      <c r="W666" s="580" t="str">
        <f t="shared" si="2"/>
        <v/>
      </c>
      <c r="X666" s="580" t="str">
        <f t="shared" si="3"/>
        <v/>
      </c>
      <c r="Y666" s="580" t="str">
        <f t="shared" si="4"/>
        <v/>
      </c>
      <c r="Z666" s="580" t="str">
        <f t="shared" si="5"/>
        <v/>
      </c>
      <c r="AA666" s="580" t="str">
        <f t="shared" si="6"/>
        <v/>
      </c>
      <c r="AB666" s="580" t="str">
        <f t="shared" si="7"/>
        <v/>
      </c>
      <c r="AC666" s="580" t="str">
        <f t="shared" si="8"/>
        <v/>
      </c>
      <c r="AD666" s="580" t="str">
        <f t="shared" si="9"/>
        <v/>
      </c>
      <c r="AE666" s="580" t="str">
        <f t="shared" si="10"/>
        <v/>
      </c>
      <c r="AF666" s="580" t="str">
        <f t="shared" si="11"/>
        <v/>
      </c>
      <c r="AG666" s="580" t="str">
        <f t="shared" si="12"/>
        <v/>
      </c>
      <c r="AH666" s="580" t="str">
        <f t="shared" si="13"/>
        <v/>
      </c>
      <c r="AI666" s="580" t="str">
        <f t="shared" si="14"/>
        <v/>
      </c>
      <c r="AJ666" s="580" t="str">
        <f t="shared" si="15"/>
        <v/>
      </c>
      <c r="AK666" s="580" t="str">
        <f t="shared" si="16"/>
        <v/>
      </c>
      <c r="AL666" s="580" t="str">
        <f t="shared" si="17"/>
        <v/>
      </c>
      <c r="AM666" s="580" t="str">
        <f t="shared" si="18"/>
        <v/>
      </c>
      <c r="AN666" s="580" t="str">
        <f t="shared" si="19"/>
        <v/>
      </c>
      <c r="AO666" s="580" t="str">
        <f t="shared" si="20"/>
        <v/>
      </c>
      <c r="AP666" s="580" t="str">
        <f t="shared" si="173"/>
        <v/>
      </c>
      <c r="AQ666" s="580" t="str">
        <f t="shared" si="174"/>
        <v/>
      </c>
      <c r="AR666" s="580" t="str">
        <f t="shared" si="175"/>
        <v/>
      </c>
      <c r="AS666" s="580" t="str">
        <f t="shared" si="176"/>
        <v/>
      </c>
      <c r="AT666" s="580" t="str">
        <f t="shared" si="177"/>
        <v/>
      </c>
      <c r="AU666" s="580" t="str">
        <f t="shared" si="178"/>
        <v/>
      </c>
      <c r="AV666" s="580" t="str">
        <f t="shared" si="179"/>
        <v/>
      </c>
      <c r="AW666" s="580" t="str">
        <f t="shared" si="180"/>
        <v/>
      </c>
      <c r="AX666" s="580" t="str">
        <f t="shared" si="181"/>
        <v/>
      </c>
      <c r="AY666" s="580" t="str">
        <f t="shared" si="182"/>
        <v/>
      </c>
      <c r="AZ666" s="580" t="str">
        <f t="shared" si="183"/>
        <v/>
      </c>
      <c r="BA666" s="580" t="str">
        <f t="shared" si="184"/>
        <v/>
      </c>
      <c r="BB666" s="580" t="str">
        <f t="shared" si="185"/>
        <v/>
      </c>
      <c r="BC666" s="580" t="str">
        <f t="shared" si="186"/>
        <v/>
      </c>
      <c r="BD666" s="580" t="str">
        <f t="shared" si="187"/>
        <v/>
      </c>
      <c r="BE666" s="580" t="str">
        <f t="shared" si="188"/>
        <v/>
      </c>
      <c r="BF666" s="580" t="str">
        <f t="shared" si="189"/>
        <v/>
      </c>
      <c r="BG666" s="580" t="str">
        <f t="shared" si="190"/>
        <v/>
      </c>
      <c r="BH666" s="580" t="str">
        <f t="shared" si="191"/>
        <v/>
      </c>
      <c r="BI666" s="580" t="str">
        <f t="shared" si="192"/>
        <v/>
      </c>
      <c r="BJ666" s="580" t="str">
        <f t="shared" si="193"/>
        <v/>
      </c>
      <c r="BK666" s="580" t="str">
        <f t="shared" si="194"/>
        <v/>
      </c>
      <c r="BL666" s="580" t="str">
        <f t="shared" si="195"/>
        <v/>
      </c>
      <c r="BM666" s="580" t="str">
        <f t="shared" si="196"/>
        <v/>
      </c>
      <c r="BN666" s="580" t="str">
        <f t="shared" si="197"/>
        <v/>
      </c>
      <c r="BO666" s="580" t="str">
        <f t="shared" si="198"/>
        <v/>
      </c>
      <c r="BP666" s="580" t="str">
        <f t="shared" si="199"/>
        <v/>
      </c>
      <c r="BQ666" s="580" t="str">
        <f t="shared" si="200"/>
        <v/>
      </c>
      <c r="BR666" s="580" t="str">
        <f t="shared" si="201"/>
        <v/>
      </c>
      <c r="BS666" s="580" t="str">
        <f t="shared" si="202"/>
        <v/>
      </c>
      <c r="BT666" s="580" t="str">
        <f t="shared" si="21"/>
        <v/>
      </c>
      <c r="BU666" s="580" t="str">
        <f t="shared" si="22"/>
        <v/>
      </c>
      <c r="BV666" s="580" t="str">
        <f t="shared" si="23"/>
        <v/>
      </c>
      <c r="BW666" s="580" t="str">
        <f t="shared" si="24"/>
        <v/>
      </c>
      <c r="BX666" s="580" t="str">
        <f t="shared" si="25"/>
        <v/>
      </c>
      <c r="BY666" s="580" t="str">
        <f t="shared" si="26"/>
        <v/>
      </c>
      <c r="BZ666" s="580" t="str">
        <f t="shared" si="27"/>
        <v/>
      </c>
      <c r="CA666" s="580" t="str">
        <f t="shared" si="28"/>
        <v/>
      </c>
      <c r="CB666" s="580" t="str">
        <f t="shared" si="29"/>
        <v/>
      </c>
      <c r="CC666" s="580" t="str">
        <f t="shared" si="30"/>
        <v/>
      </c>
      <c r="CD666" s="580" t="str">
        <f t="shared" si="31"/>
        <v/>
      </c>
      <c r="CE666" s="580" t="str">
        <f t="shared" si="32"/>
        <v/>
      </c>
      <c r="CF666" s="580" t="str">
        <f t="shared" si="33"/>
        <v/>
      </c>
      <c r="CG666" s="580" t="str">
        <f t="shared" si="34"/>
        <v/>
      </c>
      <c r="CH666" s="580" t="str">
        <f t="shared" si="35"/>
        <v/>
      </c>
      <c r="CI666" s="580" t="str">
        <f t="shared" si="36"/>
        <v/>
      </c>
      <c r="CJ666" s="580" t="str">
        <f t="shared" si="37"/>
        <v/>
      </c>
      <c r="CK666" s="580" t="str">
        <f t="shared" si="38"/>
        <v/>
      </c>
      <c r="CL666" s="580" t="str">
        <f t="shared" si="39"/>
        <v/>
      </c>
      <c r="CM666" s="580" t="str">
        <f t="shared" si="40"/>
        <v/>
      </c>
      <c r="CN666" s="580" t="str">
        <f t="shared" si="41"/>
        <v/>
      </c>
      <c r="CO666" s="580" t="str">
        <f t="shared" si="42"/>
        <v/>
      </c>
      <c r="CP666" s="580" t="str">
        <f t="shared" si="43"/>
        <v/>
      </c>
      <c r="CQ666" s="580" t="str">
        <f t="shared" si="44"/>
        <v/>
      </c>
      <c r="CR666" s="580" t="str">
        <f t="shared" si="45"/>
        <v/>
      </c>
      <c r="CS666" s="580" t="str">
        <f t="shared" si="46"/>
        <v/>
      </c>
      <c r="CT666" s="580" t="str">
        <f t="shared" si="47"/>
        <v/>
      </c>
      <c r="CU666" s="580" t="str">
        <f t="shared" si="48"/>
        <v/>
      </c>
      <c r="CV666" s="580" t="str">
        <f t="shared" si="49"/>
        <v/>
      </c>
      <c r="CW666" s="580" t="str">
        <f t="shared" si="50"/>
        <v/>
      </c>
      <c r="CX666" s="580" t="str">
        <f t="shared" si="51"/>
        <v/>
      </c>
      <c r="CY666" s="580" t="str">
        <f t="shared" si="52"/>
        <v/>
      </c>
      <c r="CZ666" s="580" t="str">
        <f t="shared" si="53"/>
        <v/>
      </c>
      <c r="DA666" s="580" t="str">
        <f t="shared" si="54"/>
        <v/>
      </c>
      <c r="DB666" s="580" t="str">
        <f t="shared" si="55"/>
        <v/>
      </c>
      <c r="DC666" s="580" t="str">
        <f t="shared" si="56"/>
        <v/>
      </c>
      <c r="DD666" s="580" t="str">
        <f t="shared" si="57"/>
        <v/>
      </c>
      <c r="DE666" s="580" t="str">
        <f t="shared" si="58"/>
        <v/>
      </c>
      <c r="DF666" s="580" t="str">
        <f t="shared" si="59"/>
        <v/>
      </c>
      <c r="DG666" s="580" t="str">
        <f t="shared" si="60"/>
        <v/>
      </c>
      <c r="DH666" s="580" t="str">
        <f t="shared" si="61"/>
        <v/>
      </c>
      <c r="DI666" s="580" t="str">
        <f t="shared" si="62"/>
        <v/>
      </c>
      <c r="DJ666" s="580" t="str">
        <f t="shared" si="63"/>
        <v/>
      </c>
      <c r="DK666" s="580" t="str">
        <f t="shared" si="64"/>
        <v/>
      </c>
      <c r="DL666" s="580" t="str">
        <f t="shared" si="65"/>
        <v/>
      </c>
      <c r="DM666" s="580" t="str">
        <f t="shared" si="66"/>
        <v/>
      </c>
      <c r="DN666" s="580" t="str">
        <f t="shared" si="67"/>
        <v/>
      </c>
      <c r="DO666" s="580" t="str">
        <f t="shared" si="68"/>
        <v/>
      </c>
      <c r="DP666" s="580" t="str">
        <f t="shared" si="69"/>
        <v/>
      </c>
      <c r="DQ666" s="580" t="str">
        <f t="shared" si="70"/>
        <v/>
      </c>
      <c r="DR666" s="580" t="str">
        <f t="shared" si="71"/>
        <v/>
      </c>
      <c r="DS666" s="580" t="str">
        <f t="shared" si="72"/>
        <v/>
      </c>
      <c r="DT666" s="580" t="str">
        <f t="shared" si="73"/>
        <v/>
      </c>
      <c r="DU666" s="580" t="str">
        <f t="shared" si="74"/>
        <v/>
      </c>
      <c r="DV666" s="580" t="str">
        <f t="shared" si="75"/>
        <v/>
      </c>
      <c r="DW666" s="580" t="str">
        <f t="shared" si="76"/>
        <v/>
      </c>
      <c r="DX666" s="580" t="str">
        <f t="shared" si="77"/>
        <v/>
      </c>
      <c r="DY666" s="580" t="str">
        <f t="shared" si="78"/>
        <v/>
      </c>
      <c r="DZ666" s="580" t="str">
        <f t="shared" si="79"/>
        <v/>
      </c>
      <c r="EA666" s="580" t="str">
        <f t="shared" si="80"/>
        <v/>
      </c>
      <c r="EB666" s="580" t="str">
        <f t="shared" si="81"/>
        <v/>
      </c>
      <c r="EC666" s="580" t="str">
        <f t="shared" si="82"/>
        <v/>
      </c>
      <c r="ED666" s="580" t="str">
        <f t="shared" si="83"/>
        <v/>
      </c>
      <c r="EE666" s="580" t="str">
        <f t="shared" si="84"/>
        <v/>
      </c>
      <c r="EF666" s="580" t="str">
        <f t="shared" si="85"/>
        <v/>
      </c>
      <c r="EG666" s="580" t="str">
        <f t="shared" si="86"/>
        <v/>
      </c>
      <c r="EH666" s="580" t="str">
        <f t="shared" si="87"/>
        <v/>
      </c>
      <c r="EI666" s="580" t="str">
        <f t="shared" si="88"/>
        <v/>
      </c>
      <c r="EJ666" s="580" t="str">
        <f t="shared" si="89"/>
        <v/>
      </c>
      <c r="EK666" s="580" t="str">
        <f t="shared" si="90"/>
        <v/>
      </c>
      <c r="EL666" s="580" t="str">
        <f t="shared" si="91"/>
        <v/>
      </c>
      <c r="EM666" s="580" t="str">
        <f t="shared" si="92"/>
        <v/>
      </c>
      <c r="EN666" s="580" t="str">
        <f t="shared" si="93"/>
        <v/>
      </c>
      <c r="EO666" s="580" t="str">
        <f t="shared" si="94"/>
        <v/>
      </c>
      <c r="EP666" s="580" t="str">
        <f t="shared" si="95"/>
        <v/>
      </c>
      <c r="EQ666" s="580" t="str">
        <f t="shared" si="96"/>
        <v/>
      </c>
      <c r="ER666" s="580" t="str">
        <f t="shared" si="97"/>
        <v/>
      </c>
      <c r="ES666" s="580" t="str">
        <f t="shared" si="98"/>
        <v/>
      </c>
      <c r="ET666" s="580" t="str">
        <f t="shared" si="99"/>
        <v/>
      </c>
      <c r="EU666" s="580" t="str">
        <f t="shared" si="100"/>
        <v/>
      </c>
      <c r="EV666" s="785" t="str">
        <f t="shared" si="101"/>
        <v/>
      </c>
      <c r="EW666" s="785" t="str">
        <f t="shared" si="102"/>
        <v/>
      </c>
      <c r="EX666" s="785" t="str">
        <f t="shared" si="103"/>
        <v/>
      </c>
      <c r="EY666" s="785" t="str">
        <f t="shared" si="104"/>
        <v/>
      </c>
      <c r="EZ666" s="785" t="str">
        <f t="shared" si="105"/>
        <v/>
      </c>
      <c r="FA666" s="785" t="str">
        <f t="shared" si="106"/>
        <v/>
      </c>
      <c r="FB666" s="785" t="str">
        <f t="shared" si="107"/>
        <v/>
      </c>
      <c r="FC666" s="785" t="str">
        <f t="shared" si="108"/>
        <v/>
      </c>
      <c r="FD666" s="785" t="str">
        <f t="shared" si="109"/>
        <v/>
      </c>
      <c r="FE666" s="785" t="str">
        <f t="shared" si="110"/>
        <v/>
      </c>
      <c r="FF666" s="785" t="str">
        <f t="shared" si="111"/>
        <v/>
      </c>
      <c r="FG666" s="785" t="str">
        <f t="shared" si="112"/>
        <v/>
      </c>
      <c r="FH666" s="785" t="str">
        <f t="shared" si="113"/>
        <v/>
      </c>
      <c r="FI666" s="785" t="str">
        <f t="shared" si="114"/>
        <v/>
      </c>
      <c r="FJ666" s="785" t="str">
        <f t="shared" si="115"/>
        <v/>
      </c>
      <c r="FK666" s="785" t="str">
        <f t="shared" si="116"/>
        <v/>
      </c>
      <c r="FL666" s="785" t="str">
        <f t="shared" si="117"/>
        <v/>
      </c>
      <c r="FM666" s="785" t="str">
        <f t="shared" si="118"/>
        <v/>
      </c>
      <c r="FN666" s="785" t="str">
        <f t="shared" si="119"/>
        <v/>
      </c>
      <c r="FO666" s="785" t="str">
        <f t="shared" si="120"/>
        <v/>
      </c>
      <c r="FP666" s="785" t="str">
        <f t="shared" si="121"/>
        <v/>
      </c>
      <c r="FQ666" s="785" t="str">
        <f t="shared" si="122"/>
        <v/>
      </c>
      <c r="FR666" s="785" t="str">
        <f t="shared" si="123"/>
        <v/>
      </c>
      <c r="FS666" s="785" t="str">
        <f t="shared" si="124"/>
        <v/>
      </c>
      <c r="FT666" s="785" t="str">
        <f t="shared" si="125"/>
        <v/>
      </c>
      <c r="FU666" s="785" t="str">
        <f t="shared" si="126"/>
        <v/>
      </c>
      <c r="FV666" s="785" t="str">
        <f t="shared" si="127"/>
        <v/>
      </c>
      <c r="FW666" s="785" t="str">
        <f t="shared" si="128"/>
        <v/>
      </c>
      <c r="FX666" s="785" t="str">
        <f t="shared" si="129"/>
        <v/>
      </c>
      <c r="FY666" s="785" t="str">
        <f t="shared" si="130"/>
        <v/>
      </c>
      <c r="FZ666" s="785" t="str">
        <f t="shared" si="131"/>
        <v/>
      </c>
      <c r="GA666" s="785" t="str">
        <f t="shared" si="132"/>
        <v/>
      </c>
      <c r="GB666" s="785" t="str">
        <f t="shared" si="133"/>
        <v/>
      </c>
      <c r="GC666" s="785" t="str">
        <f t="shared" si="134"/>
        <v/>
      </c>
      <c r="GD666" s="785" t="str">
        <f t="shared" si="135"/>
        <v/>
      </c>
      <c r="GE666" s="785" t="str">
        <f t="shared" si="136"/>
        <v/>
      </c>
      <c r="GF666" s="785" t="str">
        <f t="shared" si="137"/>
        <v/>
      </c>
      <c r="GG666" s="785" t="str">
        <f t="shared" si="138"/>
        <v/>
      </c>
      <c r="GH666" s="785" t="str">
        <f t="shared" si="139"/>
        <v/>
      </c>
      <c r="GI666" s="785" t="str">
        <f t="shared" si="140"/>
        <v/>
      </c>
      <c r="GJ666" s="785" t="str">
        <f t="shared" si="141"/>
        <v/>
      </c>
      <c r="GK666" s="785" t="str">
        <f t="shared" si="142"/>
        <v/>
      </c>
      <c r="GL666" s="785" t="str">
        <f t="shared" si="143"/>
        <v/>
      </c>
      <c r="GM666" s="785" t="str">
        <f t="shared" si="144"/>
        <v/>
      </c>
      <c r="GN666" s="785" t="str">
        <f t="shared" si="145"/>
        <v/>
      </c>
      <c r="GO666" s="786" t="str">
        <f t="shared" si="146"/>
        <v/>
      </c>
      <c r="GP666" s="786" t="str">
        <f t="shared" si="147"/>
        <v/>
      </c>
      <c r="GQ666" s="786" t="str">
        <f t="shared" si="148"/>
        <v/>
      </c>
      <c r="GR666" s="786" t="str">
        <f t="shared" si="149"/>
        <v/>
      </c>
      <c r="GS666" s="786" t="str">
        <f t="shared" si="150"/>
        <v/>
      </c>
      <c r="GT666" s="580" t="str">
        <f t="shared" si="151"/>
        <v/>
      </c>
      <c r="GU666" s="580" t="str">
        <f t="shared" si="152"/>
        <v/>
      </c>
      <c r="GV666" s="580" t="str">
        <f t="shared" si="153"/>
        <v/>
      </c>
      <c r="GW666" s="580" t="str">
        <f t="shared" si="154"/>
        <v/>
      </c>
      <c r="GX666" s="580" t="str">
        <f t="shared" si="155"/>
        <v/>
      </c>
      <c r="GY666" s="580" t="str">
        <f t="shared" si="156"/>
        <v/>
      </c>
      <c r="GZ666" s="580" t="str">
        <f t="shared" si="157"/>
        <v/>
      </c>
      <c r="HA666" s="580" t="str">
        <f t="shared" si="158"/>
        <v/>
      </c>
      <c r="HB666" s="580" t="str">
        <f t="shared" si="159"/>
        <v/>
      </c>
      <c r="HC666" s="580" t="str">
        <f t="shared" si="160"/>
        <v/>
      </c>
      <c r="HD666" s="580" t="str">
        <f t="shared" si="161"/>
        <v/>
      </c>
      <c r="HE666" s="580" t="str">
        <f t="shared" si="162"/>
        <v/>
      </c>
      <c r="HF666" s="580" t="str">
        <f t="shared" si="163"/>
        <v/>
      </c>
      <c r="HG666" s="580" t="str">
        <f t="shared" si="164"/>
        <v/>
      </c>
      <c r="HH666" s="580" t="str">
        <f t="shared" si="165"/>
        <v/>
      </c>
      <c r="HI666" s="580" t="str">
        <f t="shared" si="166"/>
        <v/>
      </c>
      <c r="HJ666" s="580" t="str">
        <f t="shared" si="167"/>
        <v/>
      </c>
      <c r="HK666" s="580" t="str">
        <f t="shared" si="168"/>
        <v/>
      </c>
      <c r="HL666" s="580" t="str">
        <f t="shared" si="169"/>
        <v/>
      </c>
      <c r="HM666" s="580" t="str">
        <f t="shared" si="170"/>
        <v/>
      </c>
    </row>
    <row r="667" spans="1:221" ht="13.15" customHeight="1">
      <c r="A667" s="888" t="str">
        <f t="shared" si="171"/>
        <v/>
      </c>
      <c r="B667" s="1054" t="str">
        <f>'Part VI-Revenues &amp; Expenses'!B33</f>
        <v>&lt;&lt;Select&gt;&gt;</v>
      </c>
      <c r="C667" s="1055">
        <f>'Part VI-Revenues &amp; Expenses'!C33</f>
        <v>0</v>
      </c>
      <c r="D667" s="1056">
        <f>'Part VI-Revenues &amp; Expenses'!D33</f>
        <v>0</v>
      </c>
      <c r="E667" s="1057">
        <f>'Part VI-Revenues &amp; Expenses'!E33</f>
        <v>0</v>
      </c>
      <c r="F667" s="1057">
        <f>'Part VI-Revenues &amp; Expenses'!F33</f>
        <v>0</v>
      </c>
      <c r="G667" s="1057">
        <f>'Part VI-Revenues &amp; Expenses'!G33</f>
        <v>0</v>
      </c>
      <c r="H667" s="1057">
        <f>'Part VI-Revenues &amp; Expenses'!H33</f>
        <v>0</v>
      </c>
      <c r="I667" s="1057">
        <f>'Part VI-Revenues &amp; Expenses'!I33</f>
        <v>0</v>
      </c>
      <c r="J667" s="818">
        <f>'Part VI-Revenues &amp; Expenses'!J33</f>
        <v>0</v>
      </c>
      <c r="K667" s="893">
        <f t="shared" si="204"/>
        <v>0</v>
      </c>
      <c r="L667" s="893">
        <f t="shared" si="0"/>
        <v>0</v>
      </c>
      <c r="M667" s="783">
        <f>'Part VI-Revenues &amp; Expenses'!M33</f>
        <v>0</v>
      </c>
      <c r="N667" s="783">
        <f>'Part VI-Revenues &amp; Expenses'!N33</f>
        <v>0</v>
      </c>
      <c r="O667" s="783">
        <f>'Part VI-Revenues &amp; Expenses'!O33</f>
        <v>0</v>
      </c>
      <c r="P667" s="894">
        <f t="shared" si="203"/>
        <v>0</v>
      </c>
      <c r="Q667" s="895" t="str">
        <f>'Part VI-Revenues &amp; Expenses'!Q33</f>
        <v/>
      </c>
      <c r="R667" s="894"/>
      <c r="S667" s="895"/>
      <c r="T667" s="2130"/>
      <c r="U667" s="2130"/>
      <c r="V667" s="580" t="str">
        <f t="shared" si="1"/>
        <v/>
      </c>
      <c r="W667" s="580" t="str">
        <f t="shared" si="2"/>
        <v/>
      </c>
      <c r="X667" s="580" t="str">
        <f t="shared" si="3"/>
        <v/>
      </c>
      <c r="Y667" s="580" t="str">
        <f t="shared" si="4"/>
        <v/>
      </c>
      <c r="Z667" s="580" t="str">
        <f t="shared" si="5"/>
        <v/>
      </c>
      <c r="AA667" s="580" t="str">
        <f t="shared" si="6"/>
        <v/>
      </c>
      <c r="AB667" s="580" t="str">
        <f t="shared" si="7"/>
        <v/>
      </c>
      <c r="AC667" s="580" t="str">
        <f t="shared" si="8"/>
        <v/>
      </c>
      <c r="AD667" s="580" t="str">
        <f t="shared" si="9"/>
        <v/>
      </c>
      <c r="AE667" s="580" t="str">
        <f t="shared" si="10"/>
        <v/>
      </c>
      <c r="AF667" s="580" t="str">
        <f t="shared" si="11"/>
        <v/>
      </c>
      <c r="AG667" s="580" t="str">
        <f t="shared" si="12"/>
        <v/>
      </c>
      <c r="AH667" s="580" t="str">
        <f t="shared" si="13"/>
        <v/>
      </c>
      <c r="AI667" s="580" t="str">
        <f t="shared" si="14"/>
        <v/>
      </c>
      <c r="AJ667" s="580" t="str">
        <f t="shared" si="15"/>
        <v/>
      </c>
      <c r="AK667" s="580" t="str">
        <f t="shared" si="16"/>
        <v/>
      </c>
      <c r="AL667" s="580" t="str">
        <f t="shared" si="17"/>
        <v/>
      </c>
      <c r="AM667" s="580" t="str">
        <f t="shared" si="18"/>
        <v/>
      </c>
      <c r="AN667" s="580" t="str">
        <f t="shared" si="19"/>
        <v/>
      </c>
      <c r="AO667" s="580" t="str">
        <f t="shared" si="20"/>
        <v/>
      </c>
      <c r="AP667" s="580" t="str">
        <f t="shared" si="173"/>
        <v/>
      </c>
      <c r="AQ667" s="580" t="str">
        <f t="shared" si="174"/>
        <v/>
      </c>
      <c r="AR667" s="580" t="str">
        <f t="shared" si="175"/>
        <v/>
      </c>
      <c r="AS667" s="580" t="str">
        <f t="shared" si="176"/>
        <v/>
      </c>
      <c r="AT667" s="580" t="str">
        <f t="shared" si="177"/>
        <v/>
      </c>
      <c r="AU667" s="580" t="str">
        <f t="shared" si="178"/>
        <v/>
      </c>
      <c r="AV667" s="580" t="str">
        <f t="shared" si="179"/>
        <v/>
      </c>
      <c r="AW667" s="580" t="str">
        <f t="shared" si="180"/>
        <v/>
      </c>
      <c r="AX667" s="580" t="str">
        <f t="shared" si="181"/>
        <v/>
      </c>
      <c r="AY667" s="580" t="str">
        <f t="shared" si="182"/>
        <v/>
      </c>
      <c r="AZ667" s="580" t="str">
        <f t="shared" si="183"/>
        <v/>
      </c>
      <c r="BA667" s="580" t="str">
        <f t="shared" si="184"/>
        <v/>
      </c>
      <c r="BB667" s="580" t="str">
        <f t="shared" si="185"/>
        <v/>
      </c>
      <c r="BC667" s="580" t="str">
        <f t="shared" si="186"/>
        <v/>
      </c>
      <c r="BD667" s="580" t="str">
        <f t="shared" si="187"/>
        <v/>
      </c>
      <c r="BE667" s="580" t="str">
        <f t="shared" si="188"/>
        <v/>
      </c>
      <c r="BF667" s="580" t="str">
        <f t="shared" si="189"/>
        <v/>
      </c>
      <c r="BG667" s="580" t="str">
        <f t="shared" si="190"/>
        <v/>
      </c>
      <c r="BH667" s="580" t="str">
        <f t="shared" si="191"/>
        <v/>
      </c>
      <c r="BI667" s="580" t="str">
        <f t="shared" si="192"/>
        <v/>
      </c>
      <c r="BJ667" s="580" t="str">
        <f t="shared" si="193"/>
        <v/>
      </c>
      <c r="BK667" s="580" t="str">
        <f t="shared" si="194"/>
        <v/>
      </c>
      <c r="BL667" s="580" t="str">
        <f t="shared" si="195"/>
        <v/>
      </c>
      <c r="BM667" s="580" t="str">
        <f t="shared" si="196"/>
        <v/>
      </c>
      <c r="BN667" s="580" t="str">
        <f t="shared" si="197"/>
        <v/>
      </c>
      <c r="BO667" s="580" t="str">
        <f t="shared" si="198"/>
        <v/>
      </c>
      <c r="BP667" s="580" t="str">
        <f t="shared" si="199"/>
        <v/>
      </c>
      <c r="BQ667" s="580" t="str">
        <f t="shared" si="200"/>
        <v/>
      </c>
      <c r="BR667" s="580" t="str">
        <f t="shared" si="201"/>
        <v/>
      </c>
      <c r="BS667" s="580" t="str">
        <f t="shared" si="202"/>
        <v/>
      </c>
      <c r="BT667" s="580" t="str">
        <f t="shared" si="21"/>
        <v/>
      </c>
      <c r="BU667" s="580" t="str">
        <f t="shared" si="22"/>
        <v/>
      </c>
      <c r="BV667" s="580" t="str">
        <f t="shared" si="23"/>
        <v/>
      </c>
      <c r="BW667" s="580" t="str">
        <f t="shared" si="24"/>
        <v/>
      </c>
      <c r="BX667" s="580" t="str">
        <f t="shared" si="25"/>
        <v/>
      </c>
      <c r="BY667" s="580" t="str">
        <f t="shared" si="26"/>
        <v/>
      </c>
      <c r="BZ667" s="580" t="str">
        <f t="shared" si="27"/>
        <v/>
      </c>
      <c r="CA667" s="580" t="str">
        <f t="shared" si="28"/>
        <v/>
      </c>
      <c r="CB667" s="580" t="str">
        <f t="shared" si="29"/>
        <v/>
      </c>
      <c r="CC667" s="580" t="str">
        <f t="shared" si="30"/>
        <v/>
      </c>
      <c r="CD667" s="580" t="str">
        <f t="shared" si="31"/>
        <v/>
      </c>
      <c r="CE667" s="580" t="str">
        <f t="shared" si="32"/>
        <v/>
      </c>
      <c r="CF667" s="580" t="str">
        <f t="shared" si="33"/>
        <v/>
      </c>
      <c r="CG667" s="580" t="str">
        <f t="shared" si="34"/>
        <v/>
      </c>
      <c r="CH667" s="580" t="str">
        <f t="shared" si="35"/>
        <v/>
      </c>
      <c r="CI667" s="580" t="str">
        <f t="shared" si="36"/>
        <v/>
      </c>
      <c r="CJ667" s="580" t="str">
        <f t="shared" si="37"/>
        <v/>
      </c>
      <c r="CK667" s="580" t="str">
        <f t="shared" si="38"/>
        <v/>
      </c>
      <c r="CL667" s="580" t="str">
        <f t="shared" si="39"/>
        <v/>
      </c>
      <c r="CM667" s="580" t="str">
        <f t="shared" si="40"/>
        <v/>
      </c>
      <c r="CN667" s="580" t="str">
        <f t="shared" si="41"/>
        <v/>
      </c>
      <c r="CO667" s="580" t="str">
        <f t="shared" si="42"/>
        <v/>
      </c>
      <c r="CP667" s="580" t="str">
        <f t="shared" si="43"/>
        <v/>
      </c>
      <c r="CQ667" s="580" t="str">
        <f t="shared" si="44"/>
        <v/>
      </c>
      <c r="CR667" s="580" t="str">
        <f t="shared" si="45"/>
        <v/>
      </c>
      <c r="CS667" s="580" t="str">
        <f t="shared" si="46"/>
        <v/>
      </c>
      <c r="CT667" s="580" t="str">
        <f t="shared" si="47"/>
        <v/>
      </c>
      <c r="CU667" s="580" t="str">
        <f t="shared" si="48"/>
        <v/>
      </c>
      <c r="CV667" s="580" t="str">
        <f t="shared" si="49"/>
        <v/>
      </c>
      <c r="CW667" s="580" t="str">
        <f t="shared" si="50"/>
        <v/>
      </c>
      <c r="CX667" s="580" t="str">
        <f t="shared" si="51"/>
        <v/>
      </c>
      <c r="CY667" s="580" t="str">
        <f t="shared" si="52"/>
        <v/>
      </c>
      <c r="CZ667" s="580" t="str">
        <f t="shared" si="53"/>
        <v/>
      </c>
      <c r="DA667" s="580" t="str">
        <f t="shared" si="54"/>
        <v/>
      </c>
      <c r="DB667" s="580" t="str">
        <f t="shared" si="55"/>
        <v/>
      </c>
      <c r="DC667" s="580" t="str">
        <f t="shared" si="56"/>
        <v/>
      </c>
      <c r="DD667" s="580" t="str">
        <f t="shared" si="57"/>
        <v/>
      </c>
      <c r="DE667" s="580" t="str">
        <f t="shared" si="58"/>
        <v/>
      </c>
      <c r="DF667" s="580" t="str">
        <f t="shared" si="59"/>
        <v/>
      </c>
      <c r="DG667" s="580" t="str">
        <f t="shared" si="60"/>
        <v/>
      </c>
      <c r="DH667" s="580" t="str">
        <f t="shared" si="61"/>
        <v/>
      </c>
      <c r="DI667" s="580" t="str">
        <f t="shared" si="62"/>
        <v/>
      </c>
      <c r="DJ667" s="580" t="str">
        <f t="shared" si="63"/>
        <v/>
      </c>
      <c r="DK667" s="580" t="str">
        <f t="shared" si="64"/>
        <v/>
      </c>
      <c r="DL667" s="580" t="str">
        <f t="shared" si="65"/>
        <v/>
      </c>
      <c r="DM667" s="580" t="str">
        <f t="shared" si="66"/>
        <v/>
      </c>
      <c r="DN667" s="580" t="str">
        <f t="shared" si="67"/>
        <v/>
      </c>
      <c r="DO667" s="580" t="str">
        <f t="shared" si="68"/>
        <v/>
      </c>
      <c r="DP667" s="580" t="str">
        <f t="shared" si="69"/>
        <v/>
      </c>
      <c r="DQ667" s="580" t="str">
        <f t="shared" si="70"/>
        <v/>
      </c>
      <c r="DR667" s="580" t="str">
        <f t="shared" si="71"/>
        <v/>
      </c>
      <c r="DS667" s="580" t="str">
        <f t="shared" si="72"/>
        <v/>
      </c>
      <c r="DT667" s="580" t="str">
        <f t="shared" si="73"/>
        <v/>
      </c>
      <c r="DU667" s="580" t="str">
        <f t="shared" si="74"/>
        <v/>
      </c>
      <c r="DV667" s="580" t="str">
        <f t="shared" si="75"/>
        <v/>
      </c>
      <c r="DW667" s="580" t="str">
        <f t="shared" si="76"/>
        <v/>
      </c>
      <c r="DX667" s="580" t="str">
        <f t="shared" si="77"/>
        <v/>
      </c>
      <c r="DY667" s="580" t="str">
        <f t="shared" si="78"/>
        <v/>
      </c>
      <c r="DZ667" s="580" t="str">
        <f t="shared" si="79"/>
        <v/>
      </c>
      <c r="EA667" s="580" t="str">
        <f t="shared" si="80"/>
        <v/>
      </c>
      <c r="EB667" s="580" t="str">
        <f t="shared" si="81"/>
        <v/>
      </c>
      <c r="EC667" s="580" t="str">
        <f t="shared" si="82"/>
        <v/>
      </c>
      <c r="ED667" s="580" t="str">
        <f t="shared" si="83"/>
        <v/>
      </c>
      <c r="EE667" s="580" t="str">
        <f t="shared" si="84"/>
        <v/>
      </c>
      <c r="EF667" s="580" t="str">
        <f t="shared" si="85"/>
        <v/>
      </c>
      <c r="EG667" s="580" t="str">
        <f t="shared" si="86"/>
        <v/>
      </c>
      <c r="EH667" s="580" t="str">
        <f t="shared" si="87"/>
        <v/>
      </c>
      <c r="EI667" s="580" t="str">
        <f t="shared" si="88"/>
        <v/>
      </c>
      <c r="EJ667" s="580" t="str">
        <f t="shared" si="89"/>
        <v/>
      </c>
      <c r="EK667" s="580" t="str">
        <f t="shared" si="90"/>
        <v/>
      </c>
      <c r="EL667" s="580" t="str">
        <f t="shared" si="91"/>
        <v/>
      </c>
      <c r="EM667" s="580" t="str">
        <f t="shared" si="92"/>
        <v/>
      </c>
      <c r="EN667" s="580" t="str">
        <f t="shared" si="93"/>
        <v/>
      </c>
      <c r="EO667" s="580" t="str">
        <f t="shared" si="94"/>
        <v/>
      </c>
      <c r="EP667" s="580" t="str">
        <f t="shared" si="95"/>
        <v/>
      </c>
      <c r="EQ667" s="580" t="str">
        <f t="shared" si="96"/>
        <v/>
      </c>
      <c r="ER667" s="580" t="str">
        <f t="shared" si="97"/>
        <v/>
      </c>
      <c r="ES667" s="580" t="str">
        <f t="shared" si="98"/>
        <v/>
      </c>
      <c r="ET667" s="580" t="str">
        <f t="shared" si="99"/>
        <v/>
      </c>
      <c r="EU667" s="580" t="str">
        <f t="shared" si="100"/>
        <v/>
      </c>
      <c r="EV667" s="785" t="str">
        <f t="shared" si="101"/>
        <v/>
      </c>
      <c r="EW667" s="785" t="str">
        <f t="shared" si="102"/>
        <v/>
      </c>
      <c r="EX667" s="785" t="str">
        <f t="shared" si="103"/>
        <v/>
      </c>
      <c r="EY667" s="785" t="str">
        <f t="shared" si="104"/>
        <v/>
      </c>
      <c r="EZ667" s="785" t="str">
        <f t="shared" si="105"/>
        <v/>
      </c>
      <c r="FA667" s="785" t="str">
        <f t="shared" si="106"/>
        <v/>
      </c>
      <c r="FB667" s="785" t="str">
        <f t="shared" si="107"/>
        <v/>
      </c>
      <c r="FC667" s="785" t="str">
        <f t="shared" si="108"/>
        <v/>
      </c>
      <c r="FD667" s="785" t="str">
        <f t="shared" si="109"/>
        <v/>
      </c>
      <c r="FE667" s="785" t="str">
        <f t="shared" si="110"/>
        <v/>
      </c>
      <c r="FF667" s="785" t="str">
        <f t="shared" si="111"/>
        <v/>
      </c>
      <c r="FG667" s="785" t="str">
        <f t="shared" si="112"/>
        <v/>
      </c>
      <c r="FH667" s="785" t="str">
        <f t="shared" si="113"/>
        <v/>
      </c>
      <c r="FI667" s="785" t="str">
        <f t="shared" si="114"/>
        <v/>
      </c>
      <c r="FJ667" s="785" t="str">
        <f t="shared" si="115"/>
        <v/>
      </c>
      <c r="FK667" s="785" t="str">
        <f t="shared" si="116"/>
        <v/>
      </c>
      <c r="FL667" s="785" t="str">
        <f t="shared" si="117"/>
        <v/>
      </c>
      <c r="FM667" s="785" t="str">
        <f t="shared" si="118"/>
        <v/>
      </c>
      <c r="FN667" s="785" t="str">
        <f t="shared" si="119"/>
        <v/>
      </c>
      <c r="FO667" s="785" t="str">
        <f t="shared" si="120"/>
        <v/>
      </c>
      <c r="FP667" s="785" t="str">
        <f t="shared" si="121"/>
        <v/>
      </c>
      <c r="FQ667" s="785" t="str">
        <f t="shared" si="122"/>
        <v/>
      </c>
      <c r="FR667" s="785" t="str">
        <f t="shared" si="123"/>
        <v/>
      </c>
      <c r="FS667" s="785" t="str">
        <f t="shared" si="124"/>
        <v/>
      </c>
      <c r="FT667" s="785" t="str">
        <f t="shared" si="125"/>
        <v/>
      </c>
      <c r="FU667" s="785" t="str">
        <f t="shared" si="126"/>
        <v/>
      </c>
      <c r="FV667" s="785" t="str">
        <f t="shared" si="127"/>
        <v/>
      </c>
      <c r="FW667" s="785" t="str">
        <f t="shared" si="128"/>
        <v/>
      </c>
      <c r="FX667" s="785" t="str">
        <f t="shared" si="129"/>
        <v/>
      </c>
      <c r="FY667" s="785" t="str">
        <f t="shared" si="130"/>
        <v/>
      </c>
      <c r="FZ667" s="785" t="str">
        <f t="shared" si="131"/>
        <v/>
      </c>
      <c r="GA667" s="785" t="str">
        <f t="shared" si="132"/>
        <v/>
      </c>
      <c r="GB667" s="785" t="str">
        <f t="shared" si="133"/>
        <v/>
      </c>
      <c r="GC667" s="785" t="str">
        <f t="shared" si="134"/>
        <v/>
      </c>
      <c r="GD667" s="785" t="str">
        <f t="shared" si="135"/>
        <v/>
      </c>
      <c r="GE667" s="785" t="str">
        <f t="shared" si="136"/>
        <v/>
      </c>
      <c r="GF667" s="785" t="str">
        <f t="shared" si="137"/>
        <v/>
      </c>
      <c r="GG667" s="785" t="str">
        <f t="shared" si="138"/>
        <v/>
      </c>
      <c r="GH667" s="785" t="str">
        <f t="shared" si="139"/>
        <v/>
      </c>
      <c r="GI667" s="785" t="str">
        <f t="shared" si="140"/>
        <v/>
      </c>
      <c r="GJ667" s="785" t="str">
        <f t="shared" si="141"/>
        <v/>
      </c>
      <c r="GK667" s="785" t="str">
        <f t="shared" si="142"/>
        <v/>
      </c>
      <c r="GL667" s="785" t="str">
        <f t="shared" si="143"/>
        <v/>
      </c>
      <c r="GM667" s="785" t="str">
        <f t="shared" si="144"/>
        <v/>
      </c>
      <c r="GN667" s="785" t="str">
        <f t="shared" si="145"/>
        <v/>
      </c>
      <c r="GO667" s="786" t="str">
        <f t="shared" si="146"/>
        <v/>
      </c>
      <c r="GP667" s="786" t="str">
        <f t="shared" si="147"/>
        <v/>
      </c>
      <c r="GQ667" s="786" t="str">
        <f t="shared" si="148"/>
        <v/>
      </c>
      <c r="GR667" s="786" t="str">
        <f t="shared" si="149"/>
        <v/>
      </c>
      <c r="GS667" s="786" t="str">
        <f t="shared" si="150"/>
        <v/>
      </c>
      <c r="GT667" s="580" t="str">
        <f t="shared" si="151"/>
        <v/>
      </c>
      <c r="GU667" s="580" t="str">
        <f t="shared" si="152"/>
        <v/>
      </c>
      <c r="GV667" s="580" t="str">
        <f t="shared" si="153"/>
        <v/>
      </c>
      <c r="GW667" s="580" t="str">
        <f t="shared" si="154"/>
        <v/>
      </c>
      <c r="GX667" s="580" t="str">
        <f t="shared" si="155"/>
        <v/>
      </c>
      <c r="GY667" s="580" t="str">
        <f t="shared" si="156"/>
        <v/>
      </c>
      <c r="GZ667" s="580" t="str">
        <f t="shared" si="157"/>
        <v/>
      </c>
      <c r="HA667" s="580" t="str">
        <f t="shared" si="158"/>
        <v/>
      </c>
      <c r="HB667" s="580" t="str">
        <f t="shared" si="159"/>
        <v/>
      </c>
      <c r="HC667" s="580" t="str">
        <f t="shared" si="160"/>
        <v/>
      </c>
      <c r="HD667" s="580" t="str">
        <f t="shared" si="161"/>
        <v/>
      </c>
      <c r="HE667" s="580" t="str">
        <f t="shared" si="162"/>
        <v/>
      </c>
      <c r="HF667" s="580" t="str">
        <f t="shared" si="163"/>
        <v/>
      </c>
      <c r="HG667" s="580" t="str">
        <f t="shared" si="164"/>
        <v/>
      </c>
      <c r="HH667" s="580" t="str">
        <f t="shared" si="165"/>
        <v/>
      </c>
      <c r="HI667" s="580" t="str">
        <f t="shared" si="166"/>
        <v/>
      </c>
      <c r="HJ667" s="580" t="str">
        <f t="shared" si="167"/>
        <v/>
      </c>
      <c r="HK667" s="580" t="str">
        <f t="shared" si="168"/>
        <v/>
      </c>
      <c r="HL667" s="580" t="str">
        <f t="shared" si="169"/>
        <v/>
      </c>
      <c r="HM667" s="580" t="str">
        <f t="shared" si="170"/>
        <v/>
      </c>
    </row>
    <row r="668" spans="1:221" ht="13.15" customHeight="1">
      <c r="A668" s="888" t="str">
        <f t="shared" si="171"/>
        <v/>
      </c>
      <c r="B668" s="1054" t="str">
        <f>'Part VI-Revenues &amp; Expenses'!B34</f>
        <v>&lt;&lt;Select&gt;&gt;</v>
      </c>
      <c r="C668" s="1055">
        <f>'Part VI-Revenues &amp; Expenses'!C34</f>
        <v>0</v>
      </c>
      <c r="D668" s="1056">
        <f>'Part VI-Revenues &amp; Expenses'!D34</f>
        <v>0</v>
      </c>
      <c r="E668" s="1057">
        <f>'Part VI-Revenues &amp; Expenses'!E34</f>
        <v>0</v>
      </c>
      <c r="F668" s="1057">
        <f>'Part VI-Revenues &amp; Expenses'!F34</f>
        <v>0</v>
      </c>
      <c r="G668" s="1057">
        <f>'Part VI-Revenues &amp; Expenses'!G34</f>
        <v>0</v>
      </c>
      <c r="H668" s="1057">
        <f>'Part VI-Revenues &amp; Expenses'!H34</f>
        <v>0</v>
      </c>
      <c r="I668" s="1057">
        <f>'Part VI-Revenues &amp; Expenses'!I34</f>
        <v>0</v>
      </c>
      <c r="J668" s="818">
        <f>'Part VI-Revenues &amp; Expenses'!J34</f>
        <v>0</v>
      </c>
      <c r="K668" s="893">
        <f t="shared" si="204"/>
        <v>0</v>
      </c>
      <c r="L668" s="893">
        <f t="shared" si="0"/>
        <v>0</v>
      </c>
      <c r="M668" s="783">
        <f>'Part VI-Revenues &amp; Expenses'!M34</f>
        <v>0</v>
      </c>
      <c r="N668" s="783">
        <f>'Part VI-Revenues &amp; Expenses'!N34</f>
        <v>0</v>
      </c>
      <c r="O668" s="783">
        <f>'Part VI-Revenues &amp; Expenses'!O34</f>
        <v>0</v>
      </c>
      <c r="P668" s="894">
        <f t="shared" si="203"/>
        <v>0</v>
      </c>
      <c r="Q668" s="895" t="str">
        <f>'Part VI-Revenues &amp; Expenses'!Q34</f>
        <v/>
      </c>
      <c r="R668" s="894"/>
      <c r="S668" s="895"/>
      <c r="T668" s="2130"/>
      <c r="U668" s="2130"/>
      <c r="V668" s="580" t="str">
        <f t="shared" si="1"/>
        <v/>
      </c>
      <c r="W668" s="580" t="str">
        <f t="shared" si="2"/>
        <v/>
      </c>
      <c r="X668" s="580" t="str">
        <f t="shared" si="3"/>
        <v/>
      </c>
      <c r="Y668" s="580" t="str">
        <f t="shared" si="4"/>
        <v/>
      </c>
      <c r="Z668" s="580" t="str">
        <f t="shared" si="5"/>
        <v/>
      </c>
      <c r="AA668" s="580" t="str">
        <f t="shared" si="6"/>
        <v/>
      </c>
      <c r="AB668" s="580" t="str">
        <f t="shared" si="7"/>
        <v/>
      </c>
      <c r="AC668" s="580" t="str">
        <f t="shared" si="8"/>
        <v/>
      </c>
      <c r="AD668" s="580" t="str">
        <f t="shared" si="9"/>
        <v/>
      </c>
      <c r="AE668" s="580" t="str">
        <f t="shared" si="10"/>
        <v/>
      </c>
      <c r="AF668" s="580" t="str">
        <f t="shared" si="11"/>
        <v/>
      </c>
      <c r="AG668" s="580" t="str">
        <f t="shared" si="12"/>
        <v/>
      </c>
      <c r="AH668" s="580" t="str">
        <f t="shared" si="13"/>
        <v/>
      </c>
      <c r="AI668" s="580" t="str">
        <f t="shared" si="14"/>
        <v/>
      </c>
      <c r="AJ668" s="580" t="str">
        <f t="shared" si="15"/>
        <v/>
      </c>
      <c r="AK668" s="580" t="str">
        <f t="shared" si="16"/>
        <v/>
      </c>
      <c r="AL668" s="580" t="str">
        <f t="shared" si="17"/>
        <v/>
      </c>
      <c r="AM668" s="580" t="str">
        <f t="shared" si="18"/>
        <v/>
      </c>
      <c r="AN668" s="580" t="str">
        <f t="shared" si="19"/>
        <v/>
      </c>
      <c r="AO668" s="580" t="str">
        <f t="shared" si="20"/>
        <v/>
      </c>
      <c r="AP668" s="580" t="str">
        <f t="shared" si="173"/>
        <v/>
      </c>
      <c r="AQ668" s="580" t="str">
        <f t="shared" si="174"/>
        <v/>
      </c>
      <c r="AR668" s="580" t="str">
        <f t="shared" si="175"/>
        <v/>
      </c>
      <c r="AS668" s="580" t="str">
        <f t="shared" si="176"/>
        <v/>
      </c>
      <c r="AT668" s="580" t="str">
        <f t="shared" si="177"/>
        <v/>
      </c>
      <c r="AU668" s="580" t="str">
        <f t="shared" si="178"/>
        <v/>
      </c>
      <c r="AV668" s="580" t="str">
        <f t="shared" si="179"/>
        <v/>
      </c>
      <c r="AW668" s="580" t="str">
        <f t="shared" si="180"/>
        <v/>
      </c>
      <c r="AX668" s="580" t="str">
        <f t="shared" si="181"/>
        <v/>
      </c>
      <c r="AY668" s="580" t="str">
        <f t="shared" si="182"/>
        <v/>
      </c>
      <c r="AZ668" s="580" t="str">
        <f t="shared" si="183"/>
        <v/>
      </c>
      <c r="BA668" s="580" t="str">
        <f t="shared" si="184"/>
        <v/>
      </c>
      <c r="BB668" s="580" t="str">
        <f t="shared" si="185"/>
        <v/>
      </c>
      <c r="BC668" s="580" t="str">
        <f t="shared" si="186"/>
        <v/>
      </c>
      <c r="BD668" s="580" t="str">
        <f t="shared" si="187"/>
        <v/>
      </c>
      <c r="BE668" s="580" t="str">
        <f t="shared" si="188"/>
        <v/>
      </c>
      <c r="BF668" s="580" t="str">
        <f t="shared" si="189"/>
        <v/>
      </c>
      <c r="BG668" s="580" t="str">
        <f t="shared" si="190"/>
        <v/>
      </c>
      <c r="BH668" s="580" t="str">
        <f t="shared" si="191"/>
        <v/>
      </c>
      <c r="BI668" s="580" t="str">
        <f t="shared" si="192"/>
        <v/>
      </c>
      <c r="BJ668" s="580" t="str">
        <f t="shared" si="193"/>
        <v/>
      </c>
      <c r="BK668" s="580" t="str">
        <f t="shared" si="194"/>
        <v/>
      </c>
      <c r="BL668" s="580" t="str">
        <f t="shared" si="195"/>
        <v/>
      </c>
      <c r="BM668" s="580" t="str">
        <f t="shared" si="196"/>
        <v/>
      </c>
      <c r="BN668" s="580" t="str">
        <f t="shared" si="197"/>
        <v/>
      </c>
      <c r="BO668" s="580" t="str">
        <f t="shared" si="198"/>
        <v/>
      </c>
      <c r="BP668" s="580" t="str">
        <f t="shared" si="199"/>
        <v/>
      </c>
      <c r="BQ668" s="580" t="str">
        <f t="shared" si="200"/>
        <v/>
      </c>
      <c r="BR668" s="580" t="str">
        <f t="shared" si="201"/>
        <v/>
      </c>
      <c r="BS668" s="580" t="str">
        <f t="shared" si="202"/>
        <v/>
      </c>
      <c r="BT668" s="580" t="str">
        <f t="shared" si="21"/>
        <v/>
      </c>
      <c r="BU668" s="580" t="str">
        <f t="shared" si="22"/>
        <v/>
      </c>
      <c r="BV668" s="580" t="str">
        <f t="shared" si="23"/>
        <v/>
      </c>
      <c r="BW668" s="580" t="str">
        <f t="shared" si="24"/>
        <v/>
      </c>
      <c r="BX668" s="580" t="str">
        <f t="shared" si="25"/>
        <v/>
      </c>
      <c r="BY668" s="580" t="str">
        <f t="shared" si="26"/>
        <v/>
      </c>
      <c r="BZ668" s="580" t="str">
        <f t="shared" si="27"/>
        <v/>
      </c>
      <c r="CA668" s="580" t="str">
        <f t="shared" si="28"/>
        <v/>
      </c>
      <c r="CB668" s="580" t="str">
        <f t="shared" si="29"/>
        <v/>
      </c>
      <c r="CC668" s="580" t="str">
        <f t="shared" si="30"/>
        <v/>
      </c>
      <c r="CD668" s="580" t="str">
        <f t="shared" si="31"/>
        <v/>
      </c>
      <c r="CE668" s="580" t="str">
        <f t="shared" si="32"/>
        <v/>
      </c>
      <c r="CF668" s="580" t="str">
        <f t="shared" si="33"/>
        <v/>
      </c>
      <c r="CG668" s="580" t="str">
        <f t="shared" si="34"/>
        <v/>
      </c>
      <c r="CH668" s="580" t="str">
        <f t="shared" si="35"/>
        <v/>
      </c>
      <c r="CI668" s="580" t="str">
        <f t="shared" si="36"/>
        <v/>
      </c>
      <c r="CJ668" s="580" t="str">
        <f t="shared" si="37"/>
        <v/>
      </c>
      <c r="CK668" s="580" t="str">
        <f t="shared" si="38"/>
        <v/>
      </c>
      <c r="CL668" s="580" t="str">
        <f t="shared" si="39"/>
        <v/>
      </c>
      <c r="CM668" s="580" t="str">
        <f t="shared" si="40"/>
        <v/>
      </c>
      <c r="CN668" s="580" t="str">
        <f t="shared" si="41"/>
        <v/>
      </c>
      <c r="CO668" s="580" t="str">
        <f t="shared" si="42"/>
        <v/>
      </c>
      <c r="CP668" s="580" t="str">
        <f t="shared" si="43"/>
        <v/>
      </c>
      <c r="CQ668" s="580" t="str">
        <f t="shared" si="44"/>
        <v/>
      </c>
      <c r="CR668" s="580" t="str">
        <f t="shared" si="45"/>
        <v/>
      </c>
      <c r="CS668" s="580" t="str">
        <f t="shared" si="46"/>
        <v/>
      </c>
      <c r="CT668" s="580" t="str">
        <f t="shared" si="47"/>
        <v/>
      </c>
      <c r="CU668" s="580" t="str">
        <f t="shared" si="48"/>
        <v/>
      </c>
      <c r="CV668" s="580" t="str">
        <f t="shared" si="49"/>
        <v/>
      </c>
      <c r="CW668" s="580" t="str">
        <f t="shared" si="50"/>
        <v/>
      </c>
      <c r="CX668" s="580" t="str">
        <f t="shared" si="51"/>
        <v/>
      </c>
      <c r="CY668" s="580" t="str">
        <f t="shared" si="52"/>
        <v/>
      </c>
      <c r="CZ668" s="580" t="str">
        <f t="shared" si="53"/>
        <v/>
      </c>
      <c r="DA668" s="580" t="str">
        <f t="shared" si="54"/>
        <v/>
      </c>
      <c r="DB668" s="580" t="str">
        <f t="shared" si="55"/>
        <v/>
      </c>
      <c r="DC668" s="580" t="str">
        <f t="shared" si="56"/>
        <v/>
      </c>
      <c r="DD668" s="580" t="str">
        <f t="shared" si="57"/>
        <v/>
      </c>
      <c r="DE668" s="580" t="str">
        <f t="shared" si="58"/>
        <v/>
      </c>
      <c r="DF668" s="580" t="str">
        <f t="shared" si="59"/>
        <v/>
      </c>
      <c r="DG668" s="580" t="str">
        <f t="shared" si="60"/>
        <v/>
      </c>
      <c r="DH668" s="580" t="str">
        <f t="shared" si="61"/>
        <v/>
      </c>
      <c r="DI668" s="580" t="str">
        <f t="shared" si="62"/>
        <v/>
      </c>
      <c r="DJ668" s="580" t="str">
        <f t="shared" si="63"/>
        <v/>
      </c>
      <c r="DK668" s="580" t="str">
        <f t="shared" si="64"/>
        <v/>
      </c>
      <c r="DL668" s="580" t="str">
        <f t="shared" si="65"/>
        <v/>
      </c>
      <c r="DM668" s="580" t="str">
        <f t="shared" si="66"/>
        <v/>
      </c>
      <c r="DN668" s="580" t="str">
        <f t="shared" si="67"/>
        <v/>
      </c>
      <c r="DO668" s="580" t="str">
        <f t="shared" si="68"/>
        <v/>
      </c>
      <c r="DP668" s="580" t="str">
        <f t="shared" si="69"/>
        <v/>
      </c>
      <c r="DQ668" s="580" t="str">
        <f t="shared" si="70"/>
        <v/>
      </c>
      <c r="DR668" s="580" t="str">
        <f t="shared" si="71"/>
        <v/>
      </c>
      <c r="DS668" s="580" t="str">
        <f t="shared" si="72"/>
        <v/>
      </c>
      <c r="DT668" s="580" t="str">
        <f t="shared" si="73"/>
        <v/>
      </c>
      <c r="DU668" s="580" t="str">
        <f t="shared" si="74"/>
        <v/>
      </c>
      <c r="DV668" s="580" t="str">
        <f t="shared" si="75"/>
        <v/>
      </c>
      <c r="DW668" s="580" t="str">
        <f t="shared" si="76"/>
        <v/>
      </c>
      <c r="DX668" s="580" t="str">
        <f t="shared" si="77"/>
        <v/>
      </c>
      <c r="DY668" s="580" t="str">
        <f t="shared" si="78"/>
        <v/>
      </c>
      <c r="DZ668" s="580" t="str">
        <f t="shared" si="79"/>
        <v/>
      </c>
      <c r="EA668" s="580" t="str">
        <f t="shared" si="80"/>
        <v/>
      </c>
      <c r="EB668" s="580" t="str">
        <f t="shared" si="81"/>
        <v/>
      </c>
      <c r="EC668" s="580" t="str">
        <f t="shared" si="82"/>
        <v/>
      </c>
      <c r="ED668" s="580" t="str">
        <f t="shared" si="83"/>
        <v/>
      </c>
      <c r="EE668" s="580" t="str">
        <f t="shared" si="84"/>
        <v/>
      </c>
      <c r="EF668" s="580" t="str">
        <f t="shared" si="85"/>
        <v/>
      </c>
      <c r="EG668" s="580" t="str">
        <f t="shared" si="86"/>
        <v/>
      </c>
      <c r="EH668" s="580" t="str">
        <f t="shared" si="87"/>
        <v/>
      </c>
      <c r="EI668" s="580" t="str">
        <f t="shared" si="88"/>
        <v/>
      </c>
      <c r="EJ668" s="580" t="str">
        <f t="shared" si="89"/>
        <v/>
      </c>
      <c r="EK668" s="580" t="str">
        <f t="shared" si="90"/>
        <v/>
      </c>
      <c r="EL668" s="580" t="str">
        <f t="shared" si="91"/>
        <v/>
      </c>
      <c r="EM668" s="580" t="str">
        <f t="shared" si="92"/>
        <v/>
      </c>
      <c r="EN668" s="580" t="str">
        <f t="shared" si="93"/>
        <v/>
      </c>
      <c r="EO668" s="580" t="str">
        <f t="shared" si="94"/>
        <v/>
      </c>
      <c r="EP668" s="580" t="str">
        <f t="shared" si="95"/>
        <v/>
      </c>
      <c r="EQ668" s="580" t="str">
        <f t="shared" si="96"/>
        <v/>
      </c>
      <c r="ER668" s="580" t="str">
        <f t="shared" si="97"/>
        <v/>
      </c>
      <c r="ES668" s="580" t="str">
        <f t="shared" si="98"/>
        <v/>
      </c>
      <c r="ET668" s="580" t="str">
        <f t="shared" si="99"/>
        <v/>
      </c>
      <c r="EU668" s="580" t="str">
        <f t="shared" si="100"/>
        <v/>
      </c>
      <c r="EV668" s="785" t="str">
        <f t="shared" si="101"/>
        <v/>
      </c>
      <c r="EW668" s="785" t="str">
        <f t="shared" si="102"/>
        <v/>
      </c>
      <c r="EX668" s="785" t="str">
        <f t="shared" si="103"/>
        <v/>
      </c>
      <c r="EY668" s="785" t="str">
        <f t="shared" si="104"/>
        <v/>
      </c>
      <c r="EZ668" s="785" t="str">
        <f t="shared" si="105"/>
        <v/>
      </c>
      <c r="FA668" s="785" t="str">
        <f t="shared" si="106"/>
        <v/>
      </c>
      <c r="FB668" s="785" t="str">
        <f t="shared" si="107"/>
        <v/>
      </c>
      <c r="FC668" s="785" t="str">
        <f t="shared" si="108"/>
        <v/>
      </c>
      <c r="FD668" s="785" t="str">
        <f t="shared" si="109"/>
        <v/>
      </c>
      <c r="FE668" s="785" t="str">
        <f t="shared" si="110"/>
        <v/>
      </c>
      <c r="FF668" s="785" t="str">
        <f t="shared" si="111"/>
        <v/>
      </c>
      <c r="FG668" s="785" t="str">
        <f t="shared" si="112"/>
        <v/>
      </c>
      <c r="FH668" s="785" t="str">
        <f t="shared" si="113"/>
        <v/>
      </c>
      <c r="FI668" s="785" t="str">
        <f t="shared" si="114"/>
        <v/>
      </c>
      <c r="FJ668" s="785" t="str">
        <f t="shared" si="115"/>
        <v/>
      </c>
      <c r="FK668" s="785" t="str">
        <f t="shared" si="116"/>
        <v/>
      </c>
      <c r="FL668" s="785" t="str">
        <f t="shared" si="117"/>
        <v/>
      </c>
      <c r="FM668" s="785" t="str">
        <f t="shared" si="118"/>
        <v/>
      </c>
      <c r="FN668" s="785" t="str">
        <f t="shared" si="119"/>
        <v/>
      </c>
      <c r="FO668" s="785" t="str">
        <f t="shared" si="120"/>
        <v/>
      </c>
      <c r="FP668" s="785" t="str">
        <f t="shared" si="121"/>
        <v/>
      </c>
      <c r="FQ668" s="785" t="str">
        <f t="shared" si="122"/>
        <v/>
      </c>
      <c r="FR668" s="785" t="str">
        <f t="shared" si="123"/>
        <v/>
      </c>
      <c r="FS668" s="785" t="str">
        <f t="shared" si="124"/>
        <v/>
      </c>
      <c r="FT668" s="785" t="str">
        <f t="shared" si="125"/>
        <v/>
      </c>
      <c r="FU668" s="785" t="str">
        <f t="shared" si="126"/>
        <v/>
      </c>
      <c r="FV668" s="785" t="str">
        <f t="shared" si="127"/>
        <v/>
      </c>
      <c r="FW668" s="785" t="str">
        <f t="shared" si="128"/>
        <v/>
      </c>
      <c r="FX668" s="785" t="str">
        <f t="shared" si="129"/>
        <v/>
      </c>
      <c r="FY668" s="785" t="str">
        <f t="shared" si="130"/>
        <v/>
      </c>
      <c r="FZ668" s="785" t="str">
        <f t="shared" si="131"/>
        <v/>
      </c>
      <c r="GA668" s="785" t="str">
        <f t="shared" si="132"/>
        <v/>
      </c>
      <c r="GB668" s="785" t="str">
        <f t="shared" si="133"/>
        <v/>
      </c>
      <c r="GC668" s="785" t="str">
        <f t="shared" si="134"/>
        <v/>
      </c>
      <c r="GD668" s="785" t="str">
        <f t="shared" si="135"/>
        <v/>
      </c>
      <c r="GE668" s="785" t="str">
        <f t="shared" si="136"/>
        <v/>
      </c>
      <c r="GF668" s="785" t="str">
        <f t="shared" si="137"/>
        <v/>
      </c>
      <c r="GG668" s="785" t="str">
        <f t="shared" si="138"/>
        <v/>
      </c>
      <c r="GH668" s="785" t="str">
        <f t="shared" si="139"/>
        <v/>
      </c>
      <c r="GI668" s="785" t="str">
        <f t="shared" si="140"/>
        <v/>
      </c>
      <c r="GJ668" s="785" t="str">
        <f t="shared" si="141"/>
        <v/>
      </c>
      <c r="GK668" s="785" t="str">
        <f t="shared" si="142"/>
        <v/>
      </c>
      <c r="GL668" s="785" t="str">
        <f t="shared" si="143"/>
        <v/>
      </c>
      <c r="GM668" s="785" t="str">
        <f t="shared" si="144"/>
        <v/>
      </c>
      <c r="GN668" s="785" t="str">
        <f t="shared" si="145"/>
        <v/>
      </c>
      <c r="GO668" s="786" t="str">
        <f t="shared" si="146"/>
        <v/>
      </c>
      <c r="GP668" s="786" t="str">
        <f t="shared" si="147"/>
        <v/>
      </c>
      <c r="GQ668" s="786" t="str">
        <f t="shared" si="148"/>
        <v/>
      </c>
      <c r="GR668" s="786" t="str">
        <f t="shared" si="149"/>
        <v/>
      </c>
      <c r="GS668" s="786" t="str">
        <f t="shared" si="150"/>
        <v/>
      </c>
      <c r="GT668" s="580" t="str">
        <f t="shared" si="151"/>
        <v/>
      </c>
      <c r="GU668" s="580" t="str">
        <f t="shared" si="152"/>
        <v/>
      </c>
      <c r="GV668" s="580" t="str">
        <f t="shared" si="153"/>
        <v/>
      </c>
      <c r="GW668" s="580" t="str">
        <f t="shared" si="154"/>
        <v/>
      </c>
      <c r="GX668" s="580" t="str">
        <f t="shared" si="155"/>
        <v/>
      </c>
      <c r="GY668" s="580" t="str">
        <f t="shared" si="156"/>
        <v/>
      </c>
      <c r="GZ668" s="580" t="str">
        <f t="shared" si="157"/>
        <v/>
      </c>
      <c r="HA668" s="580" t="str">
        <f t="shared" si="158"/>
        <v/>
      </c>
      <c r="HB668" s="580" t="str">
        <f t="shared" si="159"/>
        <v/>
      </c>
      <c r="HC668" s="580" t="str">
        <f t="shared" si="160"/>
        <v/>
      </c>
      <c r="HD668" s="580" t="str">
        <f t="shared" si="161"/>
        <v/>
      </c>
      <c r="HE668" s="580" t="str">
        <f t="shared" si="162"/>
        <v/>
      </c>
      <c r="HF668" s="580" t="str">
        <f t="shared" si="163"/>
        <v/>
      </c>
      <c r="HG668" s="580" t="str">
        <f t="shared" si="164"/>
        <v/>
      </c>
      <c r="HH668" s="580" t="str">
        <f t="shared" si="165"/>
        <v/>
      </c>
      <c r="HI668" s="580" t="str">
        <f t="shared" si="166"/>
        <v/>
      </c>
      <c r="HJ668" s="580" t="str">
        <f t="shared" si="167"/>
        <v/>
      </c>
      <c r="HK668" s="580" t="str">
        <f t="shared" si="168"/>
        <v/>
      </c>
      <c r="HL668" s="580" t="str">
        <f t="shared" si="169"/>
        <v/>
      </c>
      <c r="HM668" s="580" t="str">
        <f t="shared" si="170"/>
        <v/>
      </c>
    </row>
    <row r="669" spans="1:221" ht="13.15" customHeight="1">
      <c r="A669" s="888" t="str">
        <f t="shared" si="171"/>
        <v/>
      </c>
      <c r="B669" s="1054" t="str">
        <f>'Part VI-Revenues &amp; Expenses'!B35</f>
        <v>&lt;&lt;Select&gt;&gt;</v>
      </c>
      <c r="C669" s="1055">
        <f>'Part VI-Revenues &amp; Expenses'!C35</f>
        <v>0</v>
      </c>
      <c r="D669" s="1056">
        <f>'Part VI-Revenues &amp; Expenses'!D35</f>
        <v>0</v>
      </c>
      <c r="E669" s="1057">
        <f>'Part VI-Revenues &amp; Expenses'!E35</f>
        <v>0</v>
      </c>
      <c r="F669" s="1057">
        <f>'Part VI-Revenues &amp; Expenses'!F35</f>
        <v>0</v>
      </c>
      <c r="G669" s="1057">
        <f>'Part VI-Revenues &amp; Expenses'!G35</f>
        <v>0</v>
      </c>
      <c r="H669" s="1057">
        <f>'Part VI-Revenues &amp; Expenses'!H35</f>
        <v>0</v>
      </c>
      <c r="I669" s="1057">
        <f>'Part VI-Revenues &amp; Expenses'!I35</f>
        <v>0</v>
      </c>
      <c r="J669" s="818">
        <f>'Part VI-Revenues &amp; Expenses'!J35</f>
        <v>0</v>
      </c>
      <c r="K669" s="893">
        <f t="shared" si="204"/>
        <v>0</v>
      </c>
      <c r="L669" s="893">
        <f t="shared" si="0"/>
        <v>0</v>
      </c>
      <c r="M669" s="783">
        <f>'Part VI-Revenues &amp; Expenses'!M35</f>
        <v>0</v>
      </c>
      <c r="N669" s="783">
        <f>'Part VI-Revenues &amp; Expenses'!N35</f>
        <v>0</v>
      </c>
      <c r="O669" s="783">
        <f>'Part VI-Revenues &amp; Expenses'!O35</f>
        <v>0</v>
      </c>
      <c r="P669" s="894">
        <f t="shared" si="203"/>
        <v>0</v>
      </c>
      <c r="Q669" s="895" t="str">
        <f>'Part VI-Revenues &amp; Expenses'!Q35</f>
        <v/>
      </c>
      <c r="R669" s="894"/>
      <c r="S669" s="895"/>
      <c r="T669" s="2130"/>
      <c r="U669" s="2130"/>
      <c r="V669" s="580" t="str">
        <f t="shared" si="1"/>
        <v/>
      </c>
      <c r="W669" s="580" t="str">
        <f t="shared" si="2"/>
        <v/>
      </c>
      <c r="X669" s="580" t="str">
        <f t="shared" si="3"/>
        <v/>
      </c>
      <c r="Y669" s="580" t="str">
        <f t="shared" si="4"/>
        <v/>
      </c>
      <c r="Z669" s="580" t="str">
        <f t="shared" si="5"/>
        <v/>
      </c>
      <c r="AA669" s="580" t="str">
        <f t="shared" si="6"/>
        <v/>
      </c>
      <c r="AB669" s="580" t="str">
        <f t="shared" si="7"/>
        <v/>
      </c>
      <c r="AC669" s="580" t="str">
        <f t="shared" si="8"/>
        <v/>
      </c>
      <c r="AD669" s="580" t="str">
        <f t="shared" si="9"/>
        <v/>
      </c>
      <c r="AE669" s="580" t="str">
        <f t="shared" si="10"/>
        <v/>
      </c>
      <c r="AF669" s="580" t="str">
        <f t="shared" si="11"/>
        <v/>
      </c>
      <c r="AG669" s="580" t="str">
        <f t="shared" si="12"/>
        <v/>
      </c>
      <c r="AH669" s="580" t="str">
        <f t="shared" si="13"/>
        <v/>
      </c>
      <c r="AI669" s="580" t="str">
        <f t="shared" si="14"/>
        <v/>
      </c>
      <c r="AJ669" s="580" t="str">
        <f t="shared" si="15"/>
        <v/>
      </c>
      <c r="AK669" s="580" t="str">
        <f t="shared" si="16"/>
        <v/>
      </c>
      <c r="AL669" s="580" t="str">
        <f t="shared" si="17"/>
        <v/>
      </c>
      <c r="AM669" s="580" t="str">
        <f t="shared" si="18"/>
        <v/>
      </c>
      <c r="AN669" s="580" t="str">
        <f t="shared" si="19"/>
        <v/>
      </c>
      <c r="AO669" s="580" t="str">
        <f t="shared" si="20"/>
        <v/>
      </c>
      <c r="AP669" s="580" t="str">
        <f t="shared" si="173"/>
        <v/>
      </c>
      <c r="AQ669" s="580" t="str">
        <f t="shared" si="174"/>
        <v/>
      </c>
      <c r="AR669" s="580" t="str">
        <f t="shared" si="175"/>
        <v/>
      </c>
      <c r="AS669" s="580" t="str">
        <f t="shared" si="176"/>
        <v/>
      </c>
      <c r="AT669" s="580" t="str">
        <f t="shared" si="177"/>
        <v/>
      </c>
      <c r="AU669" s="580" t="str">
        <f t="shared" si="178"/>
        <v/>
      </c>
      <c r="AV669" s="580" t="str">
        <f t="shared" si="179"/>
        <v/>
      </c>
      <c r="AW669" s="580" t="str">
        <f t="shared" si="180"/>
        <v/>
      </c>
      <c r="AX669" s="580" t="str">
        <f t="shared" si="181"/>
        <v/>
      </c>
      <c r="AY669" s="580" t="str">
        <f t="shared" si="182"/>
        <v/>
      </c>
      <c r="AZ669" s="580" t="str">
        <f t="shared" si="183"/>
        <v/>
      </c>
      <c r="BA669" s="580" t="str">
        <f t="shared" si="184"/>
        <v/>
      </c>
      <c r="BB669" s="580" t="str">
        <f t="shared" si="185"/>
        <v/>
      </c>
      <c r="BC669" s="580" t="str">
        <f t="shared" si="186"/>
        <v/>
      </c>
      <c r="BD669" s="580" t="str">
        <f t="shared" si="187"/>
        <v/>
      </c>
      <c r="BE669" s="580" t="str">
        <f t="shared" si="188"/>
        <v/>
      </c>
      <c r="BF669" s="580" t="str">
        <f t="shared" si="189"/>
        <v/>
      </c>
      <c r="BG669" s="580" t="str">
        <f t="shared" si="190"/>
        <v/>
      </c>
      <c r="BH669" s="580" t="str">
        <f t="shared" si="191"/>
        <v/>
      </c>
      <c r="BI669" s="580" t="str">
        <f t="shared" si="192"/>
        <v/>
      </c>
      <c r="BJ669" s="580" t="str">
        <f t="shared" si="193"/>
        <v/>
      </c>
      <c r="BK669" s="580" t="str">
        <f t="shared" si="194"/>
        <v/>
      </c>
      <c r="BL669" s="580" t="str">
        <f t="shared" si="195"/>
        <v/>
      </c>
      <c r="BM669" s="580" t="str">
        <f t="shared" si="196"/>
        <v/>
      </c>
      <c r="BN669" s="580" t="str">
        <f t="shared" si="197"/>
        <v/>
      </c>
      <c r="BO669" s="580" t="str">
        <f t="shared" si="198"/>
        <v/>
      </c>
      <c r="BP669" s="580" t="str">
        <f t="shared" si="199"/>
        <v/>
      </c>
      <c r="BQ669" s="580" t="str">
        <f t="shared" si="200"/>
        <v/>
      </c>
      <c r="BR669" s="580" t="str">
        <f t="shared" si="201"/>
        <v/>
      </c>
      <c r="BS669" s="580" t="str">
        <f t="shared" si="202"/>
        <v/>
      </c>
      <c r="BT669" s="580" t="str">
        <f t="shared" si="21"/>
        <v/>
      </c>
      <c r="BU669" s="580" t="str">
        <f t="shared" si="22"/>
        <v/>
      </c>
      <c r="BV669" s="580" t="str">
        <f t="shared" si="23"/>
        <v/>
      </c>
      <c r="BW669" s="580" t="str">
        <f t="shared" si="24"/>
        <v/>
      </c>
      <c r="BX669" s="580" t="str">
        <f t="shared" si="25"/>
        <v/>
      </c>
      <c r="BY669" s="580" t="str">
        <f t="shared" si="26"/>
        <v/>
      </c>
      <c r="BZ669" s="580" t="str">
        <f t="shared" si="27"/>
        <v/>
      </c>
      <c r="CA669" s="580" t="str">
        <f t="shared" si="28"/>
        <v/>
      </c>
      <c r="CB669" s="580" t="str">
        <f t="shared" si="29"/>
        <v/>
      </c>
      <c r="CC669" s="580" t="str">
        <f t="shared" si="30"/>
        <v/>
      </c>
      <c r="CD669" s="580" t="str">
        <f t="shared" si="31"/>
        <v/>
      </c>
      <c r="CE669" s="580" t="str">
        <f t="shared" si="32"/>
        <v/>
      </c>
      <c r="CF669" s="580" t="str">
        <f t="shared" si="33"/>
        <v/>
      </c>
      <c r="CG669" s="580" t="str">
        <f t="shared" si="34"/>
        <v/>
      </c>
      <c r="CH669" s="580" t="str">
        <f t="shared" si="35"/>
        <v/>
      </c>
      <c r="CI669" s="580" t="str">
        <f t="shared" si="36"/>
        <v/>
      </c>
      <c r="CJ669" s="580" t="str">
        <f t="shared" si="37"/>
        <v/>
      </c>
      <c r="CK669" s="580" t="str">
        <f t="shared" si="38"/>
        <v/>
      </c>
      <c r="CL669" s="580" t="str">
        <f t="shared" si="39"/>
        <v/>
      </c>
      <c r="CM669" s="580" t="str">
        <f t="shared" si="40"/>
        <v/>
      </c>
      <c r="CN669" s="580" t="str">
        <f t="shared" si="41"/>
        <v/>
      </c>
      <c r="CO669" s="580" t="str">
        <f t="shared" si="42"/>
        <v/>
      </c>
      <c r="CP669" s="580" t="str">
        <f t="shared" si="43"/>
        <v/>
      </c>
      <c r="CQ669" s="580" t="str">
        <f t="shared" si="44"/>
        <v/>
      </c>
      <c r="CR669" s="580" t="str">
        <f t="shared" si="45"/>
        <v/>
      </c>
      <c r="CS669" s="580" t="str">
        <f t="shared" si="46"/>
        <v/>
      </c>
      <c r="CT669" s="580" t="str">
        <f t="shared" si="47"/>
        <v/>
      </c>
      <c r="CU669" s="580" t="str">
        <f t="shared" si="48"/>
        <v/>
      </c>
      <c r="CV669" s="580" t="str">
        <f t="shared" si="49"/>
        <v/>
      </c>
      <c r="CW669" s="580" t="str">
        <f t="shared" si="50"/>
        <v/>
      </c>
      <c r="CX669" s="580" t="str">
        <f t="shared" si="51"/>
        <v/>
      </c>
      <c r="CY669" s="580" t="str">
        <f t="shared" si="52"/>
        <v/>
      </c>
      <c r="CZ669" s="580" t="str">
        <f t="shared" si="53"/>
        <v/>
      </c>
      <c r="DA669" s="580" t="str">
        <f t="shared" si="54"/>
        <v/>
      </c>
      <c r="DB669" s="580" t="str">
        <f t="shared" si="55"/>
        <v/>
      </c>
      <c r="DC669" s="580" t="str">
        <f t="shared" si="56"/>
        <v/>
      </c>
      <c r="DD669" s="580" t="str">
        <f t="shared" si="57"/>
        <v/>
      </c>
      <c r="DE669" s="580" t="str">
        <f t="shared" si="58"/>
        <v/>
      </c>
      <c r="DF669" s="580" t="str">
        <f t="shared" si="59"/>
        <v/>
      </c>
      <c r="DG669" s="580" t="str">
        <f t="shared" si="60"/>
        <v/>
      </c>
      <c r="DH669" s="580" t="str">
        <f t="shared" si="61"/>
        <v/>
      </c>
      <c r="DI669" s="580" t="str">
        <f t="shared" si="62"/>
        <v/>
      </c>
      <c r="DJ669" s="580" t="str">
        <f t="shared" si="63"/>
        <v/>
      </c>
      <c r="DK669" s="580" t="str">
        <f t="shared" si="64"/>
        <v/>
      </c>
      <c r="DL669" s="580" t="str">
        <f t="shared" si="65"/>
        <v/>
      </c>
      <c r="DM669" s="580" t="str">
        <f t="shared" si="66"/>
        <v/>
      </c>
      <c r="DN669" s="580" t="str">
        <f t="shared" si="67"/>
        <v/>
      </c>
      <c r="DO669" s="580" t="str">
        <f t="shared" si="68"/>
        <v/>
      </c>
      <c r="DP669" s="580" t="str">
        <f t="shared" si="69"/>
        <v/>
      </c>
      <c r="DQ669" s="580" t="str">
        <f t="shared" si="70"/>
        <v/>
      </c>
      <c r="DR669" s="580" t="str">
        <f t="shared" si="71"/>
        <v/>
      </c>
      <c r="DS669" s="580" t="str">
        <f t="shared" si="72"/>
        <v/>
      </c>
      <c r="DT669" s="580" t="str">
        <f t="shared" si="73"/>
        <v/>
      </c>
      <c r="DU669" s="580" t="str">
        <f t="shared" si="74"/>
        <v/>
      </c>
      <c r="DV669" s="580" t="str">
        <f t="shared" si="75"/>
        <v/>
      </c>
      <c r="DW669" s="580" t="str">
        <f t="shared" si="76"/>
        <v/>
      </c>
      <c r="DX669" s="580" t="str">
        <f t="shared" si="77"/>
        <v/>
      </c>
      <c r="DY669" s="580" t="str">
        <f t="shared" si="78"/>
        <v/>
      </c>
      <c r="DZ669" s="580" t="str">
        <f t="shared" si="79"/>
        <v/>
      </c>
      <c r="EA669" s="580" t="str">
        <f t="shared" si="80"/>
        <v/>
      </c>
      <c r="EB669" s="580" t="str">
        <f t="shared" si="81"/>
        <v/>
      </c>
      <c r="EC669" s="580" t="str">
        <f t="shared" si="82"/>
        <v/>
      </c>
      <c r="ED669" s="580" t="str">
        <f t="shared" si="83"/>
        <v/>
      </c>
      <c r="EE669" s="580" t="str">
        <f t="shared" si="84"/>
        <v/>
      </c>
      <c r="EF669" s="580" t="str">
        <f t="shared" si="85"/>
        <v/>
      </c>
      <c r="EG669" s="580" t="str">
        <f t="shared" si="86"/>
        <v/>
      </c>
      <c r="EH669" s="580" t="str">
        <f t="shared" si="87"/>
        <v/>
      </c>
      <c r="EI669" s="580" t="str">
        <f t="shared" si="88"/>
        <v/>
      </c>
      <c r="EJ669" s="580" t="str">
        <f t="shared" si="89"/>
        <v/>
      </c>
      <c r="EK669" s="580" t="str">
        <f t="shared" si="90"/>
        <v/>
      </c>
      <c r="EL669" s="580" t="str">
        <f t="shared" si="91"/>
        <v/>
      </c>
      <c r="EM669" s="580" t="str">
        <f t="shared" si="92"/>
        <v/>
      </c>
      <c r="EN669" s="580" t="str">
        <f t="shared" si="93"/>
        <v/>
      </c>
      <c r="EO669" s="580" t="str">
        <f t="shared" si="94"/>
        <v/>
      </c>
      <c r="EP669" s="580" t="str">
        <f t="shared" si="95"/>
        <v/>
      </c>
      <c r="EQ669" s="580" t="str">
        <f t="shared" si="96"/>
        <v/>
      </c>
      <c r="ER669" s="580" t="str">
        <f t="shared" si="97"/>
        <v/>
      </c>
      <c r="ES669" s="580" t="str">
        <f t="shared" si="98"/>
        <v/>
      </c>
      <c r="ET669" s="580" t="str">
        <f t="shared" si="99"/>
        <v/>
      </c>
      <c r="EU669" s="580" t="str">
        <f t="shared" si="100"/>
        <v/>
      </c>
      <c r="EV669" s="785" t="str">
        <f t="shared" si="101"/>
        <v/>
      </c>
      <c r="EW669" s="785" t="str">
        <f t="shared" si="102"/>
        <v/>
      </c>
      <c r="EX669" s="785" t="str">
        <f t="shared" si="103"/>
        <v/>
      </c>
      <c r="EY669" s="785" t="str">
        <f t="shared" si="104"/>
        <v/>
      </c>
      <c r="EZ669" s="785" t="str">
        <f t="shared" si="105"/>
        <v/>
      </c>
      <c r="FA669" s="785" t="str">
        <f t="shared" si="106"/>
        <v/>
      </c>
      <c r="FB669" s="785" t="str">
        <f t="shared" si="107"/>
        <v/>
      </c>
      <c r="FC669" s="785" t="str">
        <f t="shared" si="108"/>
        <v/>
      </c>
      <c r="FD669" s="785" t="str">
        <f t="shared" si="109"/>
        <v/>
      </c>
      <c r="FE669" s="785" t="str">
        <f t="shared" si="110"/>
        <v/>
      </c>
      <c r="FF669" s="785" t="str">
        <f t="shared" si="111"/>
        <v/>
      </c>
      <c r="FG669" s="785" t="str">
        <f t="shared" si="112"/>
        <v/>
      </c>
      <c r="FH669" s="785" t="str">
        <f t="shared" si="113"/>
        <v/>
      </c>
      <c r="FI669" s="785" t="str">
        <f t="shared" si="114"/>
        <v/>
      </c>
      <c r="FJ669" s="785" t="str">
        <f t="shared" si="115"/>
        <v/>
      </c>
      <c r="FK669" s="785" t="str">
        <f t="shared" si="116"/>
        <v/>
      </c>
      <c r="FL669" s="785" t="str">
        <f t="shared" si="117"/>
        <v/>
      </c>
      <c r="FM669" s="785" t="str">
        <f t="shared" si="118"/>
        <v/>
      </c>
      <c r="FN669" s="785" t="str">
        <f t="shared" si="119"/>
        <v/>
      </c>
      <c r="FO669" s="785" t="str">
        <f t="shared" si="120"/>
        <v/>
      </c>
      <c r="FP669" s="785" t="str">
        <f t="shared" si="121"/>
        <v/>
      </c>
      <c r="FQ669" s="785" t="str">
        <f t="shared" si="122"/>
        <v/>
      </c>
      <c r="FR669" s="785" t="str">
        <f t="shared" si="123"/>
        <v/>
      </c>
      <c r="FS669" s="785" t="str">
        <f t="shared" si="124"/>
        <v/>
      </c>
      <c r="FT669" s="785" t="str">
        <f t="shared" si="125"/>
        <v/>
      </c>
      <c r="FU669" s="785" t="str">
        <f t="shared" si="126"/>
        <v/>
      </c>
      <c r="FV669" s="785" t="str">
        <f t="shared" si="127"/>
        <v/>
      </c>
      <c r="FW669" s="785" t="str">
        <f t="shared" si="128"/>
        <v/>
      </c>
      <c r="FX669" s="785" t="str">
        <f t="shared" si="129"/>
        <v/>
      </c>
      <c r="FY669" s="785" t="str">
        <f t="shared" si="130"/>
        <v/>
      </c>
      <c r="FZ669" s="785" t="str">
        <f t="shared" si="131"/>
        <v/>
      </c>
      <c r="GA669" s="785" t="str">
        <f t="shared" si="132"/>
        <v/>
      </c>
      <c r="GB669" s="785" t="str">
        <f t="shared" si="133"/>
        <v/>
      </c>
      <c r="GC669" s="785" t="str">
        <f t="shared" si="134"/>
        <v/>
      </c>
      <c r="GD669" s="785" t="str">
        <f t="shared" si="135"/>
        <v/>
      </c>
      <c r="GE669" s="785" t="str">
        <f t="shared" si="136"/>
        <v/>
      </c>
      <c r="GF669" s="785" t="str">
        <f t="shared" si="137"/>
        <v/>
      </c>
      <c r="GG669" s="785" t="str">
        <f t="shared" si="138"/>
        <v/>
      </c>
      <c r="GH669" s="785" t="str">
        <f t="shared" si="139"/>
        <v/>
      </c>
      <c r="GI669" s="785" t="str">
        <f t="shared" si="140"/>
        <v/>
      </c>
      <c r="GJ669" s="785" t="str">
        <f t="shared" si="141"/>
        <v/>
      </c>
      <c r="GK669" s="785" t="str">
        <f t="shared" si="142"/>
        <v/>
      </c>
      <c r="GL669" s="785" t="str">
        <f t="shared" si="143"/>
        <v/>
      </c>
      <c r="GM669" s="785" t="str">
        <f t="shared" si="144"/>
        <v/>
      </c>
      <c r="GN669" s="785" t="str">
        <f t="shared" si="145"/>
        <v/>
      </c>
      <c r="GO669" s="786" t="str">
        <f t="shared" si="146"/>
        <v/>
      </c>
      <c r="GP669" s="786" t="str">
        <f t="shared" si="147"/>
        <v/>
      </c>
      <c r="GQ669" s="786" t="str">
        <f t="shared" si="148"/>
        <v/>
      </c>
      <c r="GR669" s="786" t="str">
        <f t="shared" si="149"/>
        <v/>
      </c>
      <c r="GS669" s="786" t="str">
        <f t="shared" si="150"/>
        <v/>
      </c>
      <c r="GT669" s="580" t="str">
        <f t="shared" si="151"/>
        <v/>
      </c>
      <c r="GU669" s="580" t="str">
        <f t="shared" si="152"/>
        <v/>
      </c>
      <c r="GV669" s="580" t="str">
        <f t="shared" si="153"/>
        <v/>
      </c>
      <c r="GW669" s="580" t="str">
        <f t="shared" si="154"/>
        <v/>
      </c>
      <c r="GX669" s="580" t="str">
        <f t="shared" si="155"/>
        <v/>
      </c>
      <c r="GY669" s="580" t="str">
        <f t="shared" si="156"/>
        <v/>
      </c>
      <c r="GZ669" s="580" t="str">
        <f t="shared" si="157"/>
        <v/>
      </c>
      <c r="HA669" s="580" t="str">
        <f t="shared" si="158"/>
        <v/>
      </c>
      <c r="HB669" s="580" t="str">
        <f t="shared" si="159"/>
        <v/>
      </c>
      <c r="HC669" s="580" t="str">
        <f t="shared" si="160"/>
        <v/>
      </c>
      <c r="HD669" s="580" t="str">
        <f t="shared" si="161"/>
        <v/>
      </c>
      <c r="HE669" s="580" t="str">
        <f t="shared" si="162"/>
        <v/>
      </c>
      <c r="HF669" s="580" t="str">
        <f t="shared" si="163"/>
        <v/>
      </c>
      <c r="HG669" s="580" t="str">
        <f t="shared" si="164"/>
        <v/>
      </c>
      <c r="HH669" s="580" t="str">
        <f t="shared" si="165"/>
        <v/>
      </c>
      <c r="HI669" s="580" t="str">
        <f t="shared" si="166"/>
        <v/>
      </c>
      <c r="HJ669" s="580" t="str">
        <f t="shared" si="167"/>
        <v/>
      </c>
      <c r="HK669" s="580" t="str">
        <f t="shared" si="168"/>
        <v/>
      </c>
      <c r="HL669" s="580" t="str">
        <f t="shared" si="169"/>
        <v/>
      </c>
      <c r="HM669" s="580" t="str">
        <f t="shared" si="170"/>
        <v/>
      </c>
    </row>
    <row r="670" spans="1:221" ht="13.15" customHeight="1">
      <c r="A670" s="888" t="str">
        <f t="shared" si="171"/>
        <v/>
      </c>
      <c r="B670" s="1054" t="str">
        <f>'Part VI-Revenues &amp; Expenses'!B36</f>
        <v>&lt;&lt;Select&gt;&gt;</v>
      </c>
      <c r="C670" s="1055">
        <f>'Part VI-Revenues &amp; Expenses'!C36</f>
        <v>0</v>
      </c>
      <c r="D670" s="1056">
        <f>'Part VI-Revenues &amp; Expenses'!D36</f>
        <v>0</v>
      </c>
      <c r="E670" s="1057">
        <f>'Part VI-Revenues &amp; Expenses'!E36</f>
        <v>0</v>
      </c>
      <c r="F670" s="1057">
        <f>'Part VI-Revenues &amp; Expenses'!F36</f>
        <v>0</v>
      </c>
      <c r="G670" s="1057">
        <f>'Part VI-Revenues &amp; Expenses'!G36</f>
        <v>0</v>
      </c>
      <c r="H670" s="1057">
        <f>'Part VI-Revenues &amp; Expenses'!H36</f>
        <v>0</v>
      </c>
      <c r="I670" s="1057">
        <f>'Part VI-Revenues &amp; Expenses'!I36</f>
        <v>0</v>
      </c>
      <c r="J670" s="818">
        <f>'Part VI-Revenues &amp; Expenses'!J36</f>
        <v>0</v>
      </c>
      <c r="K670" s="893">
        <f t="shared" si="204"/>
        <v>0</v>
      </c>
      <c r="L670" s="893">
        <f t="shared" si="0"/>
        <v>0</v>
      </c>
      <c r="M670" s="783">
        <f>'Part VI-Revenues &amp; Expenses'!M36</f>
        <v>0</v>
      </c>
      <c r="N670" s="783">
        <f>'Part VI-Revenues &amp; Expenses'!N36</f>
        <v>0</v>
      </c>
      <c r="O670" s="783">
        <f>'Part VI-Revenues &amp; Expenses'!O36</f>
        <v>0</v>
      </c>
      <c r="P670" s="894">
        <f t="shared" si="203"/>
        <v>0</v>
      </c>
      <c r="Q670" s="895" t="str">
        <f>'Part VI-Revenues &amp; Expenses'!Q36</f>
        <v/>
      </c>
      <c r="R670" s="894"/>
      <c r="S670" s="895"/>
      <c r="T670" s="2130"/>
      <c r="U670" s="2130"/>
      <c r="V670" s="580" t="str">
        <f t="shared" si="1"/>
        <v/>
      </c>
      <c r="W670" s="580" t="str">
        <f t="shared" si="2"/>
        <v/>
      </c>
      <c r="X670" s="580" t="str">
        <f t="shared" si="3"/>
        <v/>
      </c>
      <c r="Y670" s="580" t="str">
        <f t="shared" si="4"/>
        <v/>
      </c>
      <c r="Z670" s="580" t="str">
        <f t="shared" si="5"/>
        <v/>
      </c>
      <c r="AA670" s="580" t="str">
        <f t="shared" si="6"/>
        <v/>
      </c>
      <c r="AB670" s="580" t="str">
        <f t="shared" si="7"/>
        <v/>
      </c>
      <c r="AC670" s="580" t="str">
        <f t="shared" si="8"/>
        <v/>
      </c>
      <c r="AD670" s="580" t="str">
        <f t="shared" si="9"/>
        <v/>
      </c>
      <c r="AE670" s="580" t="str">
        <f t="shared" si="10"/>
        <v/>
      </c>
      <c r="AF670" s="580" t="str">
        <f t="shared" si="11"/>
        <v/>
      </c>
      <c r="AG670" s="580" t="str">
        <f t="shared" si="12"/>
        <v/>
      </c>
      <c r="AH670" s="580" t="str">
        <f t="shared" si="13"/>
        <v/>
      </c>
      <c r="AI670" s="580" t="str">
        <f t="shared" si="14"/>
        <v/>
      </c>
      <c r="AJ670" s="580" t="str">
        <f t="shared" si="15"/>
        <v/>
      </c>
      <c r="AK670" s="580" t="str">
        <f t="shared" si="16"/>
        <v/>
      </c>
      <c r="AL670" s="580" t="str">
        <f t="shared" si="17"/>
        <v/>
      </c>
      <c r="AM670" s="580" t="str">
        <f t="shared" si="18"/>
        <v/>
      </c>
      <c r="AN670" s="580" t="str">
        <f t="shared" si="19"/>
        <v/>
      </c>
      <c r="AO670" s="580" t="str">
        <f t="shared" si="20"/>
        <v/>
      </c>
      <c r="AP670" s="580" t="str">
        <f t="shared" si="173"/>
        <v/>
      </c>
      <c r="AQ670" s="580" t="str">
        <f t="shared" si="174"/>
        <v/>
      </c>
      <c r="AR670" s="580" t="str">
        <f t="shared" si="175"/>
        <v/>
      </c>
      <c r="AS670" s="580" t="str">
        <f t="shared" si="176"/>
        <v/>
      </c>
      <c r="AT670" s="580" t="str">
        <f t="shared" si="177"/>
        <v/>
      </c>
      <c r="AU670" s="580" t="str">
        <f t="shared" si="178"/>
        <v/>
      </c>
      <c r="AV670" s="580" t="str">
        <f t="shared" si="179"/>
        <v/>
      </c>
      <c r="AW670" s="580" t="str">
        <f t="shared" si="180"/>
        <v/>
      </c>
      <c r="AX670" s="580" t="str">
        <f t="shared" si="181"/>
        <v/>
      </c>
      <c r="AY670" s="580" t="str">
        <f t="shared" si="182"/>
        <v/>
      </c>
      <c r="AZ670" s="580" t="str">
        <f t="shared" si="183"/>
        <v/>
      </c>
      <c r="BA670" s="580" t="str">
        <f t="shared" si="184"/>
        <v/>
      </c>
      <c r="BB670" s="580" t="str">
        <f t="shared" si="185"/>
        <v/>
      </c>
      <c r="BC670" s="580" t="str">
        <f t="shared" si="186"/>
        <v/>
      </c>
      <c r="BD670" s="580" t="str">
        <f t="shared" si="187"/>
        <v/>
      </c>
      <c r="BE670" s="580" t="str">
        <f t="shared" si="188"/>
        <v/>
      </c>
      <c r="BF670" s="580" t="str">
        <f t="shared" si="189"/>
        <v/>
      </c>
      <c r="BG670" s="580" t="str">
        <f t="shared" si="190"/>
        <v/>
      </c>
      <c r="BH670" s="580" t="str">
        <f t="shared" si="191"/>
        <v/>
      </c>
      <c r="BI670" s="580" t="str">
        <f t="shared" si="192"/>
        <v/>
      </c>
      <c r="BJ670" s="580" t="str">
        <f t="shared" si="193"/>
        <v/>
      </c>
      <c r="BK670" s="580" t="str">
        <f t="shared" si="194"/>
        <v/>
      </c>
      <c r="BL670" s="580" t="str">
        <f t="shared" si="195"/>
        <v/>
      </c>
      <c r="BM670" s="580" t="str">
        <f t="shared" si="196"/>
        <v/>
      </c>
      <c r="BN670" s="580" t="str">
        <f t="shared" si="197"/>
        <v/>
      </c>
      <c r="BO670" s="580" t="str">
        <f t="shared" si="198"/>
        <v/>
      </c>
      <c r="BP670" s="580" t="str">
        <f t="shared" si="199"/>
        <v/>
      </c>
      <c r="BQ670" s="580" t="str">
        <f t="shared" si="200"/>
        <v/>
      </c>
      <c r="BR670" s="580" t="str">
        <f t="shared" si="201"/>
        <v/>
      </c>
      <c r="BS670" s="580" t="str">
        <f t="shared" si="202"/>
        <v/>
      </c>
      <c r="BT670" s="580" t="str">
        <f t="shared" si="21"/>
        <v/>
      </c>
      <c r="BU670" s="580" t="str">
        <f t="shared" si="22"/>
        <v/>
      </c>
      <c r="BV670" s="580" t="str">
        <f t="shared" si="23"/>
        <v/>
      </c>
      <c r="BW670" s="580" t="str">
        <f t="shared" si="24"/>
        <v/>
      </c>
      <c r="BX670" s="580" t="str">
        <f t="shared" si="25"/>
        <v/>
      </c>
      <c r="BY670" s="580" t="str">
        <f t="shared" si="26"/>
        <v/>
      </c>
      <c r="BZ670" s="580" t="str">
        <f t="shared" si="27"/>
        <v/>
      </c>
      <c r="CA670" s="580" t="str">
        <f t="shared" si="28"/>
        <v/>
      </c>
      <c r="CB670" s="580" t="str">
        <f t="shared" si="29"/>
        <v/>
      </c>
      <c r="CC670" s="580" t="str">
        <f t="shared" si="30"/>
        <v/>
      </c>
      <c r="CD670" s="580" t="str">
        <f t="shared" si="31"/>
        <v/>
      </c>
      <c r="CE670" s="580" t="str">
        <f t="shared" si="32"/>
        <v/>
      </c>
      <c r="CF670" s="580" t="str">
        <f t="shared" si="33"/>
        <v/>
      </c>
      <c r="CG670" s="580" t="str">
        <f t="shared" si="34"/>
        <v/>
      </c>
      <c r="CH670" s="580" t="str">
        <f t="shared" si="35"/>
        <v/>
      </c>
      <c r="CI670" s="580" t="str">
        <f t="shared" si="36"/>
        <v/>
      </c>
      <c r="CJ670" s="580" t="str">
        <f t="shared" si="37"/>
        <v/>
      </c>
      <c r="CK670" s="580" t="str">
        <f t="shared" si="38"/>
        <v/>
      </c>
      <c r="CL670" s="580" t="str">
        <f t="shared" si="39"/>
        <v/>
      </c>
      <c r="CM670" s="580" t="str">
        <f t="shared" si="40"/>
        <v/>
      </c>
      <c r="CN670" s="580" t="str">
        <f t="shared" si="41"/>
        <v/>
      </c>
      <c r="CO670" s="580" t="str">
        <f t="shared" si="42"/>
        <v/>
      </c>
      <c r="CP670" s="580" t="str">
        <f t="shared" si="43"/>
        <v/>
      </c>
      <c r="CQ670" s="580" t="str">
        <f t="shared" si="44"/>
        <v/>
      </c>
      <c r="CR670" s="580" t="str">
        <f t="shared" si="45"/>
        <v/>
      </c>
      <c r="CS670" s="580" t="str">
        <f t="shared" si="46"/>
        <v/>
      </c>
      <c r="CT670" s="580" t="str">
        <f t="shared" si="47"/>
        <v/>
      </c>
      <c r="CU670" s="580" t="str">
        <f t="shared" si="48"/>
        <v/>
      </c>
      <c r="CV670" s="580" t="str">
        <f t="shared" si="49"/>
        <v/>
      </c>
      <c r="CW670" s="580" t="str">
        <f t="shared" si="50"/>
        <v/>
      </c>
      <c r="CX670" s="580" t="str">
        <f t="shared" si="51"/>
        <v/>
      </c>
      <c r="CY670" s="580" t="str">
        <f t="shared" si="52"/>
        <v/>
      </c>
      <c r="CZ670" s="580" t="str">
        <f t="shared" si="53"/>
        <v/>
      </c>
      <c r="DA670" s="580" t="str">
        <f t="shared" si="54"/>
        <v/>
      </c>
      <c r="DB670" s="580" t="str">
        <f t="shared" si="55"/>
        <v/>
      </c>
      <c r="DC670" s="580" t="str">
        <f t="shared" si="56"/>
        <v/>
      </c>
      <c r="DD670" s="580" t="str">
        <f t="shared" si="57"/>
        <v/>
      </c>
      <c r="DE670" s="580" t="str">
        <f t="shared" si="58"/>
        <v/>
      </c>
      <c r="DF670" s="580" t="str">
        <f t="shared" si="59"/>
        <v/>
      </c>
      <c r="DG670" s="580" t="str">
        <f t="shared" si="60"/>
        <v/>
      </c>
      <c r="DH670" s="580" t="str">
        <f t="shared" si="61"/>
        <v/>
      </c>
      <c r="DI670" s="580" t="str">
        <f t="shared" si="62"/>
        <v/>
      </c>
      <c r="DJ670" s="580" t="str">
        <f t="shared" si="63"/>
        <v/>
      </c>
      <c r="DK670" s="580" t="str">
        <f t="shared" si="64"/>
        <v/>
      </c>
      <c r="DL670" s="580" t="str">
        <f t="shared" si="65"/>
        <v/>
      </c>
      <c r="DM670" s="580" t="str">
        <f t="shared" si="66"/>
        <v/>
      </c>
      <c r="DN670" s="580" t="str">
        <f t="shared" si="67"/>
        <v/>
      </c>
      <c r="DO670" s="580" t="str">
        <f t="shared" si="68"/>
        <v/>
      </c>
      <c r="DP670" s="580" t="str">
        <f t="shared" si="69"/>
        <v/>
      </c>
      <c r="DQ670" s="580" t="str">
        <f t="shared" si="70"/>
        <v/>
      </c>
      <c r="DR670" s="580" t="str">
        <f t="shared" si="71"/>
        <v/>
      </c>
      <c r="DS670" s="580" t="str">
        <f t="shared" si="72"/>
        <v/>
      </c>
      <c r="DT670" s="580" t="str">
        <f t="shared" si="73"/>
        <v/>
      </c>
      <c r="DU670" s="580" t="str">
        <f t="shared" si="74"/>
        <v/>
      </c>
      <c r="DV670" s="580" t="str">
        <f t="shared" si="75"/>
        <v/>
      </c>
      <c r="DW670" s="580" t="str">
        <f t="shared" si="76"/>
        <v/>
      </c>
      <c r="DX670" s="580" t="str">
        <f t="shared" si="77"/>
        <v/>
      </c>
      <c r="DY670" s="580" t="str">
        <f t="shared" si="78"/>
        <v/>
      </c>
      <c r="DZ670" s="580" t="str">
        <f t="shared" si="79"/>
        <v/>
      </c>
      <c r="EA670" s="580" t="str">
        <f t="shared" si="80"/>
        <v/>
      </c>
      <c r="EB670" s="580" t="str">
        <f t="shared" si="81"/>
        <v/>
      </c>
      <c r="EC670" s="580" t="str">
        <f t="shared" si="82"/>
        <v/>
      </c>
      <c r="ED670" s="580" t="str">
        <f t="shared" si="83"/>
        <v/>
      </c>
      <c r="EE670" s="580" t="str">
        <f t="shared" si="84"/>
        <v/>
      </c>
      <c r="EF670" s="580" t="str">
        <f t="shared" si="85"/>
        <v/>
      </c>
      <c r="EG670" s="580" t="str">
        <f t="shared" si="86"/>
        <v/>
      </c>
      <c r="EH670" s="580" t="str">
        <f t="shared" si="87"/>
        <v/>
      </c>
      <c r="EI670" s="580" t="str">
        <f t="shared" si="88"/>
        <v/>
      </c>
      <c r="EJ670" s="580" t="str">
        <f t="shared" si="89"/>
        <v/>
      </c>
      <c r="EK670" s="580" t="str">
        <f t="shared" si="90"/>
        <v/>
      </c>
      <c r="EL670" s="580" t="str">
        <f t="shared" si="91"/>
        <v/>
      </c>
      <c r="EM670" s="580" t="str">
        <f t="shared" si="92"/>
        <v/>
      </c>
      <c r="EN670" s="580" t="str">
        <f t="shared" si="93"/>
        <v/>
      </c>
      <c r="EO670" s="580" t="str">
        <f t="shared" si="94"/>
        <v/>
      </c>
      <c r="EP670" s="580" t="str">
        <f t="shared" si="95"/>
        <v/>
      </c>
      <c r="EQ670" s="580" t="str">
        <f t="shared" si="96"/>
        <v/>
      </c>
      <c r="ER670" s="580" t="str">
        <f t="shared" si="97"/>
        <v/>
      </c>
      <c r="ES670" s="580" t="str">
        <f t="shared" si="98"/>
        <v/>
      </c>
      <c r="ET670" s="580" t="str">
        <f t="shared" si="99"/>
        <v/>
      </c>
      <c r="EU670" s="580" t="str">
        <f t="shared" si="100"/>
        <v/>
      </c>
      <c r="EV670" s="785" t="str">
        <f t="shared" si="101"/>
        <v/>
      </c>
      <c r="EW670" s="785" t="str">
        <f t="shared" si="102"/>
        <v/>
      </c>
      <c r="EX670" s="785" t="str">
        <f t="shared" si="103"/>
        <v/>
      </c>
      <c r="EY670" s="785" t="str">
        <f t="shared" si="104"/>
        <v/>
      </c>
      <c r="EZ670" s="785" t="str">
        <f t="shared" si="105"/>
        <v/>
      </c>
      <c r="FA670" s="785" t="str">
        <f t="shared" si="106"/>
        <v/>
      </c>
      <c r="FB670" s="785" t="str">
        <f t="shared" si="107"/>
        <v/>
      </c>
      <c r="FC670" s="785" t="str">
        <f t="shared" si="108"/>
        <v/>
      </c>
      <c r="FD670" s="785" t="str">
        <f t="shared" si="109"/>
        <v/>
      </c>
      <c r="FE670" s="785" t="str">
        <f t="shared" si="110"/>
        <v/>
      </c>
      <c r="FF670" s="785" t="str">
        <f t="shared" si="111"/>
        <v/>
      </c>
      <c r="FG670" s="785" t="str">
        <f t="shared" si="112"/>
        <v/>
      </c>
      <c r="FH670" s="785" t="str">
        <f t="shared" si="113"/>
        <v/>
      </c>
      <c r="FI670" s="785" t="str">
        <f t="shared" si="114"/>
        <v/>
      </c>
      <c r="FJ670" s="785" t="str">
        <f t="shared" si="115"/>
        <v/>
      </c>
      <c r="FK670" s="785" t="str">
        <f t="shared" si="116"/>
        <v/>
      </c>
      <c r="FL670" s="785" t="str">
        <f t="shared" si="117"/>
        <v/>
      </c>
      <c r="FM670" s="785" t="str">
        <f t="shared" si="118"/>
        <v/>
      </c>
      <c r="FN670" s="785" t="str">
        <f t="shared" si="119"/>
        <v/>
      </c>
      <c r="FO670" s="785" t="str">
        <f t="shared" si="120"/>
        <v/>
      </c>
      <c r="FP670" s="785" t="str">
        <f t="shared" si="121"/>
        <v/>
      </c>
      <c r="FQ670" s="785" t="str">
        <f t="shared" si="122"/>
        <v/>
      </c>
      <c r="FR670" s="785" t="str">
        <f t="shared" si="123"/>
        <v/>
      </c>
      <c r="FS670" s="785" t="str">
        <f t="shared" si="124"/>
        <v/>
      </c>
      <c r="FT670" s="785" t="str">
        <f t="shared" si="125"/>
        <v/>
      </c>
      <c r="FU670" s="785" t="str">
        <f t="shared" si="126"/>
        <v/>
      </c>
      <c r="FV670" s="785" t="str">
        <f t="shared" si="127"/>
        <v/>
      </c>
      <c r="FW670" s="785" t="str">
        <f t="shared" si="128"/>
        <v/>
      </c>
      <c r="FX670" s="785" t="str">
        <f t="shared" si="129"/>
        <v/>
      </c>
      <c r="FY670" s="785" t="str">
        <f t="shared" si="130"/>
        <v/>
      </c>
      <c r="FZ670" s="785" t="str">
        <f t="shared" si="131"/>
        <v/>
      </c>
      <c r="GA670" s="785" t="str">
        <f t="shared" si="132"/>
        <v/>
      </c>
      <c r="GB670" s="785" t="str">
        <f t="shared" si="133"/>
        <v/>
      </c>
      <c r="GC670" s="785" t="str">
        <f t="shared" si="134"/>
        <v/>
      </c>
      <c r="GD670" s="785" t="str">
        <f t="shared" si="135"/>
        <v/>
      </c>
      <c r="GE670" s="785" t="str">
        <f t="shared" si="136"/>
        <v/>
      </c>
      <c r="GF670" s="785" t="str">
        <f t="shared" si="137"/>
        <v/>
      </c>
      <c r="GG670" s="785" t="str">
        <f t="shared" si="138"/>
        <v/>
      </c>
      <c r="GH670" s="785" t="str">
        <f t="shared" si="139"/>
        <v/>
      </c>
      <c r="GI670" s="785" t="str">
        <f t="shared" si="140"/>
        <v/>
      </c>
      <c r="GJ670" s="785" t="str">
        <f t="shared" si="141"/>
        <v/>
      </c>
      <c r="GK670" s="785" t="str">
        <f t="shared" si="142"/>
        <v/>
      </c>
      <c r="GL670" s="785" t="str">
        <f t="shared" si="143"/>
        <v/>
      </c>
      <c r="GM670" s="785" t="str">
        <f t="shared" si="144"/>
        <v/>
      </c>
      <c r="GN670" s="785" t="str">
        <f t="shared" si="145"/>
        <v/>
      </c>
      <c r="GO670" s="786" t="str">
        <f t="shared" si="146"/>
        <v/>
      </c>
      <c r="GP670" s="786" t="str">
        <f t="shared" si="147"/>
        <v/>
      </c>
      <c r="GQ670" s="786" t="str">
        <f t="shared" si="148"/>
        <v/>
      </c>
      <c r="GR670" s="786" t="str">
        <f t="shared" si="149"/>
        <v/>
      </c>
      <c r="GS670" s="786" t="str">
        <f t="shared" si="150"/>
        <v/>
      </c>
      <c r="GT670" s="580" t="str">
        <f t="shared" si="151"/>
        <v/>
      </c>
      <c r="GU670" s="580" t="str">
        <f t="shared" si="152"/>
        <v/>
      </c>
      <c r="GV670" s="580" t="str">
        <f t="shared" si="153"/>
        <v/>
      </c>
      <c r="GW670" s="580" t="str">
        <f t="shared" si="154"/>
        <v/>
      </c>
      <c r="GX670" s="580" t="str">
        <f t="shared" si="155"/>
        <v/>
      </c>
      <c r="GY670" s="580" t="str">
        <f t="shared" si="156"/>
        <v/>
      </c>
      <c r="GZ670" s="580" t="str">
        <f t="shared" si="157"/>
        <v/>
      </c>
      <c r="HA670" s="580" t="str">
        <f t="shared" si="158"/>
        <v/>
      </c>
      <c r="HB670" s="580" t="str">
        <f t="shared" si="159"/>
        <v/>
      </c>
      <c r="HC670" s="580" t="str">
        <f t="shared" si="160"/>
        <v/>
      </c>
      <c r="HD670" s="580" t="str">
        <f t="shared" si="161"/>
        <v/>
      </c>
      <c r="HE670" s="580" t="str">
        <f t="shared" si="162"/>
        <v/>
      </c>
      <c r="HF670" s="580" t="str">
        <f t="shared" si="163"/>
        <v/>
      </c>
      <c r="HG670" s="580" t="str">
        <f t="shared" si="164"/>
        <v/>
      </c>
      <c r="HH670" s="580" t="str">
        <f t="shared" si="165"/>
        <v/>
      </c>
      <c r="HI670" s="580" t="str">
        <f t="shared" si="166"/>
        <v/>
      </c>
      <c r="HJ670" s="580" t="str">
        <f t="shared" si="167"/>
        <v/>
      </c>
      <c r="HK670" s="580" t="str">
        <f t="shared" si="168"/>
        <v/>
      </c>
      <c r="HL670" s="580" t="str">
        <f t="shared" si="169"/>
        <v/>
      </c>
      <c r="HM670" s="580" t="str">
        <f t="shared" si="170"/>
        <v/>
      </c>
    </row>
    <row r="671" spans="1:221" ht="13.15" customHeight="1">
      <c r="A671" s="888" t="str">
        <f t="shared" si="171"/>
        <v/>
      </c>
      <c r="B671" s="1054" t="str">
        <f>'Part VI-Revenues &amp; Expenses'!B37</f>
        <v>&lt;&lt;Select&gt;&gt;</v>
      </c>
      <c r="C671" s="1055">
        <f>'Part VI-Revenues &amp; Expenses'!C37</f>
        <v>0</v>
      </c>
      <c r="D671" s="1056">
        <f>'Part VI-Revenues &amp; Expenses'!D37</f>
        <v>0</v>
      </c>
      <c r="E671" s="1057">
        <f>'Part VI-Revenues &amp; Expenses'!E37</f>
        <v>0</v>
      </c>
      <c r="F671" s="1057">
        <f>'Part VI-Revenues &amp; Expenses'!F37</f>
        <v>0</v>
      </c>
      <c r="G671" s="1057">
        <f>'Part VI-Revenues &amp; Expenses'!G37</f>
        <v>0</v>
      </c>
      <c r="H671" s="1057">
        <f>'Part VI-Revenues &amp; Expenses'!H37</f>
        <v>0</v>
      </c>
      <c r="I671" s="1057">
        <f>'Part VI-Revenues &amp; Expenses'!I37</f>
        <v>0</v>
      </c>
      <c r="J671" s="818">
        <f>'Part VI-Revenues &amp; Expenses'!J37</f>
        <v>0</v>
      </c>
      <c r="K671" s="893">
        <f t="shared" si="204"/>
        <v>0</v>
      </c>
      <c r="L671" s="893">
        <f t="shared" si="0"/>
        <v>0</v>
      </c>
      <c r="M671" s="783">
        <f>'Part VI-Revenues &amp; Expenses'!M37</f>
        <v>0</v>
      </c>
      <c r="N671" s="783">
        <f>'Part VI-Revenues &amp; Expenses'!N37</f>
        <v>0</v>
      </c>
      <c r="O671" s="783">
        <f>'Part VI-Revenues &amp; Expenses'!O37</f>
        <v>0</v>
      </c>
      <c r="P671" s="894">
        <f t="shared" si="203"/>
        <v>0</v>
      </c>
      <c r="Q671" s="895" t="str">
        <f>'Part VI-Revenues &amp; Expenses'!Q37</f>
        <v/>
      </c>
      <c r="R671" s="894"/>
      <c r="S671" s="895"/>
      <c r="T671" s="2130"/>
      <c r="U671" s="2130"/>
      <c r="V671" s="580" t="str">
        <f t="shared" si="1"/>
        <v/>
      </c>
      <c r="W671" s="580" t="str">
        <f t="shared" si="2"/>
        <v/>
      </c>
      <c r="X671" s="580" t="str">
        <f t="shared" si="3"/>
        <v/>
      </c>
      <c r="Y671" s="580" t="str">
        <f t="shared" si="4"/>
        <v/>
      </c>
      <c r="Z671" s="580" t="str">
        <f t="shared" si="5"/>
        <v/>
      </c>
      <c r="AA671" s="580" t="str">
        <f t="shared" si="6"/>
        <v/>
      </c>
      <c r="AB671" s="580" t="str">
        <f t="shared" si="7"/>
        <v/>
      </c>
      <c r="AC671" s="580" t="str">
        <f t="shared" si="8"/>
        <v/>
      </c>
      <c r="AD671" s="580" t="str">
        <f t="shared" si="9"/>
        <v/>
      </c>
      <c r="AE671" s="580" t="str">
        <f t="shared" si="10"/>
        <v/>
      </c>
      <c r="AF671" s="580" t="str">
        <f t="shared" si="11"/>
        <v/>
      </c>
      <c r="AG671" s="580" t="str">
        <f t="shared" si="12"/>
        <v/>
      </c>
      <c r="AH671" s="580" t="str">
        <f t="shared" si="13"/>
        <v/>
      </c>
      <c r="AI671" s="580" t="str">
        <f t="shared" si="14"/>
        <v/>
      </c>
      <c r="AJ671" s="580" t="str">
        <f t="shared" si="15"/>
        <v/>
      </c>
      <c r="AK671" s="580" t="str">
        <f t="shared" si="16"/>
        <v/>
      </c>
      <c r="AL671" s="580" t="str">
        <f t="shared" si="17"/>
        <v/>
      </c>
      <c r="AM671" s="580" t="str">
        <f t="shared" si="18"/>
        <v/>
      </c>
      <c r="AN671" s="580" t="str">
        <f t="shared" si="19"/>
        <v/>
      </c>
      <c r="AO671" s="580" t="str">
        <f t="shared" si="20"/>
        <v/>
      </c>
      <c r="AP671" s="580" t="str">
        <f t="shared" si="173"/>
        <v/>
      </c>
      <c r="AQ671" s="580" t="str">
        <f t="shared" si="174"/>
        <v/>
      </c>
      <c r="AR671" s="580" t="str">
        <f t="shared" si="175"/>
        <v/>
      </c>
      <c r="AS671" s="580" t="str">
        <f t="shared" si="176"/>
        <v/>
      </c>
      <c r="AT671" s="580" t="str">
        <f t="shared" si="177"/>
        <v/>
      </c>
      <c r="AU671" s="580" t="str">
        <f t="shared" si="178"/>
        <v/>
      </c>
      <c r="AV671" s="580" t="str">
        <f t="shared" si="179"/>
        <v/>
      </c>
      <c r="AW671" s="580" t="str">
        <f t="shared" si="180"/>
        <v/>
      </c>
      <c r="AX671" s="580" t="str">
        <f t="shared" si="181"/>
        <v/>
      </c>
      <c r="AY671" s="580" t="str">
        <f t="shared" si="182"/>
        <v/>
      </c>
      <c r="AZ671" s="580" t="str">
        <f t="shared" si="183"/>
        <v/>
      </c>
      <c r="BA671" s="580" t="str">
        <f t="shared" si="184"/>
        <v/>
      </c>
      <c r="BB671" s="580" t="str">
        <f t="shared" si="185"/>
        <v/>
      </c>
      <c r="BC671" s="580" t="str">
        <f t="shared" si="186"/>
        <v/>
      </c>
      <c r="BD671" s="580" t="str">
        <f t="shared" si="187"/>
        <v/>
      </c>
      <c r="BE671" s="580" t="str">
        <f t="shared" si="188"/>
        <v/>
      </c>
      <c r="BF671" s="580" t="str">
        <f t="shared" si="189"/>
        <v/>
      </c>
      <c r="BG671" s="580" t="str">
        <f t="shared" si="190"/>
        <v/>
      </c>
      <c r="BH671" s="580" t="str">
        <f t="shared" si="191"/>
        <v/>
      </c>
      <c r="BI671" s="580" t="str">
        <f t="shared" si="192"/>
        <v/>
      </c>
      <c r="BJ671" s="580" t="str">
        <f t="shared" si="193"/>
        <v/>
      </c>
      <c r="BK671" s="580" t="str">
        <f t="shared" si="194"/>
        <v/>
      </c>
      <c r="BL671" s="580" t="str">
        <f t="shared" si="195"/>
        <v/>
      </c>
      <c r="BM671" s="580" t="str">
        <f t="shared" si="196"/>
        <v/>
      </c>
      <c r="BN671" s="580" t="str">
        <f t="shared" si="197"/>
        <v/>
      </c>
      <c r="BO671" s="580" t="str">
        <f t="shared" si="198"/>
        <v/>
      </c>
      <c r="BP671" s="580" t="str">
        <f t="shared" si="199"/>
        <v/>
      </c>
      <c r="BQ671" s="580" t="str">
        <f t="shared" si="200"/>
        <v/>
      </c>
      <c r="BR671" s="580" t="str">
        <f t="shared" si="201"/>
        <v/>
      </c>
      <c r="BS671" s="580" t="str">
        <f t="shared" si="202"/>
        <v/>
      </c>
      <c r="BT671" s="580" t="str">
        <f t="shared" si="21"/>
        <v/>
      </c>
      <c r="BU671" s="580" t="str">
        <f t="shared" si="22"/>
        <v/>
      </c>
      <c r="BV671" s="580" t="str">
        <f t="shared" si="23"/>
        <v/>
      </c>
      <c r="BW671" s="580" t="str">
        <f t="shared" si="24"/>
        <v/>
      </c>
      <c r="BX671" s="580" t="str">
        <f t="shared" si="25"/>
        <v/>
      </c>
      <c r="BY671" s="580" t="str">
        <f t="shared" si="26"/>
        <v/>
      </c>
      <c r="BZ671" s="580" t="str">
        <f t="shared" si="27"/>
        <v/>
      </c>
      <c r="CA671" s="580" t="str">
        <f t="shared" si="28"/>
        <v/>
      </c>
      <c r="CB671" s="580" t="str">
        <f t="shared" si="29"/>
        <v/>
      </c>
      <c r="CC671" s="580" t="str">
        <f t="shared" si="30"/>
        <v/>
      </c>
      <c r="CD671" s="580" t="str">
        <f t="shared" si="31"/>
        <v/>
      </c>
      <c r="CE671" s="580" t="str">
        <f t="shared" si="32"/>
        <v/>
      </c>
      <c r="CF671" s="580" t="str">
        <f t="shared" si="33"/>
        <v/>
      </c>
      <c r="CG671" s="580" t="str">
        <f t="shared" si="34"/>
        <v/>
      </c>
      <c r="CH671" s="580" t="str">
        <f t="shared" si="35"/>
        <v/>
      </c>
      <c r="CI671" s="580" t="str">
        <f t="shared" si="36"/>
        <v/>
      </c>
      <c r="CJ671" s="580" t="str">
        <f t="shared" si="37"/>
        <v/>
      </c>
      <c r="CK671" s="580" t="str">
        <f t="shared" si="38"/>
        <v/>
      </c>
      <c r="CL671" s="580" t="str">
        <f t="shared" si="39"/>
        <v/>
      </c>
      <c r="CM671" s="580" t="str">
        <f t="shared" si="40"/>
        <v/>
      </c>
      <c r="CN671" s="580" t="str">
        <f t="shared" si="41"/>
        <v/>
      </c>
      <c r="CO671" s="580" t="str">
        <f t="shared" si="42"/>
        <v/>
      </c>
      <c r="CP671" s="580" t="str">
        <f t="shared" si="43"/>
        <v/>
      </c>
      <c r="CQ671" s="580" t="str">
        <f t="shared" si="44"/>
        <v/>
      </c>
      <c r="CR671" s="580" t="str">
        <f t="shared" si="45"/>
        <v/>
      </c>
      <c r="CS671" s="580" t="str">
        <f t="shared" si="46"/>
        <v/>
      </c>
      <c r="CT671" s="580" t="str">
        <f t="shared" si="47"/>
        <v/>
      </c>
      <c r="CU671" s="580" t="str">
        <f t="shared" si="48"/>
        <v/>
      </c>
      <c r="CV671" s="580" t="str">
        <f t="shared" si="49"/>
        <v/>
      </c>
      <c r="CW671" s="580" t="str">
        <f t="shared" si="50"/>
        <v/>
      </c>
      <c r="CX671" s="580" t="str">
        <f t="shared" si="51"/>
        <v/>
      </c>
      <c r="CY671" s="580" t="str">
        <f t="shared" si="52"/>
        <v/>
      </c>
      <c r="CZ671" s="580" t="str">
        <f t="shared" si="53"/>
        <v/>
      </c>
      <c r="DA671" s="580" t="str">
        <f t="shared" si="54"/>
        <v/>
      </c>
      <c r="DB671" s="580" t="str">
        <f t="shared" si="55"/>
        <v/>
      </c>
      <c r="DC671" s="580" t="str">
        <f t="shared" si="56"/>
        <v/>
      </c>
      <c r="DD671" s="580" t="str">
        <f t="shared" si="57"/>
        <v/>
      </c>
      <c r="DE671" s="580" t="str">
        <f t="shared" si="58"/>
        <v/>
      </c>
      <c r="DF671" s="580" t="str">
        <f t="shared" si="59"/>
        <v/>
      </c>
      <c r="DG671" s="580" t="str">
        <f t="shared" si="60"/>
        <v/>
      </c>
      <c r="DH671" s="580" t="str">
        <f t="shared" si="61"/>
        <v/>
      </c>
      <c r="DI671" s="580" t="str">
        <f t="shared" si="62"/>
        <v/>
      </c>
      <c r="DJ671" s="580" t="str">
        <f t="shared" si="63"/>
        <v/>
      </c>
      <c r="DK671" s="580" t="str">
        <f t="shared" si="64"/>
        <v/>
      </c>
      <c r="DL671" s="580" t="str">
        <f t="shared" si="65"/>
        <v/>
      </c>
      <c r="DM671" s="580" t="str">
        <f t="shared" si="66"/>
        <v/>
      </c>
      <c r="DN671" s="580" t="str">
        <f t="shared" si="67"/>
        <v/>
      </c>
      <c r="DO671" s="580" t="str">
        <f t="shared" si="68"/>
        <v/>
      </c>
      <c r="DP671" s="580" t="str">
        <f t="shared" si="69"/>
        <v/>
      </c>
      <c r="DQ671" s="580" t="str">
        <f t="shared" si="70"/>
        <v/>
      </c>
      <c r="DR671" s="580" t="str">
        <f t="shared" si="71"/>
        <v/>
      </c>
      <c r="DS671" s="580" t="str">
        <f t="shared" si="72"/>
        <v/>
      </c>
      <c r="DT671" s="580" t="str">
        <f t="shared" si="73"/>
        <v/>
      </c>
      <c r="DU671" s="580" t="str">
        <f t="shared" si="74"/>
        <v/>
      </c>
      <c r="DV671" s="580" t="str">
        <f t="shared" si="75"/>
        <v/>
      </c>
      <c r="DW671" s="580" t="str">
        <f t="shared" si="76"/>
        <v/>
      </c>
      <c r="DX671" s="580" t="str">
        <f t="shared" si="77"/>
        <v/>
      </c>
      <c r="DY671" s="580" t="str">
        <f t="shared" si="78"/>
        <v/>
      </c>
      <c r="DZ671" s="580" t="str">
        <f t="shared" si="79"/>
        <v/>
      </c>
      <c r="EA671" s="580" t="str">
        <f t="shared" si="80"/>
        <v/>
      </c>
      <c r="EB671" s="580" t="str">
        <f t="shared" si="81"/>
        <v/>
      </c>
      <c r="EC671" s="580" t="str">
        <f t="shared" si="82"/>
        <v/>
      </c>
      <c r="ED671" s="580" t="str">
        <f t="shared" si="83"/>
        <v/>
      </c>
      <c r="EE671" s="580" t="str">
        <f t="shared" si="84"/>
        <v/>
      </c>
      <c r="EF671" s="580" t="str">
        <f t="shared" si="85"/>
        <v/>
      </c>
      <c r="EG671" s="580" t="str">
        <f t="shared" si="86"/>
        <v/>
      </c>
      <c r="EH671" s="580" t="str">
        <f t="shared" si="87"/>
        <v/>
      </c>
      <c r="EI671" s="580" t="str">
        <f t="shared" si="88"/>
        <v/>
      </c>
      <c r="EJ671" s="580" t="str">
        <f t="shared" si="89"/>
        <v/>
      </c>
      <c r="EK671" s="580" t="str">
        <f t="shared" si="90"/>
        <v/>
      </c>
      <c r="EL671" s="580" t="str">
        <f t="shared" si="91"/>
        <v/>
      </c>
      <c r="EM671" s="580" t="str">
        <f t="shared" si="92"/>
        <v/>
      </c>
      <c r="EN671" s="580" t="str">
        <f t="shared" si="93"/>
        <v/>
      </c>
      <c r="EO671" s="580" t="str">
        <f t="shared" si="94"/>
        <v/>
      </c>
      <c r="EP671" s="580" t="str">
        <f t="shared" si="95"/>
        <v/>
      </c>
      <c r="EQ671" s="580" t="str">
        <f t="shared" si="96"/>
        <v/>
      </c>
      <c r="ER671" s="580" t="str">
        <f t="shared" si="97"/>
        <v/>
      </c>
      <c r="ES671" s="580" t="str">
        <f t="shared" si="98"/>
        <v/>
      </c>
      <c r="ET671" s="580" t="str">
        <f t="shared" si="99"/>
        <v/>
      </c>
      <c r="EU671" s="580" t="str">
        <f t="shared" si="100"/>
        <v/>
      </c>
      <c r="EV671" s="785" t="str">
        <f t="shared" si="101"/>
        <v/>
      </c>
      <c r="EW671" s="785" t="str">
        <f t="shared" si="102"/>
        <v/>
      </c>
      <c r="EX671" s="785" t="str">
        <f t="shared" si="103"/>
        <v/>
      </c>
      <c r="EY671" s="785" t="str">
        <f t="shared" si="104"/>
        <v/>
      </c>
      <c r="EZ671" s="785" t="str">
        <f t="shared" si="105"/>
        <v/>
      </c>
      <c r="FA671" s="785" t="str">
        <f t="shared" si="106"/>
        <v/>
      </c>
      <c r="FB671" s="785" t="str">
        <f t="shared" si="107"/>
        <v/>
      </c>
      <c r="FC671" s="785" t="str">
        <f t="shared" si="108"/>
        <v/>
      </c>
      <c r="FD671" s="785" t="str">
        <f t="shared" si="109"/>
        <v/>
      </c>
      <c r="FE671" s="785" t="str">
        <f t="shared" si="110"/>
        <v/>
      </c>
      <c r="FF671" s="785" t="str">
        <f t="shared" si="111"/>
        <v/>
      </c>
      <c r="FG671" s="785" t="str">
        <f t="shared" si="112"/>
        <v/>
      </c>
      <c r="FH671" s="785" t="str">
        <f t="shared" si="113"/>
        <v/>
      </c>
      <c r="FI671" s="785" t="str">
        <f t="shared" si="114"/>
        <v/>
      </c>
      <c r="FJ671" s="785" t="str">
        <f t="shared" si="115"/>
        <v/>
      </c>
      <c r="FK671" s="785" t="str">
        <f t="shared" si="116"/>
        <v/>
      </c>
      <c r="FL671" s="785" t="str">
        <f t="shared" si="117"/>
        <v/>
      </c>
      <c r="FM671" s="785" t="str">
        <f t="shared" si="118"/>
        <v/>
      </c>
      <c r="FN671" s="785" t="str">
        <f t="shared" si="119"/>
        <v/>
      </c>
      <c r="FO671" s="785" t="str">
        <f t="shared" si="120"/>
        <v/>
      </c>
      <c r="FP671" s="785" t="str">
        <f t="shared" si="121"/>
        <v/>
      </c>
      <c r="FQ671" s="785" t="str">
        <f t="shared" si="122"/>
        <v/>
      </c>
      <c r="FR671" s="785" t="str">
        <f t="shared" si="123"/>
        <v/>
      </c>
      <c r="FS671" s="785" t="str">
        <f t="shared" si="124"/>
        <v/>
      </c>
      <c r="FT671" s="785" t="str">
        <f t="shared" si="125"/>
        <v/>
      </c>
      <c r="FU671" s="785" t="str">
        <f t="shared" si="126"/>
        <v/>
      </c>
      <c r="FV671" s="785" t="str">
        <f t="shared" si="127"/>
        <v/>
      </c>
      <c r="FW671" s="785" t="str">
        <f t="shared" si="128"/>
        <v/>
      </c>
      <c r="FX671" s="785" t="str">
        <f t="shared" si="129"/>
        <v/>
      </c>
      <c r="FY671" s="785" t="str">
        <f t="shared" si="130"/>
        <v/>
      </c>
      <c r="FZ671" s="785" t="str">
        <f t="shared" si="131"/>
        <v/>
      </c>
      <c r="GA671" s="785" t="str">
        <f t="shared" si="132"/>
        <v/>
      </c>
      <c r="GB671" s="785" t="str">
        <f t="shared" si="133"/>
        <v/>
      </c>
      <c r="GC671" s="785" t="str">
        <f t="shared" si="134"/>
        <v/>
      </c>
      <c r="GD671" s="785" t="str">
        <f t="shared" si="135"/>
        <v/>
      </c>
      <c r="GE671" s="785" t="str">
        <f t="shared" si="136"/>
        <v/>
      </c>
      <c r="GF671" s="785" t="str">
        <f t="shared" si="137"/>
        <v/>
      </c>
      <c r="GG671" s="785" t="str">
        <f t="shared" si="138"/>
        <v/>
      </c>
      <c r="GH671" s="785" t="str">
        <f t="shared" si="139"/>
        <v/>
      </c>
      <c r="GI671" s="785" t="str">
        <f t="shared" si="140"/>
        <v/>
      </c>
      <c r="GJ671" s="785" t="str">
        <f t="shared" si="141"/>
        <v/>
      </c>
      <c r="GK671" s="785" t="str">
        <f t="shared" si="142"/>
        <v/>
      </c>
      <c r="GL671" s="785" t="str">
        <f t="shared" si="143"/>
        <v/>
      </c>
      <c r="GM671" s="785" t="str">
        <f t="shared" si="144"/>
        <v/>
      </c>
      <c r="GN671" s="785" t="str">
        <f t="shared" si="145"/>
        <v/>
      </c>
      <c r="GO671" s="786" t="str">
        <f t="shared" si="146"/>
        <v/>
      </c>
      <c r="GP671" s="786" t="str">
        <f t="shared" si="147"/>
        <v/>
      </c>
      <c r="GQ671" s="786" t="str">
        <f t="shared" si="148"/>
        <v/>
      </c>
      <c r="GR671" s="786" t="str">
        <f t="shared" si="149"/>
        <v/>
      </c>
      <c r="GS671" s="786" t="str">
        <f t="shared" si="150"/>
        <v/>
      </c>
      <c r="GT671" s="580" t="str">
        <f t="shared" si="151"/>
        <v/>
      </c>
      <c r="GU671" s="580" t="str">
        <f t="shared" si="152"/>
        <v/>
      </c>
      <c r="GV671" s="580" t="str">
        <f t="shared" si="153"/>
        <v/>
      </c>
      <c r="GW671" s="580" t="str">
        <f t="shared" si="154"/>
        <v/>
      </c>
      <c r="GX671" s="580" t="str">
        <f t="shared" si="155"/>
        <v/>
      </c>
      <c r="GY671" s="580" t="str">
        <f t="shared" si="156"/>
        <v/>
      </c>
      <c r="GZ671" s="580" t="str">
        <f t="shared" si="157"/>
        <v/>
      </c>
      <c r="HA671" s="580" t="str">
        <f t="shared" si="158"/>
        <v/>
      </c>
      <c r="HB671" s="580" t="str">
        <f t="shared" si="159"/>
        <v/>
      </c>
      <c r="HC671" s="580" t="str">
        <f t="shared" si="160"/>
        <v/>
      </c>
      <c r="HD671" s="580" t="str">
        <f t="shared" si="161"/>
        <v/>
      </c>
      <c r="HE671" s="580" t="str">
        <f t="shared" si="162"/>
        <v/>
      </c>
      <c r="HF671" s="580" t="str">
        <f t="shared" si="163"/>
        <v/>
      </c>
      <c r="HG671" s="580" t="str">
        <f t="shared" si="164"/>
        <v/>
      </c>
      <c r="HH671" s="580" t="str">
        <f t="shared" si="165"/>
        <v/>
      </c>
      <c r="HI671" s="580" t="str">
        <f t="shared" si="166"/>
        <v/>
      </c>
      <c r="HJ671" s="580" t="str">
        <f t="shared" si="167"/>
        <v/>
      </c>
      <c r="HK671" s="580" t="str">
        <f t="shared" si="168"/>
        <v/>
      </c>
      <c r="HL671" s="580" t="str">
        <f t="shared" si="169"/>
        <v/>
      </c>
      <c r="HM671" s="580" t="str">
        <f t="shared" si="170"/>
        <v/>
      </c>
    </row>
    <row r="672" spans="1:221" ht="13.15" customHeight="1">
      <c r="A672" s="888" t="str">
        <f t="shared" si="171"/>
        <v/>
      </c>
      <c r="B672" s="1054" t="str">
        <f>'Part VI-Revenues &amp; Expenses'!B38</f>
        <v>&lt;&lt;Select&gt;&gt;</v>
      </c>
      <c r="C672" s="1055">
        <f>'Part VI-Revenues &amp; Expenses'!C38</f>
        <v>0</v>
      </c>
      <c r="D672" s="1056">
        <f>'Part VI-Revenues &amp; Expenses'!D38</f>
        <v>0</v>
      </c>
      <c r="E672" s="1057">
        <f>'Part VI-Revenues &amp; Expenses'!E38</f>
        <v>0</v>
      </c>
      <c r="F672" s="1057">
        <f>'Part VI-Revenues &amp; Expenses'!F38</f>
        <v>0</v>
      </c>
      <c r="G672" s="1057">
        <f>'Part VI-Revenues &amp; Expenses'!G38</f>
        <v>0</v>
      </c>
      <c r="H672" s="1057">
        <f>'Part VI-Revenues &amp; Expenses'!H38</f>
        <v>0</v>
      </c>
      <c r="I672" s="1057">
        <f>'Part VI-Revenues &amp; Expenses'!I38</f>
        <v>0</v>
      </c>
      <c r="J672" s="818">
        <f>'Part VI-Revenues &amp; Expenses'!J38</f>
        <v>0</v>
      </c>
      <c r="K672" s="893">
        <f>MAX(0,H672-I672)</f>
        <v>0</v>
      </c>
      <c r="L672" s="893">
        <f t="shared" si="0"/>
        <v>0</v>
      </c>
      <c r="M672" s="783">
        <f>'Part VI-Revenues &amp; Expenses'!M38</f>
        <v>0</v>
      </c>
      <c r="N672" s="783">
        <f>'Part VI-Revenues &amp; Expenses'!N38</f>
        <v>0</v>
      </c>
      <c r="O672" s="783">
        <f>'Part VI-Revenues &amp; Expenses'!O38</f>
        <v>0</v>
      </c>
      <c r="P672" s="894">
        <f t="shared" si="203"/>
        <v>0</v>
      </c>
      <c r="Q672" s="895" t="str">
        <f>'Part VI-Revenues &amp; Expenses'!Q38</f>
        <v/>
      </c>
      <c r="R672" s="894"/>
      <c r="S672" s="895"/>
      <c r="T672" s="2130"/>
      <c r="U672" s="2130"/>
      <c r="V672" s="580" t="str">
        <f t="shared" si="1"/>
        <v/>
      </c>
      <c r="W672" s="580" t="str">
        <f t="shared" si="2"/>
        <v/>
      </c>
      <c r="X672" s="580" t="str">
        <f t="shared" si="3"/>
        <v/>
      </c>
      <c r="Y672" s="580" t="str">
        <f t="shared" si="4"/>
        <v/>
      </c>
      <c r="Z672" s="580" t="str">
        <f t="shared" si="5"/>
        <v/>
      </c>
      <c r="AA672" s="580" t="str">
        <f t="shared" si="6"/>
        <v/>
      </c>
      <c r="AB672" s="580" t="str">
        <f t="shared" si="7"/>
        <v/>
      </c>
      <c r="AC672" s="580" t="str">
        <f t="shared" si="8"/>
        <v/>
      </c>
      <c r="AD672" s="580" t="str">
        <f t="shared" si="9"/>
        <v/>
      </c>
      <c r="AE672" s="580" t="str">
        <f t="shared" si="10"/>
        <v/>
      </c>
      <c r="AF672" s="580" t="str">
        <f t="shared" si="11"/>
        <v/>
      </c>
      <c r="AG672" s="580" t="str">
        <f t="shared" si="12"/>
        <v/>
      </c>
      <c r="AH672" s="580" t="str">
        <f t="shared" si="13"/>
        <v/>
      </c>
      <c r="AI672" s="580" t="str">
        <f t="shared" si="14"/>
        <v/>
      </c>
      <c r="AJ672" s="580" t="str">
        <f t="shared" si="15"/>
        <v/>
      </c>
      <c r="AK672" s="580" t="str">
        <f t="shared" si="16"/>
        <v/>
      </c>
      <c r="AL672" s="580" t="str">
        <f t="shared" si="17"/>
        <v/>
      </c>
      <c r="AM672" s="580" t="str">
        <f t="shared" si="18"/>
        <v/>
      </c>
      <c r="AN672" s="580" t="str">
        <f t="shared" si="19"/>
        <v/>
      </c>
      <c r="AO672" s="580" t="str">
        <f t="shared" si="20"/>
        <v/>
      </c>
      <c r="AP672" s="580" t="str">
        <f t="shared" si="173"/>
        <v/>
      </c>
      <c r="AQ672" s="580" t="str">
        <f t="shared" si="174"/>
        <v/>
      </c>
      <c r="AR672" s="580" t="str">
        <f t="shared" si="175"/>
        <v/>
      </c>
      <c r="AS672" s="580" t="str">
        <f t="shared" si="176"/>
        <v/>
      </c>
      <c r="AT672" s="580" t="str">
        <f t="shared" si="177"/>
        <v/>
      </c>
      <c r="AU672" s="580" t="str">
        <f t="shared" si="178"/>
        <v/>
      </c>
      <c r="AV672" s="580" t="str">
        <f t="shared" si="179"/>
        <v/>
      </c>
      <c r="AW672" s="580" t="str">
        <f t="shared" si="180"/>
        <v/>
      </c>
      <c r="AX672" s="580" t="str">
        <f t="shared" si="181"/>
        <v/>
      </c>
      <c r="AY672" s="580" t="str">
        <f t="shared" si="182"/>
        <v/>
      </c>
      <c r="AZ672" s="580" t="str">
        <f t="shared" si="183"/>
        <v/>
      </c>
      <c r="BA672" s="580" t="str">
        <f t="shared" si="184"/>
        <v/>
      </c>
      <c r="BB672" s="580" t="str">
        <f t="shared" si="185"/>
        <v/>
      </c>
      <c r="BC672" s="580" t="str">
        <f t="shared" si="186"/>
        <v/>
      </c>
      <c r="BD672" s="580" t="str">
        <f t="shared" si="187"/>
        <v/>
      </c>
      <c r="BE672" s="580" t="str">
        <f t="shared" si="188"/>
        <v/>
      </c>
      <c r="BF672" s="580" t="str">
        <f t="shared" si="189"/>
        <v/>
      </c>
      <c r="BG672" s="580" t="str">
        <f t="shared" si="190"/>
        <v/>
      </c>
      <c r="BH672" s="580" t="str">
        <f t="shared" si="191"/>
        <v/>
      </c>
      <c r="BI672" s="580" t="str">
        <f t="shared" si="192"/>
        <v/>
      </c>
      <c r="BJ672" s="580" t="str">
        <f t="shared" si="193"/>
        <v/>
      </c>
      <c r="BK672" s="580" t="str">
        <f t="shared" si="194"/>
        <v/>
      </c>
      <c r="BL672" s="580" t="str">
        <f t="shared" si="195"/>
        <v/>
      </c>
      <c r="BM672" s="580" t="str">
        <f t="shared" si="196"/>
        <v/>
      </c>
      <c r="BN672" s="580" t="str">
        <f t="shared" si="197"/>
        <v/>
      </c>
      <c r="BO672" s="580" t="str">
        <f t="shared" si="198"/>
        <v/>
      </c>
      <c r="BP672" s="580" t="str">
        <f t="shared" si="199"/>
        <v/>
      </c>
      <c r="BQ672" s="580" t="str">
        <f t="shared" si="200"/>
        <v/>
      </c>
      <c r="BR672" s="580" t="str">
        <f t="shared" si="201"/>
        <v/>
      </c>
      <c r="BS672" s="580" t="str">
        <f t="shared" si="202"/>
        <v/>
      </c>
      <c r="BT672" s="580" t="str">
        <f t="shared" si="21"/>
        <v/>
      </c>
      <c r="BU672" s="580" t="str">
        <f t="shared" si="22"/>
        <v/>
      </c>
      <c r="BV672" s="580" t="str">
        <f t="shared" si="23"/>
        <v/>
      </c>
      <c r="BW672" s="580" t="str">
        <f t="shared" si="24"/>
        <v/>
      </c>
      <c r="BX672" s="580" t="str">
        <f t="shared" si="25"/>
        <v/>
      </c>
      <c r="BY672" s="580" t="str">
        <f t="shared" si="26"/>
        <v/>
      </c>
      <c r="BZ672" s="580" t="str">
        <f t="shared" si="27"/>
        <v/>
      </c>
      <c r="CA672" s="580" t="str">
        <f t="shared" si="28"/>
        <v/>
      </c>
      <c r="CB672" s="580" t="str">
        <f t="shared" si="29"/>
        <v/>
      </c>
      <c r="CC672" s="580" t="str">
        <f t="shared" si="30"/>
        <v/>
      </c>
      <c r="CD672" s="580" t="str">
        <f t="shared" si="31"/>
        <v/>
      </c>
      <c r="CE672" s="580" t="str">
        <f t="shared" si="32"/>
        <v/>
      </c>
      <c r="CF672" s="580" t="str">
        <f t="shared" si="33"/>
        <v/>
      </c>
      <c r="CG672" s="580" t="str">
        <f t="shared" si="34"/>
        <v/>
      </c>
      <c r="CH672" s="580" t="str">
        <f t="shared" si="35"/>
        <v/>
      </c>
      <c r="CI672" s="580" t="str">
        <f t="shared" si="36"/>
        <v/>
      </c>
      <c r="CJ672" s="580" t="str">
        <f t="shared" si="37"/>
        <v/>
      </c>
      <c r="CK672" s="580" t="str">
        <f t="shared" si="38"/>
        <v/>
      </c>
      <c r="CL672" s="580" t="str">
        <f t="shared" si="39"/>
        <v/>
      </c>
      <c r="CM672" s="580" t="str">
        <f t="shared" si="40"/>
        <v/>
      </c>
      <c r="CN672" s="580" t="str">
        <f t="shared" si="41"/>
        <v/>
      </c>
      <c r="CO672" s="580" t="str">
        <f t="shared" si="42"/>
        <v/>
      </c>
      <c r="CP672" s="580" t="str">
        <f t="shared" si="43"/>
        <v/>
      </c>
      <c r="CQ672" s="580" t="str">
        <f t="shared" si="44"/>
        <v/>
      </c>
      <c r="CR672" s="580" t="str">
        <f t="shared" si="45"/>
        <v/>
      </c>
      <c r="CS672" s="580" t="str">
        <f t="shared" si="46"/>
        <v/>
      </c>
      <c r="CT672" s="580" t="str">
        <f t="shared" si="47"/>
        <v/>
      </c>
      <c r="CU672" s="580" t="str">
        <f t="shared" si="48"/>
        <v/>
      </c>
      <c r="CV672" s="580" t="str">
        <f t="shared" si="49"/>
        <v/>
      </c>
      <c r="CW672" s="580" t="str">
        <f t="shared" si="50"/>
        <v/>
      </c>
      <c r="CX672" s="580" t="str">
        <f t="shared" si="51"/>
        <v/>
      </c>
      <c r="CY672" s="580" t="str">
        <f t="shared" si="52"/>
        <v/>
      </c>
      <c r="CZ672" s="580" t="str">
        <f t="shared" si="53"/>
        <v/>
      </c>
      <c r="DA672" s="580" t="str">
        <f t="shared" si="54"/>
        <v/>
      </c>
      <c r="DB672" s="580" t="str">
        <f t="shared" si="55"/>
        <v/>
      </c>
      <c r="DC672" s="580" t="str">
        <f t="shared" si="56"/>
        <v/>
      </c>
      <c r="DD672" s="580" t="str">
        <f t="shared" si="57"/>
        <v/>
      </c>
      <c r="DE672" s="580" t="str">
        <f t="shared" si="58"/>
        <v/>
      </c>
      <c r="DF672" s="580" t="str">
        <f t="shared" si="59"/>
        <v/>
      </c>
      <c r="DG672" s="580" t="str">
        <f t="shared" si="60"/>
        <v/>
      </c>
      <c r="DH672" s="580" t="str">
        <f t="shared" si="61"/>
        <v/>
      </c>
      <c r="DI672" s="580" t="str">
        <f t="shared" si="62"/>
        <v/>
      </c>
      <c r="DJ672" s="580" t="str">
        <f t="shared" si="63"/>
        <v/>
      </c>
      <c r="DK672" s="580" t="str">
        <f t="shared" si="64"/>
        <v/>
      </c>
      <c r="DL672" s="580" t="str">
        <f t="shared" si="65"/>
        <v/>
      </c>
      <c r="DM672" s="580" t="str">
        <f t="shared" si="66"/>
        <v/>
      </c>
      <c r="DN672" s="580" t="str">
        <f t="shared" si="67"/>
        <v/>
      </c>
      <c r="DO672" s="580" t="str">
        <f t="shared" si="68"/>
        <v/>
      </c>
      <c r="DP672" s="580" t="str">
        <f t="shared" si="69"/>
        <v/>
      </c>
      <c r="DQ672" s="580" t="str">
        <f t="shared" si="70"/>
        <v/>
      </c>
      <c r="DR672" s="580" t="str">
        <f t="shared" si="71"/>
        <v/>
      </c>
      <c r="DS672" s="580" t="str">
        <f t="shared" si="72"/>
        <v/>
      </c>
      <c r="DT672" s="580" t="str">
        <f t="shared" si="73"/>
        <v/>
      </c>
      <c r="DU672" s="580" t="str">
        <f t="shared" si="74"/>
        <v/>
      </c>
      <c r="DV672" s="580" t="str">
        <f t="shared" si="75"/>
        <v/>
      </c>
      <c r="DW672" s="580" t="str">
        <f t="shared" si="76"/>
        <v/>
      </c>
      <c r="DX672" s="580" t="str">
        <f t="shared" si="77"/>
        <v/>
      </c>
      <c r="DY672" s="580" t="str">
        <f t="shared" si="78"/>
        <v/>
      </c>
      <c r="DZ672" s="580" t="str">
        <f t="shared" si="79"/>
        <v/>
      </c>
      <c r="EA672" s="580" t="str">
        <f t="shared" si="80"/>
        <v/>
      </c>
      <c r="EB672" s="580" t="str">
        <f t="shared" si="81"/>
        <v/>
      </c>
      <c r="EC672" s="580" t="str">
        <f t="shared" si="82"/>
        <v/>
      </c>
      <c r="ED672" s="580" t="str">
        <f t="shared" si="83"/>
        <v/>
      </c>
      <c r="EE672" s="580" t="str">
        <f t="shared" si="84"/>
        <v/>
      </c>
      <c r="EF672" s="580" t="str">
        <f t="shared" si="85"/>
        <v/>
      </c>
      <c r="EG672" s="580" t="str">
        <f t="shared" si="86"/>
        <v/>
      </c>
      <c r="EH672" s="580" t="str">
        <f t="shared" si="87"/>
        <v/>
      </c>
      <c r="EI672" s="580" t="str">
        <f t="shared" si="88"/>
        <v/>
      </c>
      <c r="EJ672" s="580" t="str">
        <f t="shared" si="89"/>
        <v/>
      </c>
      <c r="EK672" s="580" t="str">
        <f t="shared" si="90"/>
        <v/>
      </c>
      <c r="EL672" s="580" t="str">
        <f t="shared" si="91"/>
        <v/>
      </c>
      <c r="EM672" s="580" t="str">
        <f t="shared" si="92"/>
        <v/>
      </c>
      <c r="EN672" s="580" t="str">
        <f t="shared" si="93"/>
        <v/>
      </c>
      <c r="EO672" s="580" t="str">
        <f t="shared" si="94"/>
        <v/>
      </c>
      <c r="EP672" s="580" t="str">
        <f t="shared" si="95"/>
        <v/>
      </c>
      <c r="EQ672" s="580" t="str">
        <f t="shared" si="96"/>
        <v/>
      </c>
      <c r="ER672" s="580" t="str">
        <f t="shared" si="97"/>
        <v/>
      </c>
      <c r="ES672" s="580" t="str">
        <f t="shared" si="98"/>
        <v/>
      </c>
      <c r="ET672" s="580" t="str">
        <f t="shared" si="99"/>
        <v/>
      </c>
      <c r="EU672" s="580" t="str">
        <f t="shared" si="100"/>
        <v/>
      </c>
      <c r="EV672" s="785" t="str">
        <f t="shared" si="101"/>
        <v/>
      </c>
      <c r="EW672" s="785" t="str">
        <f t="shared" si="102"/>
        <v/>
      </c>
      <c r="EX672" s="785" t="str">
        <f t="shared" si="103"/>
        <v/>
      </c>
      <c r="EY672" s="785" t="str">
        <f t="shared" si="104"/>
        <v/>
      </c>
      <c r="EZ672" s="785" t="str">
        <f t="shared" si="105"/>
        <v/>
      </c>
      <c r="FA672" s="785" t="str">
        <f t="shared" si="106"/>
        <v/>
      </c>
      <c r="FB672" s="785" t="str">
        <f t="shared" si="107"/>
        <v/>
      </c>
      <c r="FC672" s="785" t="str">
        <f t="shared" si="108"/>
        <v/>
      </c>
      <c r="FD672" s="785" t="str">
        <f t="shared" si="109"/>
        <v/>
      </c>
      <c r="FE672" s="785" t="str">
        <f t="shared" si="110"/>
        <v/>
      </c>
      <c r="FF672" s="785" t="str">
        <f t="shared" si="111"/>
        <v/>
      </c>
      <c r="FG672" s="785" t="str">
        <f t="shared" si="112"/>
        <v/>
      </c>
      <c r="FH672" s="785" t="str">
        <f t="shared" si="113"/>
        <v/>
      </c>
      <c r="FI672" s="785" t="str">
        <f t="shared" si="114"/>
        <v/>
      </c>
      <c r="FJ672" s="785" t="str">
        <f t="shared" si="115"/>
        <v/>
      </c>
      <c r="FK672" s="785" t="str">
        <f t="shared" si="116"/>
        <v/>
      </c>
      <c r="FL672" s="785" t="str">
        <f t="shared" si="117"/>
        <v/>
      </c>
      <c r="FM672" s="785" t="str">
        <f t="shared" si="118"/>
        <v/>
      </c>
      <c r="FN672" s="785" t="str">
        <f t="shared" si="119"/>
        <v/>
      </c>
      <c r="FO672" s="785" t="str">
        <f t="shared" si="120"/>
        <v/>
      </c>
      <c r="FP672" s="785" t="str">
        <f t="shared" si="121"/>
        <v/>
      </c>
      <c r="FQ672" s="785" t="str">
        <f t="shared" si="122"/>
        <v/>
      </c>
      <c r="FR672" s="785" t="str">
        <f t="shared" si="123"/>
        <v/>
      </c>
      <c r="FS672" s="785" t="str">
        <f t="shared" si="124"/>
        <v/>
      </c>
      <c r="FT672" s="785" t="str">
        <f t="shared" si="125"/>
        <v/>
      </c>
      <c r="FU672" s="785" t="str">
        <f t="shared" si="126"/>
        <v/>
      </c>
      <c r="FV672" s="785" t="str">
        <f t="shared" si="127"/>
        <v/>
      </c>
      <c r="FW672" s="785" t="str">
        <f t="shared" si="128"/>
        <v/>
      </c>
      <c r="FX672" s="785" t="str">
        <f t="shared" si="129"/>
        <v/>
      </c>
      <c r="FY672" s="785" t="str">
        <f t="shared" si="130"/>
        <v/>
      </c>
      <c r="FZ672" s="785" t="str">
        <f t="shared" si="131"/>
        <v/>
      </c>
      <c r="GA672" s="785" t="str">
        <f t="shared" si="132"/>
        <v/>
      </c>
      <c r="GB672" s="785" t="str">
        <f t="shared" si="133"/>
        <v/>
      </c>
      <c r="GC672" s="785" t="str">
        <f t="shared" si="134"/>
        <v/>
      </c>
      <c r="GD672" s="785" t="str">
        <f t="shared" si="135"/>
        <v/>
      </c>
      <c r="GE672" s="785" t="str">
        <f t="shared" si="136"/>
        <v/>
      </c>
      <c r="GF672" s="785" t="str">
        <f t="shared" si="137"/>
        <v/>
      </c>
      <c r="GG672" s="785" t="str">
        <f t="shared" si="138"/>
        <v/>
      </c>
      <c r="GH672" s="785" t="str">
        <f t="shared" si="139"/>
        <v/>
      </c>
      <c r="GI672" s="785" t="str">
        <f t="shared" si="140"/>
        <v/>
      </c>
      <c r="GJ672" s="785" t="str">
        <f t="shared" si="141"/>
        <v/>
      </c>
      <c r="GK672" s="785" t="str">
        <f t="shared" si="142"/>
        <v/>
      </c>
      <c r="GL672" s="785" t="str">
        <f t="shared" si="143"/>
        <v/>
      </c>
      <c r="GM672" s="785" t="str">
        <f t="shared" si="144"/>
        <v/>
      </c>
      <c r="GN672" s="785" t="str">
        <f t="shared" si="145"/>
        <v/>
      </c>
      <c r="GO672" s="786" t="str">
        <f t="shared" si="146"/>
        <v/>
      </c>
      <c r="GP672" s="786" t="str">
        <f t="shared" si="147"/>
        <v/>
      </c>
      <c r="GQ672" s="786" t="str">
        <f t="shared" si="148"/>
        <v/>
      </c>
      <c r="GR672" s="786" t="str">
        <f t="shared" si="149"/>
        <v/>
      </c>
      <c r="GS672" s="786" t="str">
        <f t="shared" si="150"/>
        <v/>
      </c>
      <c r="GT672" s="580" t="str">
        <f t="shared" si="151"/>
        <v/>
      </c>
      <c r="GU672" s="580" t="str">
        <f t="shared" si="152"/>
        <v/>
      </c>
      <c r="GV672" s="580" t="str">
        <f t="shared" si="153"/>
        <v/>
      </c>
      <c r="GW672" s="580" t="str">
        <f t="shared" si="154"/>
        <v/>
      </c>
      <c r="GX672" s="580" t="str">
        <f t="shared" si="155"/>
        <v/>
      </c>
      <c r="GY672" s="580" t="str">
        <f t="shared" si="156"/>
        <v/>
      </c>
      <c r="GZ672" s="580" t="str">
        <f t="shared" si="157"/>
        <v/>
      </c>
      <c r="HA672" s="580" t="str">
        <f t="shared" si="158"/>
        <v/>
      </c>
      <c r="HB672" s="580" t="str">
        <f t="shared" si="159"/>
        <v/>
      </c>
      <c r="HC672" s="580" t="str">
        <f t="shared" si="160"/>
        <v/>
      </c>
      <c r="HD672" s="580" t="str">
        <f t="shared" si="161"/>
        <v/>
      </c>
      <c r="HE672" s="580" t="str">
        <f t="shared" si="162"/>
        <v/>
      </c>
      <c r="HF672" s="580" t="str">
        <f t="shared" si="163"/>
        <v/>
      </c>
      <c r="HG672" s="580" t="str">
        <f t="shared" si="164"/>
        <v/>
      </c>
      <c r="HH672" s="580" t="str">
        <f t="shared" si="165"/>
        <v/>
      </c>
      <c r="HI672" s="580" t="str">
        <f t="shared" si="166"/>
        <v/>
      </c>
      <c r="HJ672" s="580" t="str">
        <f t="shared" si="167"/>
        <v/>
      </c>
      <c r="HK672" s="580" t="str">
        <f t="shared" si="168"/>
        <v/>
      </c>
      <c r="HL672" s="580" t="str">
        <f t="shared" si="169"/>
        <v/>
      </c>
      <c r="HM672" s="580" t="str">
        <f t="shared" si="170"/>
        <v/>
      </c>
    </row>
    <row r="673" spans="1:221" ht="13.15" customHeight="1">
      <c r="A673" s="888" t="str">
        <f t="shared" si="171"/>
        <v/>
      </c>
      <c r="B673" s="1054" t="str">
        <f>'Part VI-Revenues &amp; Expenses'!B39</f>
        <v>&lt;&lt;Select&gt;&gt;</v>
      </c>
      <c r="C673" s="1055">
        <f>'Part VI-Revenues &amp; Expenses'!C39</f>
        <v>0</v>
      </c>
      <c r="D673" s="1056">
        <f>'Part VI-Revenues &amp; Expenses'!D39</f>
        <v>0</v>
      </c>
      <c r="E673" s="1057">
        <f>'Part VI-Revenues &amp; Expenses'!E39</f>
        <v>0</v>
      </c>
      <c r="F673" s="1057">
        <f>'Part VI-Revenues &amp; Expenses'!F39</f>
        <v>0</v>
      </c>
      <c r="G673" s="1057">
        <f>'Part VI-Revenues &amp; Expenses'!G39</f>
        <v>0</v>
      </c>
      <c r="H673" s="1057">
        <f>'Part VI-Revenues &amp; Expenses'!H39</f>
        <v>0</v>
      </c>
      <c r="I673" s="1057">
        <f>'Part VI-Revenues &amp; Expenses'!I39</f>
        <v>0</v>
      </c>
      <c r="J673" s="818">
        <f>'Part VI-Revenues &amp; Expenses'!J39</f>
        <v>0</v>
      </c>
      <c r="K673" s="893">
        <f t="shared" ref="K673:K680" si="205">MAX(0,H673-I673)</f>
        <v>0</v>
      </c>
      <c r="L673" s="893">
        <f t="shared" si="0"/>
        <v>0</v>
      </c>
      <c r="M673" s="783">
        <f>'Part VI-Revenues &amp; Expenses'!M39</f>
        <v>0</v>
      </c>
      <c r="N673" s="783">
        <f>'Part VI-Revenues &amp; Expenses'!N39</f>
        <v>0</v>
      </c>
      <c r="O673" s="783">
        <f>'Part VI-Revenues &amp; Expenses'!O39</f>
        <v>0</v>
      </c>
      <c r="P673" s="894">
        <f t="shared" si="203"/>
        <v>0</v>
      </c>
      <c r="Q673" s="895" t="str">
        <f>'Part VI-Revenues &amp; Expenses'!Q39</f>
        <v/>
      </c>
      <c r="R673" s="894"/>
      <c r="S673" s="895"/>
      <c r="T673" s="2130"/>
      <c r="U673" s="2130"/>
      <c r="V673" s="580" t="str">
        <f t="shared" si="1"/>
        <v/>
      </c>
      <c r="W673" s="580" t="str">
        <f t="shared" si="2"/>
        <v/>
      </c>
      <c r="X673" s="580" t="str">
        <f t="shared" si="3"/>
        <v/>
      </c>
      <c r="Y673" s="580" t="str">
        <f t="shared" si="4"/>
        <v/>
      </c>
      <c r="Z673" s="580" t="str">
        <f t="shared" si="5"/>
        <v/>
      </c>
      <c r="AA673" s="580" t="str">
        <f t="shared" si="6"/>
        <v/>
      </c>
      <c r="AB673" s="580" t="str">
        <f t="shared" si="7"/>
        <v/>
      </c>
      <c r="AC673" s="580" t="str">
        <f t="shared" si="8"/>
        <v/>
      </c>
      <c r="AD673" s="580" t="str">
        <f t="shared" si="9"/>
        <v/>
      </c>
      <c r="AE673" s="580" t="str">
        <f t="shared" si="10"/>
        <v/>
      </c>
      <c r="AF673" s="580" t="str">
        <f t="shared" si="11"/>
        <v/>
      </c>
      <c r="AG673" s="580" t="str">
        <f t="shared" si="12"/>
        <v/>
      </c>
      <c r="AH673" s="580" t="str">
        <f t="shared" si="13"/>
        <v/>
      </c>
      <c r="AI673" s="580" t="str">
        <f t="shared" si="14"/>
        <v/>
      </c>
      <c r="AJ673" s="580" t="str">
        <f t="shared" si="15"/>
        <v/>
      </c>
      <c r="AK673" s="580" t="str">
        <f t="shared" si="16"/>
        <v/>
      </c>
      <c r="AL673" s="580" t="str">
        <f t="shared" si="17"/>
        <v/>
      </c>
      <c r="AM673" s="580" t="str">
        <f t="shared" si="18"/>
        <v/>
      </c>
      <c r="AN673" s="580" t="str">
        <f t="shared" si="19"/>
        <v/>
      </c>
      <c r="AO673" s="580" t="str">
        <f t="shared" si="20"/>
        <v/>
      </c>
      <c r="AP673" s="580" t="str">
        <f t="shared" si="173"/>
        <v/>
      </c>
      <c r="AQ673" s="580" t="str">
        <f t="shared" si="174"/>
        <v/>
      </c>
      <c r="AR673" s="580" t="str">
        <f t="shared" si="175"/>
        <v/>
      </c>
      <c r="AS673" s="580" t="str">
        <f t="shared" si="176"/>
        <v/>
      </c>
      <c r="AT673" s="580" t="str">
        <f t="shared" si="177"/>
        <v/>
      </c>
      <c r="AU673" s="580" t="str">
        <f t="shared" si="178"/>
        <v/>
      </c>
      <c r="AV673" s="580" t="str">
        <f t="shared" si="179"/>
        <v/>
      </c>
      <c r="AW673" s="580" t="str">
        <f t="shared" si="180"/>
        <v/>
      </c>
      <c r="AX673" s="580" t="str">
        <f t="shared" si="181"/>
        <v/>
      </c>
      <c r="AY673" s="580" t="str">
        <f t="shared" si="182"/>
        <v/>
      </c>
      <c r="AZ673" s="580" t="str">
        <f t="shared" si="183"/>
        <v/>
      </c>
      <c r="BA673" s="580" t="str">
        <f t="shared" si="184"/>
        <v/>
      </c>
      <c r="BB673" s="580" t="str">
        <f t="shared" si="185"/>
        <v/>
      </c>
      <c r="BC673" s="580" t="str">
        <f t="shared" si="186"/>
        <v/>
      </c>
      <c r="BD673" s="580" t="str">
        <f t="shared" si="187"/>
        <v/>
      </c>
      <c r="BE673" s="580" t="str">
        <f t="shared" si="188"/>
        <v/>
      </c>
      <c r="BF673" s="580" t="str">
        <f t="shared" si="189"/>
        <v/>
      </c>
      <c r="BG673" s="580" t="str">
        <f t="shared" si="190"/>
        <v/>
      </c>
      <c r="BH673" s="580" t="str">
        <f t="shared" si="191"/>
        <v/>
      </c>
      <c r="BI673" s="580" t="str">
        <f t="shared" si="192"/>
        <v/>
      </c>
      <c r="BJ673" s="580" t="str">
        <f t="shared" si="193"/>
        <v/>
      </c>
      <c r="BK673" s="580" t="str">
        <f t="shared" si="194"/>
        <v/>
      </c>
      <c r="BL673" s="580" t="str">
        <f t="shared" si="195"/>
        <v/>
      </c>
      <c r="BM673" s="580" t="str">
        <f t="shared" si="196"/>
        <v/>
      </c>
      <c r="BN673" s="580" t="str">
        <f t="shared" si="197"/>
        <v/>
      </c>
      <c r="BO673" s="580" t="str">
        <f t="shared" si="198"/>
        <v/>
      </c>
      <c r="BP673" s="580" t="str">
        <f t="shared" si="199"/>
        <v/>
      </c>
      <c r="BQ673" s="580" t="str">
        <f t="shared" si="200"/>
        <v/>
      </c>
      <c r="BR673" s="580" t="str">
        <f t="shared" si="201"/>
        <v/>
      </c>
      <c r="BS673" s="580" t="str">
        <f t="shared" si="202"/>
        <v/>
      </c>
      <c r="BT673" s="580" t="str">
        <f t="shared" si="21"/>
        <v/>
      </c>
      <c r="BU673" s="580" t="str">
        <f t="shared" si="22"/>
        <v/>
      </c>
      <c r="BV673" s="580" t="str">
        <f t="shared" si="23"/>
        <v/>
      </c>
      <c r="BW673" s="580" t="str">
        <f t="shared" si="24"/>
        <v/>
      </c>
      <c r="BX673" s="580" t="str">
        <f t="shared" si="25"/>
        <v/>
      </c>
      <c r="BY673" s="580" t="str">
        <f t="shared" si="26"/>
        <v/>
      </c>
      <c r="BZ673" s="580" t="str">
        <f t="shared" si="27"/>
        <v/>
      </c>
      <c r="CA673" s="580" t="str">
        <f t="shared" si="28"/>
        <v/>
      </c>
      <c r="CB673" s="580" t="str">
        <f t="shared" si="29"/>
        <v/>
      </c>
      <c r="CC673" s="580" t="str">
        <f t="shared" si="30"/>
        <v/>
      </c>
      <c r="CD673" s="580" t="str">
        <f t="shared" si="31"/>
        <v/>
      </c>
      <c r="CE673" s="580" t="str">
        <f t="shared" si="32"/>
        <v/>
      </c>
      <c r="CF673" s="580" t="str">
        <f t="shared" si="33"/>
        <v/>
      </c>
      <c r="CG673" s="580" t="str">
        <f t="shared" si="34"/>
        <v/>
      </c>
      <c r="CH673" s="580" t="str">
        <f t="shared" si="35"/>
        <v/>
      </c>
      <c r="CI673" s="580" t="str">
        <f t="shared" si="36"/>
        <v/>
      </c>
      <c r="CJ673" s="580" t="str">
        <f t="shared" si="37"/>
        <v/>
      </c>
      <c r="CK673" s="580" t="str">
        <f t="shared" si="38"/>
        <v/>
      </c>
      <c r="CL673" s="580" t="str">
        <f t="shared" si="39"/>
        <v/>
      </c>
      <c r="CM673" s="580" t="str">
        <f t="shared" si="40"/>
        <v/>
      </c>
      <c r="CN673" s="580" t="str">
        <f t="shared" si="41"/>
        <v/>
      </c>
      <c r="CO673" s="580" t="str">
        <f t="shared" si="42"/>
        <v/>
      </c>
      <c r="CP673" s="580" t="str">
        <f t="shared" si="43"/>
        <v/>
      </c>
      <c r="CQ673" s="580" t="str">
        <f t="shared" si="44"/>
        <v/>
      </c>
      <c r="CR673" s="580" t="str">
        <f t="shared" si="45"/>
        <v/>
      </c>
      <c r="CS673" s="580" t="str">
        <f t="shared" si="46"/>
        <v/>
      </c>
      <c r="CT673" s="580" t="str">
        <f t="shared" si="47"/>
        <v/>
      </c>
      <c r="CU673" s="580" t="str">
        <f t="shared" si="48"/>
        <v/>
      </c>
      <c r="CV673" s="580" t="str">
        <f t="shared" si="49"/>
        <v/>
      </c>
      <c r="CW673" s="580" t="str">
        <f t="shared" si="50"/>
        <v/>
      </c>
      <c r="CX673" s="580" t="str">
        <f t="shared" si="51"/>
        <v/>
      </c>
      <c r="CY673" s="580" t="str">
        <f t="shared" si="52"/>
        <v/>
      </c>
      <c r="CZ673" s="580" t="str">
        <f t="shared" si="53"/>
        <v/>
      </c>
      <c r="DA673" s="580" t="str">
        <f t="shared" si="54"/>
        <v/>
      </c>
      <c r="DB673" s="580" t="str">
        <f t="shared" si="55"/>
        <v/>
      </c>
      <c r="DC673" s="580" t="str">
        <f t="shared" si="56"/>
        <v/>
      </c>
      <c r="DD673" s="580" t="str">
        <f t="shared" si="57"/>
        <v/>
      </c>
      <c r="DE673" s="580" t="str">
        <f t="shared" si="58"/>
        <v/>
      </c>
      <c r="DF673" s="580" t="str">
        <f t="shared" si="59"/>
        <v/>
      </c>
      <c r="DG673" s="580" t="str">
        <f t="shared" si="60"/>
        <v/>
      </c>
      <c r="DH673" s="580" t="str">
        <f t="shared" si="61"/>
        <v/>
      </c>
      <c r="DI673" s="580" t="str">
        <f t="shared" si="62"/>
        <v/>
      </c>
      <c r="DJ673" s="580" t="str">
        <f t="shared" si="63"/>
        <v/>
      </c>
      <c r="DK673" s="580" t="str">
        <f t="shared" si="64"/>
        <v/>
      </c>
      <c r="DL673" s="580" t="str">
        <f t="shared" si="65"/>
        <v/>
      </c>
      <c r="DM673" s="580" t="str">
        <f t="shared" si="66"/>
        <v/>
      </c>
      <c r="DN673" s="580" t="str">
        <f t="shared" si="67"/>
        <v/>
      </c>
      <c r="DO673" s="580" t="str">
        <f t="shared" si="68"/>
        <v/>
      </c>
      <c r="DP673" s="580" t="str">
        <f t="shared" si="69"/>
        <v/>
      </c>
      <c r="DQ673" s="580" t="str">
        <f t="shared" si="70"/>
        <v/>
      </c>
      <c r="DR673" s="580" t="str">
        <f t="shared" si="71"/>
        <v/>
      </c>
      <c r="DS673" s="580" t="str">
        <f t="shared" si="72"/>
        <v/>
      </c>
      <c r="DT673" s="580" t="str">
        <f t="shared" si="73"/>
        <v/>
      </c>
      <c r="DU673" s="580" t="str">
        <f t="shared" si="74"/>
        <v/>
      </c>
      <c r="DV673" s="580" t="str">
        <f t="shared" si="75"/>
        <v/>
      </c>
      <c r="DW673" s="580" t="str">
        <f t="shared" si="76"/>
        <v/>
      </c>
      <c r="DX673" s="580" t="str">
        <f t="shared" si="77"/>
        <v/>
      </c>
      <c r="DY673" s="580" t="str">
        <f t="shared" si="78"/>
        <v/>
      </c>
      <c r="DZ673" s="580" t="str">
        <f t="shared" si="79"/>
        <v/>
      </c>
      <c r="EA673" s="580" t="str">
        <f t="shared" si="80"/>
        <v/>
      </c>
      <c r="EB673" s="580" t="str">
        <f t="shared" si="81"/>
        <v/>
      </c>
      <c r="EC673" s="580" t="str">
        <f t="shared" si="82"/>
        <v/>
      </c>
      <c r="ED673" s="580" t="str">
        <f t="shared" si="83"/>
        <v/>
      </c>
      <c r="EE673" s="580" t="str">
        <f t="shared" si="84"/>
        <v/>
      </c>
      <c r="EF673" s="580" t="str">
        <f t="shared" si="85"/>
        <v/>
      </c>
      <c r="EG673" s="580" t="str">
        <f t="shared" si="86"/>
        <v/>
      </c>
      <c r="EH673" s="580" t="str">
        <f t="shared" si="87"/>
        <v/>
      </c>
      <c r="EI673" s="580" t="str">
        <f t="shared" si="88"/>
        <v/>
      </c>
      <c r="EJ673" s="580" t="str">
        <f t="shared" si="89"/>
        <v/>
      </c>
      <c r="EK673" s="580" t="str">
        <f t="shared" si="90"/>
        <v/>
      </c>
      <c r="EL673" s="580" t="str">
        <f t="shared" si="91"/>
        <v/>
      </c>
      <c r="EM673" s="580" t="str">
        <f t="shared" si="92"/>
        <v/>
      </c>
      <c r="EN673" s="580" t="str">
        <f t="shared" si="93"/>
        <v/>
      </c>
      <c r="EO673" s="580" t="str">
        <f t="shared" si="94"/>
        <v/>
      </c>
      <c r="EP673" s="580" t="str">
        <f t="shared" si="95"/>
        <v/>
      </c>
      <c r="EQ673" s="580" t="str">
        <f t="shared" si="96"/>
        <v/>
      </c>
      <c r="ER673" s="580" t="str">
        <f t="shared" si="97"/>
        <v/>
      </c>
      <c r="ES673" s="580" t="str">
        <f t="shared" si="98"/>
        <v/>
      </c>
      <c r="ET673" s="580" t="str">
        <f t="shared" si="99"/>
        <v/>
      </c>
      <c r="EU673" s="580" t="str">
        <f t="shared" si="100"/>
        <v/>
      </c>
      <c r="EV673" s="785" t="str">
        <f t="shared" si="101"/>
        <v/>
      </c>
      <c r="EW673" s="785" t="str">
        <f t="shared" si="102"/>
        <v/>
      </c>
      <c r="EX673" s="785" t="str">
        <f t="shared" si="103"/>
        <v/>
      </c>
      <c r="EY673" s="785" t="str">
        <f t="shared" si="104"/>
        <v/>
      </c>
      <c r="EZ673" s="785" t="str">
        <f t="shared" si="105"/>
        <v/>
      </c>
      <c r="FA673" s="785" t="str">
        <f t="shared" si="106"/>
        <v/>
      </c>
      <c r="FB673" s="785" t="str">
        <f t="shared" si="107"/>
        <v/>
      </c>
      <c r="FC673" s="785" t="str">
        <f t="shared" si="108"/>
        <v/>
      </c>
      <c r="FD673" s="785" t="str">
        <f t="shared" si="109"/>
        <v/>
      </c>
      <c r="FE673" s="785" t="str">
        <f t="shared" si="110"/>
        <v/>
      </c>
      <c r="FF673" s="785" t="str">
        <f t="shared" si="111"/>
        <v/>
      </c>
      <c r="FG673" s="785" t="str">
        <f t="shared" si="112"/>
        <v/>
      </c>
      <c r="FH673" s="785" t="str">
        <f t="shared" si="113"/>
        <v/>
      </c>
      <c r="FI673" s="785" t="str">
        <f t="shared" si="114"/>
        <v/>
      </c>
      <c r="FJ673" s="785" t="str">
        <f t="shared" si="115"/>
        <v/>
      </c>
      <c r="FK673" s="785" t="str">
        <f t="shared" si="116"/>
        <v/>
      </c>
      <c r="FL673" s="785" t="str">
        <f t="shared" si="117"/>
        <v/>
      </c>
      <c r="FM673" s="785" t="str">
        <f t="shared" si="118"/>
        <v/>
      </c>
      <c r="FN673" s="785" t="str">
        <f t="shared" si="119"/>
        <v/>
      </c>
      <c r="FO673" s="785" t="str">
        <f t="shared" si="120"/>
        <v/>
      </c>
      <c r="FP673" s="785" t="str">
        <f t="shared" si="121"/>
        <v/>
      </c>
      <c r="FQ673" s="785" t="str">
        <f t="shared" si="122"/>
        <v/>
      </c>
      <c r="FR673" s="785" t="str">
        <f t="shared" si="123"/>
        <v/>
      </c>
      <c r="FS673" s="785" t="str">
        <f t="shared" si="124"/>
        <v/>
      </c>
      <c r="FT673" s="785" t="str">
        <f t="shared" si="125"/>
        <v/>
      </c>
      <c r="FU673" s="785" t="str">
        <f t="shared" si="126"/>
        <v/>
      </c>
      <c r="FV673" s="785" t="str">
        <f t="shared" si="127"/>
        <v/>
      </c>
      <c r="FW673" s="785" t="str">
        <f t="shared" si="128"/>
        <v/>
      </c>
      <c r="FX673" s="785" t="str">
        <f t="shared" si="129"/>
        <v/>
      </c>
      <c r="FY673" s="785" t="str">
        <f t="shared" si="130"/>
        <v/>
      </c>
      <c r="FZ673" s="785" t="str">
        <f t="shared" si="131"/>
        <v/>
      </c>
      <c r="GA673" s="785" t="str">
        <f t="shared" si="132"/>
        <v/>
      </c>
      <c r="GB673" s="785" t="str">
        <f t="shared" si="133"/>
        <v/>
      </c>
      <c r="GC673" s="785" t="str">
        <f t="shared" si="134"/>
        <v/>
      </c>
      <c r="GD673" s="785" t="str">
        <f t="shared" si="135"/>
        <v/>
      </c>
      <c r="GE673" s="785" t="str">
        <f t="shared" si="136"/>
        <v/>
      </c>
      <c r="GF673" s="785" t="str">
        <f t="shared" si="137"/>
        <v/>
      </c>
      <c r="GG673" s="785" t="str">
        <f t="shared" si="138"/>
        <v/>
      </c>
      <c r="GH673" s="785" t="str">
        <f t="shared" si="139"/>
        <v/>
      </c>
      <c r="GI673" s="785" t="str">
        <f t="shared" si="140"/>
        <v/>
      </c>
      <c r="GJ673" s="785" t="str">
        <f t="shared" si="141"/>
        <v/>
      </c>
      <c r="GK673" s="785" t="str">
        <f t="shared" si="142"/>
        <v/>
      </c>
      <c r="GL673" s="785" t="str">
        <f t="shared" si="143"/>
        <v/>
      </c>
      <c r="GM673" s="785" t="str">
        <f t="shared" si="144"/>
        <v/>
      </c>
      <c r="GN673" s="785" t="str">
        <f t="shared" si="145"/>
        <v/>
      </c>
      <c r="GO673" s="786" t="str">
        <f t="shared" si="146"/>
        <v/>
      </c>
      <c r="GP673" s="786" t="str">
        <f t="shared" si="147"/>
        <v/>
      </c>
      <c r="GQ673" s="786" t="str">
        <f t="shared" si="148"/>
        <v/>
      </c>
      <c r="GR673" s="786" t="str">
        <f t="shared" si="149"/>
        <v/>
      </c>
      <c r="GS673" s="786" t="str">
        <f t="shared" si="150"/>
        <v/>
      </c>
      <c r="GT673" s="580" t="str">
        <f t="shared" si="151"/>
        <v/>
      </c>
      <c r="GU673" s="580" t="str">
        <f t="shared" si="152"/>
        <v/>
      </c>
      <c r="GV673" s="580" t="str">
        <f t="shared" si="153"/>
        <v/>
      </c>
      <c r="GW673" s="580" t="str">
        <f t="shared" si="154"/>
        <v/>
      </c>
      <c r="GX673" s="580" t="str">
        <f t="shared" si="155"/>
        <v/>
      </c>
      <c r="GY673" s="580" t="str">
        <f t="shared" si="156"/>
        <v/>
      </c>
      <c r="GZ673" s="580" t="str">
        <f t="shared" si="157"/>
        <v/>
      </c>
      <c r="HA673" s="580" t="str">
        <f t="shared" si="158"/>
        <v/>
      </c>
      <c r="HB673" s="580" t="str">
        <f t="shared" si="159"/>
        <v/>
      </c>
      <c r="HC673" s="580" t="str">
        <f t="shared" si="160"/>
        <v/>
      </c>
      <c r="HD673" s="580" t="str">
        <f t="shared" si="161"/>
        <v/>
      </c>
      <c r="HE673" s="580" t="str">
        <f t="shared" si="162"/>
        <v/>
      </c>
      <c r="HF673" s="580" t="str">
        <f t="shared" si="163"/>
        <v/>
      </c>
      <c r="HG673" s="580" t="str">
        <f t="shared" si="164"/>
        <v/>
      </c>
      <c r="HH673" s="580" t="str">
        <f t="shared" si="165"/>
        <v/>
      </c>
      <c r="HI673" s="580" t="str">
        <f t="shared" si="166"/>
        <v/>
      </c>
      <c r="HJ673" s="580" t="str">
        <f t="shared" si="167"/>
        <v/>
      </c>
      <c r="HK673" s="580" t="str">
        <f t="shared" si="168"/>
        <v/>
      </c>
      <c r="HL673" s="580" t="str">
        <f t="shared" si="169"/>
        <v/>
      </c>
      <c r="HM673" s="580" t="str">
        <f t="shared" si="170"/>
        <v/>
      </c>
    </row>
    <row r="674" spans="1:221" ht="13.15" customHeight="1">
      <c r="A674" s="888" t="str">
        <f t="shared" si="171"/>
        <v/>
      </c>
      <c r="B674" s="1054" t="str">
        <f>'Part VI-Revenues &amp; Expenses'!B40</f>
        <v>&lt;&lt;Select&gt;&gt;</v>
      </c>
      <c r="C674" s="1055">
        <f>'Part VI-Revenues &amp; Expenses'!C40</f>
        <v>0</v>
      </c>
      <c r="D674" s="1056">
        <f>'Part VI-Revenues &amp; Expenses'!D40</f>
        <v>0</v>
      </c>
      <c r="E674" s="1057">
        <f>'Part VI-Revenues &amp; Expenses'!E40</f>
        <v>0</v>
      </c>
      <c r="F674" s="1057">
        <f>'Part VI-Revenues &amp; Expenses'!F40</f>
        <v>0</v>
      </c>
      <c r="G674" s="1057">
        <f>'Part VI-Revenues &amp; Expenses'!G40</f>
        <v>0</v>
      </c>
      <c r="H674" s="1057">
        <f>'Part VI-Revenues &amp; Expenses'!H40</f>
        <v>0</v>
      </c>
      <c r="I674" s="1057">
        <f>'Part VI-Revenues &amp; Expenses'!I40</f>
        <v>0</v>
      </c>
      <c r="J674" s="818">
        <f>'Part VI-Revenues &amp; Expenses'!J40</f>
        <v>0</v>
      </c>
      <c r="K674" s="893">
        <f t="shared" si="205"/>
        <v>0</v>
      </c>
      <c r="L674" s="893">
        <f t="shared" si="0"/>
        <v>0</v>
      </c>
      <c r="M674" s="783">
        <f>'Part VI-Revenues &amp; Expenses'!M40</f>
        <v>0</v>
      </c>
      <c r="N674" s="783">
        <f>'Part VI-Revenues &amp; Expenses'!N40</f>
        <v>0</v>
      </c>
      <c r="O674" s="783">
        <f>'Part VI-Revenues &amp; Expenses'!O40</f>
        <v>0</v>
      </c>
      <c r="P674" s="894">
        <f t="shared" si="203"/>
        <v>0</v>
      </c>
      <c r="Q674" s="895" t="str">
        <f>'Part VI-Revenues &amp; Expenses'!Q40</f>
        <v/>
      </c>
      <c r="R674" s="894"/>
      <c r="S674" s="895"/>
      <c r="T674" s="2130"/>
      <c r="U674" s="2130"/>
      <c r="V674" s="580" t="str">
        <f t="shared" si="1"/>
        <v/>
      </c>
      <c r="W674" s="580" t="str">
        <f t="shared" si="2"/>
        <v/>
      </c>
      <c r="X674" s="580" t="str">
        <f t="shared" si="3"/>
        <v/>
      </c>
      <c r="Y674" s="580" t="str">
        <f t="shared" si="4"/>
        <v/>
      </c>
      <c r="Z674" s="580" t="str">
        <f t="shared" si="5"/>
        <v/>
      </c>
      <c r="AA674" s="580" t="str">
        <f t="shared" si="6"/>
        <v/>
      </c>
      <c r="AB674" s="580" t="str">
        <f t="shared" si="7"/>
        <v/>
      </c>
      <c r="AC674" s="580" t="str">
        <f t="shared" si="8"/>
        <v/>
      </c>
      <c r="AD674" s="580" t="str">
        <f t="shared" si="9"/>
        <v/>
      </c>
      <c r="AE674" s="580" t="str">
        <f t="shared" si="10"/>
        <v/>
      </c>
      <c r="AF674" s="580" t="str">
        <f t="shared" si="11"/>
        <v/>
      </c>
      <c r="AG674" s="580" t="str">
        <f t="shared" si="12"/>
        <v/>
      </c>
      <c r="AH674" s="580" t="str">
        <f t="shared" si="13"/>
        <v/>
      </c>
      <c r="AI674" s="580" t="str">
        <f t="shared" si="14"/>
        <v/>
      </c>
      <c r="AJ674" s="580" t="str">
        <f t="shared" si="15"/>
        <v/>
      </c>
      <c r="AK674" s="580" t="str">
        <f t="shared" si="16"/>
        <v/>
      </c>
      <c r="AL674" s="580" t="str">
        <f t="shared" si="17"/>
        <v/>
      </c>
      <c r="AM674" s="580" t="str">
        <f t="shared" si="18"/>
        <v/>
      </c>
      <c r="AN674" s="580" t="str">
        <f t="shared" si="19"/>
        <v/>
      </c>
      <c r="AO674" s="580" t="str">
        <f t="shared" si="20"/>
        <v/>
      </c>
      <c r="AP674" s="580" t="str">
        <f t="shared" si="173"/>
        <v/>
      </c>
      <c r="AQ674" s="580" t="str">
        <f t="shared" si="174"/>
        <v/>
      </c>
      <c r="AR674" s="580" t="str">
        <f t="shared" si="175"/>
        <v/>
      </c>
      <c r="AS674" s="580" t="str">
        <f t="shared" si="176"/>
        <v/>
      </c>
      <c r="AT674" s="580" t="str">
        <f t="shared" si="177"/>
        <v/>
      </c>
      <c r="AU674" s="580" t="str">
        <f t="shared" si="178"/>
        <v/>
      </c>
      <c r="AV674" s="580" t="str">
        <f t="shared" si="179"/>
        <v/>
      </c>
      <c r="AW674" s="580" t="str">
        <f t="shared" si="180"/>
        <v/>
      </c>
      <c r="AX674" s="580" t="str">
        <f t="shared" si="181"/>
        <v/>
      </c>
      <c r="AY674" s="580" t="str">
        <f t="shared" si="182"/>
        <v/>
      </c>
      <c r="AZ674" s="580" t="str">
        <f t="shared" si="183"/>
        <v/>
      </c>
      <c r="BA674" s="580" t="str">
        <f t="shared" si="184"/>
        <v/>
      </c>
      <c r="BB674" s="580" t="str">
        <f t="shared" si="185"/>
        <v/>
      </c>
      <c r="BC674" s="580" t="str">
        <f t="shared" si="186"/>
        <v/>
      </c>
      <c r="BD674" s="580" t="str">
        <f t="shared" si="187"/>
        <v/>
      </c>
      <c r="BE674" s="580" t="str">
        <f t="shared" si="188"/>
        <v/>
      </c>
      <c r="BF674" s="580" t="str">
        <f t="shared" si="189"/>
        <v/>
      </c>
      <c r="BG674" s="580" t="str">
        <f t="shared" si="190"/>
        <v/>
      </c>
      <c r="BH674" s="580" t="str">
        <f t="shared" si="191"/>
        <v/>
      </c>
      <c r="BI674" s="580" t="str">
        <f t="shared" si="192"/>
        <v/>
      </c>
      <c r="BJ674" s="580" t="str">
        <f t="shared" si="193"/>
        <v/>
      </c>
      <c r="BK674" s="580" t="str">
        <f t="shared" si="194"/>
        <v/>
      </c>
      <c r="BL674" s="580" t="str">
        <f t="shared" si="195"/>
        <v/>
      </c>
      <c r="BM674" s="580" t="str">
        <f t="shared" si="196"/>
        <v/>
      </c>
      <c r="BN674" s="580" t="str">
        <f t="shared" si="197"/>
        <v/>
      </c>
      <c r="BO674" s="580" t="str">
        <f t="shared" si="198"/>
        <v/>
      </c>
      <c r="BP674" s="580" t="str">
        <f t="shared" si="199"/>
        <v/>
      </c>
      <c r="BQ674" s="580" t="str">
        <f t="shared" si="200"/>
        <v/>
      </c>
      <c r="BR674" s="580" t="str">
        <f t="shared" si="201"/>
        <v/>
      </c>
      <c r="BS674" s="580" t="str">
        <f t="shared" si="202"/>
        <v/>
      </c>
      <c r="BT674" s="580" t="str">
        <f t="shared" si="21"/>
        <v/>
      </c>
      <c r="BU674" s="580" t="str">
        <f t="shared" si="22"/>
        <v/>
      </c>
      <c r="BV674" s="580" t="str">
        <f t="shared" si="23"/>
        <v/>
      </c>
      <c r="BW674" s="580" t="str">
        <f t="shared" si="24"/>
        <v/>
      </c>
      <c r="BX674" s="580" t="str">
        <f t="shared" si="25"/>
        <v/>
      </c>
      <c r="BY674" s="580" t="str">
        <f t="shared" si="26"/>
        <v/>
      </c>
      <c r="BZ674" s="580" t="str">
        <f t="shared" si="27"/>
        <v/>
      </c>
      <c r="CA674" s="580" t="str">
        <f t="shared" si="28"/>
        <v/>
      </c>
      <c r="CB674" s="580" t="str">
        <f t="shared" si="29"/>
        <v/>
      </c>
      <c r="CC674" s="580" t="str">
        <f t="shared" si="30"/>
        <v/>
      </c>
      <c r="CD674" s="580" t="str">
        <f t="shared" si="31"/>
        <v/>
      </c>
      <c r="CE674" s="580" t="str">
        <f t="shared" si="32"/>
        <v/>
      </c>
      <c r="CF674" s="580" t="str">
        <f t="shared" si="33"/>
        <v/>
      </c>
      <c r="CG674" s="580" t="str">
        <f t="shared" si="34"/>
        <v/>
      </c>
      <c r="CH674" s="580" t="str">
        <f t="shared" si="35"/>
        <v/>
      </c>
      <c r="CI674" s="580" t="str">
        <f t="shared" si="36"/>
        <v/>
      </c>
      <c r="CJ674" s="580" t="str">
        <f t="shared" si="37"/>
        <v/>
      </c>
      <c r="CK674" s="580" t="str">
        <f t="shared" si="38"/>
        <v/>
      </c>
      <c r="CL674" s="580" t="str">
        <f t="shared" si="39"/>
        <v/>
      </c>
      <c r="CM674" s="580" t="str">
        <f t="shared" si="40"/>
        <v/>
      </c>
      <c r="CN674" s="580" t="str">
        <f t="shared" si="41"/>
        <v/>
      </c>
      <c r="CO674" s="580" t="str">
        <f t="shared" si="42"/>
        <v/>
      </c>
      <c r="CP674" s="580" t="str">
        <f t="shared" si="43"/>
        <v/>
      </c>
      <c r="CQ674" s="580" t="str">
        <f t="shared" si="44"/>
        <v/>
      </c>
      <c r="CR674" s="580" t="str">
        <f t="shared" si="45"/>
        <v/>
      </c>
      <c r="CS674" s="580" t="str">
        <f t="shared" si="46"/>
        <v/>
      </c>
      <c r="CT674" s="580" t="str">
        <f t="shared" si="47"/>
        <v/>
      </c>
      <c r="CU674" s="580" t="str">
        <f t="shared" si="48"/>
        <v/>
      </c>
      <c r="CV674" s="580" t="str">
        <f t="shared" si="49"/>
        <v/>
      </c>
      <c r="CW674" s="580" t="str">
        <f t="shared" si="50"/>
        <v/>
      </c>
      <c r="CX674" s="580" t="str">
        <f t="shared" si="51"/>
        <v/>
      </c>
      <c r="CY674" s="580" t="str">
        <f t="shared" si="52"/>
        <v/>
      </c>
      <c r="CZ674" s="580" t="str">
        <f t="shared" si="53"/>
        <v/>
      </c>
      <c r="DA674" s="580" t="str">
        <f t="shared" si="54"/>
        <v/>
      </c>
      <c r="DB674" s="580" t="str">
        <f t="shared" si="55"/>
        <v/>
      </c>
      <c r="DC674" s="580" t="str">
        <f t="shared" si="56"/>
        <v/>
      </c>
      <c r="DD674" s="580" t="str">
        <f t="shared" si="57"/>
        <v/>
      </c>
      <c r="DE674" s="580" t="str">
        <f t="shared" si="58"/>
        <v/>
      </c>
      <c r="DF674" s="580" t="str">
        <f t="shared" si="59"/>
        <v/>
      </c>
      <c r="DG674" s="580" t="str">
        <f t="shared" si="60"/>
        <v/>
      </c>
      <c r="DH674" s="580" t="str">
        <f t="shared" si="61"/>
        <v/>
      </c>
      <c r="DI674" s="580" t="str">
        <f t="shared" si="62"/>
        <v/>
      </c>
      <c r="DJ674" s="580" t="str">
        <f t="shared" si="63"/>
        <v/>
      </c>
      <c r="DK674" s="580" t="str">
        <f t="shared" si="64"/>
        <v/>
      </c>
      <c r="DL674" s="580" t="str">
        <f t="shared" si="65"/>
        <v/>
      </c>
      <c r="DM674" s="580" t="str">
        <f t="shared" si="66"/>
        <v/>
      </c>
      <c r="DN674" s="580" t="str">
        <f t="shared" si="67"/>
        <v/>
      </c>
      <c r="DO674" s="580" t="str">
        <f t="shared" si="68"/>
        <v/>
      </c>
      <c r="DP674" s="580" t="str">
        <f t="shared" si="69"/>
        <v/>
      </c>
      <c r="DQ674" s="580" t="str">
        <f t="shared" si="70"/>
        <v/>
      </c>
      <c r="DR674" s="580" t="str">
        <f t="shared" si="71"/>
        <v/>
      </c>
      <c r="DS674" s="580" t="str">
        <f t="shared" si="72"/>
        <v/>
      </c>
      <c r="DT674" s="580" t="str">
        <f t="shared" si="73"/>
        <v/>
      </c>
      <c r="DU674" s="580" t="str">
        <f t="shared" si="74"/>
        <v/>
      </c>
      <c r="DV674" s="580" t="str">
        <f t="shared" si="75"/>
        <v/>
      </c>
      <c r="DW674" s="580" t="str">
        <f t="shared" si="76"/>
        <v/>
      </c>
      <c r="DX674" s="580" t="str">
        <f t="shared" si="77"/>
        <v/>
      </c>
      <c r="DY674" s="580" t="str">
        <f t="shared" si="78"/>
        <v/>
      </c>
      <c r="DZ674" s="580" t="str">
        <f t="shared" si="79"/>
        <v/>
      </c>
      <c r="EA674" s="580" t="str">
        <f t="shared" si="80"/>
        <v/>
      </c>
      <c r="EB674" s="580" t="str">
        <f t="shared" si="81"/>
        <v/>
      </c>
      <c r="EC674" s="580" t="str">
        <f t="shared" si="82"/>
        <v/>
      </c>
      <c r="ED674" s="580" t="str">
        <f t="shared" si="83"/>
        <v/>
      </c>
      <c r="EE674" s="580" t="str">
        <f t="shared" si="84"/>
        <v/>
      </c>
      <c r="EF674" s="580" t="str">
        <f t="shared" si="85"/>
        <v/>
      </c>
      <c r="EG674" s="580" t="str">
        <f t="shared" si="86"/>
        <v/>
      </c>
      <c r="EH674" s="580" t="str">
        <f t="shared" si="87"/>
        <v/>
      </c>
      <c r="EI674" s="580" t="str">
        <f t="shared" si="88"/>
        <v/>
      </c>
      <c r="EJ674" s="580" t="str">
        <f t="shared" si="89"/>
        <v/>
      </c>
      <c r="EK674" s="580" t="str">
        <f t="shared" si="90"/>
        <v/>
      </c>
      <c r="EL674" s="580" t="str">
        <f t="shared" si="91"/>
        <v/>
      </c>
      <c r="EM674" s="580" t="str">
        <f t="shared" si="92"/>
        <v/>
      </c>
      <c r="EN674" s="580" t="str">
        <f t="shared" si="93"/>
        <v/>
      </c>
      <c r="EO674" s="580" t="str">
        <f t="shared" si="94"/>
        <v/>
      </c>
      <c r="EP674" s="580" t="str">
        <f t="shared" si="95"/>
        <v/>
      </c>
      <c r="EQ674" s="580" t="str">
        <f t="shared" si="96"/>
        <v/>
      </c>
      <c r="ER674" s="580" t="str">
        <f t="shared" si="97"/>
        <v/>
      </c>
      <c r="ES674" s="580" t="str">
        <f t="shared" si="98"/>
        <v/>
      </c>
      <c r="ET674" s="580" t="str">
        <f t="shared" si="99"/>
        <v/>
      </c>
      <c r="EU674" s="580" t="str">
        <f t="shared" si="100"/>
        <v/>
      </c>
      <c r="EV674" s="785" t="str">
        <f t="shared" si="101"/>
        <v/>
      </c>
      <c r="EW674" s="785" t="str">
        <f t="shared" si="102"/>
        <v/>
      </c>
      <c r="EX674" s="785" t="str">
        <f t="shared" si="103"/>
        <v/>
      </c>
      <c r="EY674" s="785" t="str">
        <f t="shared" si="104"/>
        <v/>
      </c>
      <c r="EZ674" s="785" t="str">
        <f t="shared" si="105"/>
        <v/>
      </c>
      <c r="FA674" s="785" t="str">
        <f t="shared" si="106"/>
        <v/>
      </c>
      <c r="FB674" s="785" t="str">
        <f t="shared" si="107"/>
        <v/>
      </c>
      <c r="FC674" s="785" t="str">
        <f t="shared" si="108"/>
        <v/>
      </c>
      <c r="FD674" s="785" t="str">
        <f t="shared" si="109"/>
        <v/>
      </c>
      <c r="FE674" s="785" t="str">
        <f t="shared" si="110"/>
        <v/>
      </c>
      <c r="FF674" s="785" t="str">
        <f t="shared" si="111"/>
        <v/>
      </c>
      <c r="FG674" s="785" t="str">
        <f t="shared" si="112"/>
        <v/>
      </c>
      <c r="FH674" s="785" t="str">
        <f t="shared" si="113"/>
        <v/>
      </c>
      <c r="FI674" s="785" t="str">
        <f t="shared" si="114"/>
        <v/>
      </c>
      <c r="FJ674" s="785" t="str">
        <f t="shared" si="115"/>
        <v/>
      </c>
      <c r="FK674" s="785" t="str">
        <f t="shared" si="116"/>
        <v/>
      </c>
      <c r="FL674" s="785" t="str">
        <f t="shared" si="117"/>
        <v/>
      </c>
      <c r="FM674" s="785" t="str">
        <f t="shared" si="118"/>
        <v/>
      </c>
      <c r="FN674" s="785" t="str">
        <f t="shared" si="119"/>
        <v/>
      </c>
      <c r="FO674" s="785" t="str">
        <f t="shared" si="120"/>
        <v/>
      </c>
      <c r="FP674" s="785" t="str">
        <f t="shared" si="121"/>
        <v/>
      </c>
      <c r="FQ674" s="785" t="str">
        <f t="shared" si="122"/>
        <v/>
      </c>
      <c r="FR674" s="785" t="str">
        <f t="shared" si="123"/>
        <v/>
      </c>
      <c r="FS674" s="785" t="str">
        <f t="shared" si="124"/>
        <v/>
      </c>
      <c r="FT674" s="785" t="str">
        <f t="shared" si="125"/>
        <v/>
      </c>
      <c r="FU674" s="785" t="str">
        <f t="shared" si="126"/>
        <v/>
      </c>
      <c r="FV674" s="785" t="str">
        <f t="shared" si="127"/>
        <v/>
      </c>
      <c r="FW674" s="785" t="str">
        <f t="shared" si="128"/>
        <v/>
      </c>
      <c r="FX674" s="785" t="str">
        <f t="shared" si="129"/>
        <v/>
      </c>
      <c r="FY674" s="785" t="str">
        <f t="shared" si="130"/>
        <v/>
      </c>
      <c r="FZ674" s="785" t="str">
        <f t="shared" si="131"/>
        <v/>
      </c>
      <c r="GA674" s="785" t="str">
        <f t="shared" si="132"/>
        <v/>
      </c>
      <c r="GB674" s="785" t="str">
        <f t="shared" si="133"/>
        <v/>
      </c>
      <c r="GC674" s="785" t="str">
        <f t="shared" si="134"/>
        <v/>
      </c>
      <c r="GD674" s="785" t="str">
        <f t="shared" si="135"/>
        <v/>
      </c>
      <c r="GE674" s="785" t="str">
        <f t="shared" si="136"/>
        <v/>
      </c>
      <c r="GF674" s="785" t="str">
        <f t="shared" si="137"/>
        <v/>
      </c>
      <c r="GG674" s="785" t="str">
        <f t="shared" si="138"/>
        <v/>
      </c>
      <c r="GH674" s="785" t="str">
        <f t="shared" si="139"/>
        <v/>
      </c>
      <c r="GI674" s="785" t="str">
        <f t="shared" si="140"/>
        <v/>
      </c>
      <c r="GJ674" s="785" t="str">
        <f t="shared" si="141"/>
        <v/>
      </c>
      <c r="GK674" s="785" t="str">
        <f t="shared" si="142"/>
        <v/>
      </c>
      <c r="GL674" s="785" t="str">
        <f t="shared" si="143"/>
        <v/>
      </c>
      <c r="GM674" s="785" t="str">
        <f t="shared" si="144"/>
        <v/>
      </c>
      <c r="GN674" s="785" t="str">
        <f t="shared" si="145"/>
        <v/>
      </c>
      <c r="GO674" s="786" t="str">
        <f t="shared" si="146"/>
        <v/>
      </c>
      <c r="GP674" s="786" t="str">
        <f t="shared" si="147"/>
        <v/>
      </c>
      <c r="GQ674" s="786" t="str">
        <f t="shared" si="148"/>
        <v/>
      </c>
      <c r="GR674" s="786" t="str">
        <f t="shared" si="149"/>
        <v/>
      </c>
      <c r="GS674" s="786" t="str">
        <f t="shared" si="150"/>
        <v/>
      </c>
      <c r="GT674" s="580" t="str">
        <f t="shared" si="151"/>
        <v/>
      </c>
      <c r="GU674" s="580" t="str">
        <f t="shared" si="152"/>
        <v/>
      </c>
      <c r="GV674" s="580" t="str">
        <f t="shared" si="153"/>
        <v/>
      </c>
      <c r="GW674" s="580" t="str">
        <f t="shared" si="154"/>
        <v/>
      </c>
      <c r="GX674" s="580" t="str">
        <f t="shared" si="155"/>
        <v/>
      </c>
      <c r="GY674" s="580" t="str">
        <f t="shared" si="156"/>
        <v/>
      </c>
      <c r="GZ674" s="580" t="str">
        <f t="shared" si="157"/>
        <v/>
      </c>
      <c r="HA674" s="580" t="str">
        <f t="shared" si="158"/>
        <v/>
      </c>
      <c r="HB674" s="580" t="str">
        <f t="shared" si="159"/>
        <v/>
      </c>
      <c r="HC674" s="580" t="str">
        <f t="shared" si="160"/>
        <v/>
      </c>
      <c r="HD674" s="580" t="str">
        <f t="shared" si="161"/>
        <v/>
      </c>
      <c r="HE674" s="580" t="str">
        <f t="shared" si="162"/>
        <v/>
      </c>
      <c r="HF674" s="580" t="str">
        <f t="shared" si="163"/>
        <v/>
      </c>
      <c r="HG674" s="580" t="str">
        <f t="shared" si="164"/>
        <v/>
      </c>
      <c r="HH674" s="580" t="str">
        <f t="shared" si="165"/>
        <v/>
      </c>
      <c r="HI674" s="580" t="str">
        <f t="shared" si="166"/>
        <v/>
      </c>
      <c r="HJ674" s="580" t="str">
        <f t="shared" si="167"/>
        <v/>
      </c>
      <c r="HK674" s="580" t="str">
        <f t="shared" si="168"/>
        <v/>
      </c>
      <c r="HL674" s="580" t="str">
        <f t="shared" si="169"/>
        <v/>
      </c>
      <c r="HM674" s="580" t="str">
        <f t="shared" si="170"/>
        <v/>
      </c>
    </row>
    <row r="675" spans="1:221" ht="13.15" customHeight="1">
      <c r="A675" s="888" t="str">
        <f t="shared" si="171"/>
        <v/>
      </c>
      <c r="B675" s="1054" t="str">
        <f>'Part VI-Revenues &amp; Expenses'!B41</f>
        <v>&lt;&lt;Select&gt;&gt;</v>
      </c>
      <c r="C675" s="1055">
        <f>'Part VI-Revenues &amp; Expenses'!C41</f>
        <v>0</v>
      </c>
      <c r="D675" s="1056">
        <f>'Part VI-Revenues &amp; Expenses'!D41</f>
        <v>0</v>
      </c>
      <c r="E675" s="1057">
        <f>'Part VI-Revenues &amp; Expenses'!E41</f>
        <v>0</v>
      </c>
      <c r="F675" s="1057">
        <f>'Part VI-Revenues &amp; Expenses'!F41</f>
        <v>0</v>
      </c>
      <c r="G675" s="1057">
        <f>'Part VI-Revenues &amp; Expenses'!G41</f>
        <v>0</v>
      </c>
      <c r="H675" s="1057">
        <f>'Part VI-Revenues &amp; Expenses'!H41</f>
        <v>0</v>
      </c>
      <c r="I675" s="1057">
        <f>'Part VI-Revenues &amp; Expenses'!I41</f>
        <v>0</v>
      </c>
      <c r="J675" s="818">
        <f>'Part VI-Revenues &amp; Expenses'!J41</f>
        <v>0</v>
      </c>
      <c r="K675" s="893">
        <f t="shared" si="205"/>
        <v>0</v>
      </c>
      <c r="L675" s="893">
        <f t="shared" si="0"/>
        <v>0</v>
      </c>
      <c r="M675" s="783">
        <f>'Part VI-Revenues &amp; Expenses'!M41</f>
        <v>0</v>
      </c>
      <c r="N675" s="783">
        <f>'Part VI-Revenues &amp; Expenses'!N41</f>
        <v>0</v>
      </c>
      <c r="O675" s="783">
        <f>'Part VI-Revenues &amp; Expenses'!O41</f>
        <v>0</v>
      </c>
      <c r="P675" s="894">
        <f t="shared" si="203"/>
        <v>0</v>
      </c>
      <c r="Q675" s="895" t="str">
        <f>'Part VI-Revenues &amp; Expenses'!Q41</f>
        <v/>
      </c>
      <c r="R675" s="894"/>
      <c r="S675" s="895"/>
      <c r="T675" s="2130"/>
      <c r="U675" s="2130"/>
      <c r="V675" s="580" t="str">
        <f t="shared" si="1"/>
        <v/>
      </c>
      <c r="W675" s="580" t="str">
        <f t="shared" si="2"/>
        <v/>
      </c>
      <c r="X675" s="580" t="str">
        <f t="shared" si="3"/>
        <v/>
      </c>
      <c r="Y675" s="580" t="str">
        <f t="shared" si="4"/>
        <v/>
      </c>
      <c r="Z675" s="580" t="str">
        <f t="shared" si="5"/>
        <v/>
      </c>
      <c r="AA675" s="580" t="str">
        <f t="shared" si="6"/>
        <v/>
      </c>
      <c r="AB675" s="580" t="str">
        <f t="shared" si="7"/>
        <v/>
      </c>
      <c r="AC675" s="580" t="str">
        <f t="shared" si="8"/>
        <v/>
      </c>
      <c r="AD675" s="580" t="str">
        <f t="shared" si="9"/>
        <v/>
      </c>
      <c r="AE675" s="580" t="str">
        <f t="shared" si="10"/>
        <v/>
      </c>
      <c r="AF675" s="580" t="str">
        <f t="shared" si="11"/>
        <v/>
      </c>
      <c r="AG675" s="580" t="str">
        <f t="shared" si="12"/>
        <v/>
      </c>
      <c r="AH675" s="580" t="str">
        <f t="shared" si="13"/>
        <v/>
      </c>
      <c r="AI675" s="580" t="str">
        <f t="shared" si="14"/>
        <v/>
      </c>
      <c r="AJ675" s="580" t="str">
        <f t="shared" si="15"/>
        <v/>
      </c>
      <c r="AK675" s="580" t="str">
        <f t="shared" si="16"/>
        <v/>
      </c>
      <c r="AL675" s="580" t="str">
        <f t="shared" si="17"/>
        <v/>
      </c>
      <c r="AM675" s="580" t="str">
        <f t="shared" si="18"/>
        <v/>
      </c>
      <c r="AN675" s="580" t="str">
        <f t="shared" si="19"/>
        <v/>
      </c>
      <c r="AO675" s="580" t="str">
        <f t="shared" si="20"/>
        <v/>
      </c>
      <c r="AP675" s="580" t="str">
        <f t="shared" si="173"/>
        <v/>
      </c>
      <c r="AQ675" s="580" t="str">
        <f t="shared" si="174"/>
        <v/>
      </c>
      <c r="AR675" s="580" t="str">
        <f t="shared" si="175"/>
        <v/>
      </c>
      <c r="AS675" s="580" t="str">
        <f t="shared" si="176"/>
        <v/>
      </c>
      <c r="AT675" s="580" t="str">
        <f t="shared" si="177"/>
        <v/>
      </c>
      <c r="AU675" s="580" t="str">
        <f t="shared" si="178"/>
        <v/>
      </c>
      <c r="AV675" s="580" t="str">
        <f t="shared" si="179"/>
        <v/>
      </c>
      <c r="AW675" s="580" t="str">
        <f t="shared" si="180"/>
        <v/>
      </c>
      <c r="AX675" s="580" t="str">
        <f t="shared" si="181"/>
        <v/>
      </c>
      <c r="AY675" s="580" t="str">
        <f t="shared" si="182"/>
        <v/>
      </c>
      <c r="AZ675" s="580" t="str">
        <f t="shared" si="183"/>
        <v/>
      </c>
      <c r="BA675" s="580" t="str">
        <f t="shared" si="184"/>
        <v/>
      </c>
      <c r="BB675" s="580" t="str">
        <f t="shared" si="185"/>
        <v/>
      </c>
      <c r="BC675" s="580" t="str">
        <f t="shared" si="186"/>
        <v/>
      </c>
      <c r="BD675" s="580" t="str">
        <f t="shared" si="187"/>
        <v/>
      </c>
      <c r="BE675" s="580" t="str">
        <f t="shared" si="188"/>
        <v/>
      </c>
      <c r="BF675" s="580" t="str">
        <f t="shared" si="189"/>
        <v/>
      </c>
      <c r="BG675" s="580" t="str">
        <f t="shared" si="190"/>
        <v/>
      </c>
      <c r="BH675" s="580" t="str">
        <f t="shared" si="191"/>
        <v/>
      </c>
      <c r="BI675" s="580" t="str">
        <f t="shared" si="192"/>
        <v/>
      </c>
      <c r="BJ675" s="580" t="str">
        <f t="shared" si="193"/>
        <v/>
      </c>
      <c r="BK675" s="580" t="str">
        <f t="shared" si="194"/>
        <v/>
      </c>
      <c r="BL675" s="580" t="str">
        <f t="shared" si="195"/>
        <v/>
      </c>
      <c r="BM675" s="580" t="str">
        <f t="shared" si="196"/>
        <v/>
      </c>
      <c r="BN675" s="580" t="str">
        <f t="shared" si="197"/>
        <v/>
      </c>
      <c r="BO675" s="580" t="str">
        <f t="shared" si="198"/>
        <v/>
      </c>
      <c r="BP675" s="580" t="str">
        <f t="shared" si="199"/>
        <v/>
      </c>
      <c r="BQ675" s="580" t="str">
        <f t="shared" si="200"/>
        <v/>
      </c>
      <c r="BR675" s="580" t="str">
        <f t="shared" si="201"/>
        <v/>
      </c>
      <c r="BS675" s="580" t="str">
        <f t="shared" si="202"/>
        <v/>
      </c>
      <c r="BT675" s="580" t="str">
        <f t="shared" si="21"/>
        <v/>
      </c>
      <c r="BU675" s="580" t="str">
        <f t="shared" si="22"/>
        <v/>
      </c>
      <c r="BV675" s="580" t="str">
        <f t="shared" si="23"/>
        <v/>
      </c>
      <c r="BW675" s="580" t="str">
        <f t="shared" si="24"/>
        <v/>
      </c>
      <c r="BX675" s="580" t="str">
        <f t="shared" si="25"/>
        <v/>
      </c>
      <c r="BY675" s="580" t="str">
        <f t="shared" si="26"/>
        <v/>
      </c>
      <c r="BZ675" s="580" t="str">
        <f t="shared" si="27"/>
        <v/>
      </c>
      <c r="CA675" s="580" t="str">
        <f t="shared" si="28"/>
        <v/>
      </c>
      <c r="CB675" s="580" t="str">
        <f t="shared" si="29"/>
        <v/>
      </c>
      <c r="CC675" s="580" t="str">
        <f t="shared" si="30"/>
        <v/>
      </c>
      <c r="CD675" s="580" t="str">
        <f t="shared" si="31"/>
        <v/>
      </c>
      <c r="CE675" s="580" t="str">
        <f t="shared" si="32"/>
        <v/>
      </c>
      <c r="CF675" s="580" t="str">
        <f t="shared" si="33"/>
        <v/>
      </c>
      <c r="CG675" s="580" t="str">
        <f t="shared" si="34"/>
        <v/>
      </c>
      <c r="CH675" s="580" t="str">
        <f t="shared" si="35"/>
        <v/>
      </c>
      <c r="CI675" s="580" t="str">
        <f t="shared" si="36"/>
        <v/>
      </c>
      <c r="CJ675" s="580" t="str">
        <f t="shared" si="37"/>
        <v/>
      </c>
      <c r="CK675" s="580" t="str">
        <f t="shared" si="38"/>
        <v/>
      </c>
      <c r="CL675" s="580" t="str">
        <f t="shared" si="39"/>
        <v/>
      </c>
      <c r="CM675" s="580" t="str">
        <f t="shared" si="40"/>
        <v/>
      </c>
      <c r="CN675" s="580" t="str">
        <f t="shared" si="41"/>
        <v/>
      </c>
      <c r="CO675" s="580" t="str">
        <f t="shared" si="42"/>
        <v/>
      </c>
      <c r="CP675" s="580" t="str">
        <f t="shared" si="43"/>
        <v/>
      </c>
      <c r="CQ675" s="580" t="str">
        <f t="shared" si="44"/>
        <v/>
      </c>
      <c r="CR675" s="580" t="str">
        <f t="shared" si="45"/>
        <v/>
      </c>
      <c r="CS675" s="580" t="str">
        <f t="shared" si="46"/>
        <v/>
      </c>
      <c r="CT675" s="580" t="str">
        <f t="shared" si="47"/>
        <v/>
      </c>
      <c r="CU675" s="580" t="str">
        <f t="shared" si="48"/>
        <v/>
      </c>
      <c r="CV675" s="580" t="str">
        <f t="shared" si="49"/>
        <v/>
      </c>
      <c r="CW675" s="580" t="str">
        <f t="shared" si="50"/>
        <v/>
      </c>
      <c r="CX675" s="580" t="str">
        <f t="shared" si="51"/>
        <v/>
      </c>
      <c r="CY675" s="580" t="str">
        <f t="shared" si="52"/>
        <v/>
      </c>
      <c r="CZ675" s="580" t="str">
        <f t="shared" si="53"/>
        <v/>
      </c>
      <c r="DA675" s="580" t="str">
        <f t="shared" si="54"/>
        <v/>
      </c>
      <c r="DB675" s="580" t="str">
        <f t="shared" si="55"/>
        <v/>
      </c>
      <c r="DC675" s="580" t="str">
        <f t="shared" si="56"/>
        <v/>
      </c>
      <c r="DD675" s="580" t="str">
        <f t="shared" si="57"/>
        <v/>
      </c>
      <c r="DE675" s="580" t="str">
        <f t="shared" si="58"/>
        <v/>
      </c>
      <c r="DF675" s="580" t="str">
        <f t="shared" si="59"/>
        <v/>
      </c>
      <c r="DG675" s="580" t="str">
        <f t="shared" si="60"/>
        <v/>
      </c>
      <c r="DH675" s="580" t="str">
        <f t="shared" si="61"/>
        <v/>
      </c>
      <c r="DI675" s="580" t="str">
        <f t="shared" si="62"/>
        <v/>
      </c>
      <c r="DJ675" s="580" t="str">
        <f t="shared" si="63"/>
        <v/>
      </c>
      <c r="DK675" s="580" t="str">
        <f t="shared" si="64"/>
        <v/>
      </c>
      <c r="DL675" s="580" t="str">
        <f t="shared" si="65"/>
        <v/>
      </c>
      <c r="DM675" s="580" t="str">
        <f t="shared" si="66"/>
        <v/>
      </c>
      <c r="DN675" s="580" t="str">
        <f t="shared" si="67"/>
        <v/>
      </c>
      <c r="DO675" s="580" t="str">
        <f t="shared" si="68"/>
        <v/>
      </c>
      <c r="DP675" s="580" t="str">
        <f t="shared" si="69"/>
        <v/>
      </c>
      <c r="DQ675" s="580" t="str">
        <f t="shared" si="70"/>
        <v/>
      </c>
      <c r="DR675" s="580" t="str">
        <f t="shared" si="71"/>
        <v/>
      </c>
      <c r="DS675" s="580" t="str">
        <f t="shared" si="72"/>
        <v/>
      </c>
      <c r="DT675" s="580" t="str">
        <f t="shared" si="73"/>
        <v/>
      </c>
      <c r="DU675" s="580" t="str">
        <f t="shared" si="74"/>
        <v/>
      </c>
      <c r="DV675" s="580" t="str">
        <f t="shared" si="75"/>
        <v/>
      </c>
      <c r="DW675" s="580" t="str">
        <f t="shared" si="76"/>
        <v/>
      </c>
      <c r="DX675" s="580" t="str">
        <f t="shared" si="77"/>
        <v/>
      </c>
      <c r="DY675" s="580" t="str">
        <f t="shared" si="78"/>
        <v/>
      </c>
      <c r="DZ675" s="580" t="str">
        <f t="shared" si="79"/>
        <v/>
      </c>
      <c r="EA675" s="580" t="str">
        <f t="shared" si="80"/>
        <v/>
      </c>
      <c r="EB675" s="580" t="str">
        <f t="shared" si="81"/>
        <v/>
      </c>
      <c r="EC675" s="580" t="str">
        <f t="shared" si="82"/>
        <v/>
      </c>
      <c r="ED675" s="580" t="str">
        <f t="shared" si="83"/>
        <v/>
      </c>
      <c r="EE675" s="580" t="str">
        <f t="shared" si="84"/>
        <v/>
      </c>
      <c r="EF675" s="580" t="str">
        <f t="shared" si="85"/>
        <v/>
      </c>
      <c r="EG675" s="580" t="str">
        <f t="shared" si="86"/>
        <v/>
      </c>
      <c r="EH675" s="580" t="str">
        <f t="shared" si="87"/>
        <v/>
      </c>
      <c r="EI675" s="580" t="str">
        <f t="shared" si="88"/>
        <v/>
      </c>
      <c r="EJ675" s="580" t="str">
        <f t="shared" si="89"/>
        <v/>
      </c>
      <c r="EK675" s="580" t="str">
        <f t="shared" si="90"/>
        <v/>
      </c>
      <c r="EL675" s="580" t="str">
        <f t="shared" si="91"/>
        <v/>
      </c>
      <c r="EM675" s="580" t="str">
        <f t="shared" si="92"/>
        <v/>
      </c>
      <c r="EN675" s="580" t="str">
        <f t="shared" si="93"/>
        <v/>
      </c>
      <c r="EO675" s="580" t="str">
        <f t="shared" si="94"/>
        <v/>
      </c>
      <c r="EP675" s="580" t="str">
        <f t="shared" si="95"/>
        <v/>
      </c>
      <c r="EQ675" s="580" t="str">
        <f t="shared" si="96"/>
        <v/>
      </c>
      <c r="ER675" s="580" t="str">
        <f t="shared" si="97"/>
        <v/>
      </c>
      <c r="ES675" s="580" t="str">
        <f t="shared" si="98"/>
        <v/>
      </c>
      <c r="ET675" s="580" t="str">
        <f t="shared" si="99"/>
        <v/>
      </c>
      <c r="EU675" s="580" t="str">
        <f t="shared" si="100"/>
        <v/>
      </c>
      <c r="EV675" s="785" t="str">
        <f t="shared" si="101"/>
        <v/>
      </c>
      <c r="EW675" s="785" t="str">
        <f t="shared" si="102"/>
        <v/>
      </c>
      <c r="EX675" s="785" t="str">
        <f t="shared" si="103"/>
        <v/>
      </c>
      <c r="EY675" s="785" t="str">
        <f t="shared" si="104"/>
        <v/>
      </c>
      <c r="EZ675" s="785" t="str">
        <f t="shared" si="105"/>
        <v/>
      </c>
      <c r="FA675" s="785" t="str">
        <f t="shared" si="106"/>
        <v/>
      </c>
      <c r="FB675" s="785" t="str">
        <f t="shared" si="107"/>
        <v/>
      </c>
      <c r="FC675" s="785" t="str">
        <f t="shared" si="108"/>
        <v/>
      </c>
      <c r="FD675" s="785" t="str">
        <f t="shared" si="109"/>
        <v/>
      </c>
      <c r="FE675" s="785" t="str">
        <f t="shared" si="110"/>
        <v/>
      </c>
      <c r="FF675" s="785" t="str">
        <f t="shared" si="111"/>
        <v/>
      </c>
      <c r="FG675" s="785" t="str">
        <f t="shared" si="112"/>
        <v/>
      </c>
      <c r="FH675" s="785" t="str">
        <f t="shared" si="113"/>
        <v/>
      </c>
      <c r="FI675" s="785" t="str">
        <f t="shared" si="114"/>
        <v/>
      </c>
      <c r="FJ675" s="785" t="str">
        <f t="shared" si="115"/>
        <v/>
      </c>
      <c r="FK675" s="785" t="str">
        <f t="shared" si="116"/>
        <v/>
      </c>
      <c r="FL675" s="785" t="str">
        <f t="shared" si="117"/>
        <v/>
      </c>
      <c r="FM675" s="785" t="str">
        <f t="shared" si="118"/>
        <v/>
      </c>
      <c r="FN675" s="785" t="str">
        <f t="shared" si="119"/>
        <v/>
      </c>
      <c r="FO675" s="785" t="str">
        <f t="shared" si="120"/>
        <v/>
      </c>
      <c r="FP675" s="785" t="str">
        <f t="shared" si="121"/>
        <v/>
      </c>
      <c r="FQ675" s="785" t="str">
        <f t="shared" si="122"/>
        <v/>
      </c>
      <c r="FR675" s="785" t="str">
        <f t="shared" si="123"/>
        <v/>
      </c>
      <c r="FS675" s="785" t="str">
        <f t="shared" si="124"/>
        <v/>
      </c>
      <c r="FT675" s="785" t="str">
        <f t="shared" si="125"/>
        <v/>
      </c>
      <c r="FU675" s="785" t="str">
        <f t="shared" si="126"/>
        <v/>
      </c>
      <c r="FV675" s="785" t="str">
        <f t="shared" si="127"/>
        <v/>
      </c>
      <c r="FW675" s="785" t="str">
        <f t="shared" si="128"/>
        <v/>
      </c>
      <c r="FX675" s="785" t="str">
        <f t="shared" si="129"/>
        <v/>
      </c>
      <c r="FY675" s="785" t="str">
        <f t="shared" si="130"/>
        <v/>
      </c>
      <c r="FZ675" s="785" t="str">
        <f t="shared" si="131"/>
        <v/>
      </c>
      <c r="GA675" s="785" t="str">
        <f t="shared" si="132"/>
        <v/>
      </c>
      <c r="GB675" s="785" t="str">
        <f t="shared" si="133"/>
        <v/>
      </c>
      <c r="GC675" s="785" t="str">
        <f t="shared" si="134"/>
        <v/>
      </c>
      <c r="GD675" s="785" t="str">
        <f t="shared" si="135"/>
        <v/>
      </c>
      <c r="GE675" s="785" t="str">
        <f t="shared" si="136"/>
        <v/>
      </c>
      <c r="GF675" s="785" t="str">
        <f t="shared" si="137"/>
        <v/>
      </c>
      <c r="GG675" s="785" t="str">
        <f t="shared" si="138"/>
        <v/>
      </c>
      <c r="GH675" s="785" t="str">
        <f t="shared" si="139"/>
        <v/>
      </c>
      <c r="GI675" s="785" t="str">
        <f t="shared" si="140"/>
        <v/>
      </c>
      <c r="GJ675" s="785" t="str">
        <f t="shared" si="141"/>
        <v/>
      </c>
      <c r="GK675" s="785" t="str">
        <f t="shared" si="142"/>
        <v/>
      </c>
      <c r="GL675" s="785" t="str">
        <f t="shared" si="143"/>
        <v/>
      </c>
      <c r="GM675" s="785" t="str">
        <f t="shared" si="144"/>
        <v/>
      </c>
      <c r="GN675" s="785" t="str">
        <f t="shared" si="145"/>
        <v/>
      </c>
      <c r="GO675" s="786" t="str">
        <f t="shared" si="146"/>
        <v/>
      </c>
      <c r="GP675" s="786" t="str">
        <f t="shared" si="147"/>
        <v/>
      </c>
      <c r="GQ675" s="786" t="str">
        <f t="shared" si="148"/>
        <v/>
      </c>
      <c r="GR675" s="786" t="str">
        <f t="shared" si="149"/>
        <v/>
      </c>
      <c r="GS675" s="786" t="str">
        <f t="shared" si="150"/>
        <v/>
      </c>
      <c r="GT675" s="580" t="str">
        <f t="shared" si="151"/>
        <v/>
      </c>
      <c r="GU675" s="580" t="str">
        <f t="shared" si="152"/>
        <v/>
      </c>
      <c r="GV675" s="580" t="str">
        <f t="shared" si="153"/>
        <v/>
      </c>
      <c r="GW675" s="580" t="str">
        <f t="shared" si="154"/>
        <v/>
      </c>
      <c r="GX675" s="580" t="str">
        <f t="shared" si="155"/>
        <v/>
      </c>
      <c r="GY675" s="580" t="str">
        <f t="shared" si="156"/>
        <v/>
      </c>
      <c r="GZ675" s="580" t="str">
        <f t="shared" si="157"/>
        <v/>
      </c>
      <c r="HA675" s="580" t="str">
        <f t="shared" si="158"/>
        <v/>
      </c>
      <c r="HB675" s="580" t="str">
        <f t="shared" si="159"/>
        <v/>
      </c>
      <c r="HC675" s="580" t="str">
        <f t="shared" si="160"/>
        <v/>
      </c>
      <c r="HD675" s="580" t="str">
        <f t="shared" si="161"/>
        <v/>
      </c>
      <c r="HE675" s="580" t="str">
        <f t="shared" si="162"/>
        <v/>
      </c>
      <c r="HF675" s="580" t="str">
        <f t="shared" si="163"/>
        <v/>
      </c>
      <c r="HG675" s="580" t="str">
        <f t="shared" si="164"/>
        <v/>
      </c>
      <c r="HH675" s="580" t="str">
        <f t="shared" si="165"/>
        <v/>
      </c>
      <c r="HI675" s="580" t="str">
        <f t="shared" si="166"/>
        <v/>
      </c>
      <c r="HJ675" s="580" t="str">
        <f t="shared" si="167"/>
        <v/>
      </c>
      <c r="HK675" s="580" t="str">
        <f t="shared" si="168"/>
        <v/>
      </c>
      <c r="HL675" s="580" t="str">
        <f t="shared" si="169"/>
        <v/>
      </c>
      <c r="HM675" s="580" t="str">
        <f t="shared" si="170"/>
        <v/>
      </c>
    </row>
    <row r="676" spans="1:221" ht="13.15" customHeight="1">
      <c r="A676" s="888" t="str">
        <f t="shared" si="171"/>
        <v/>
      </c>
      <c r="B676" s="1054" t="str">
        <f>'Part VI-Revenues &amp; Expenses'!B42</f>
        <v>&lt;&lt;Select&gt;&gt;</v>
      </c>
      <c r="C676" s="1055">
        <f>'Part VI-Revenues &amp; Expenses'!C42</f>
        <v>0</v>
      </c>
      <c r="D676" s="1056">
        <f>'Part VI-Revenues &amp; Expenses'!D42</f>
        <v>0</v>
      </c>
      <c r="E676" s="1057">
        <f>'Part VI-Revenues &amp; Expenses'!E42</f>
        <v>0</v>
      </c>
      <c r="F676" s="1057">
        <f>'Part VI-Revenues &amp; Expenses'!F42</f>
        <v>0</v>
      </c>
      <c r="G676" s="1057">
        <f>'Part VI-Revenues &amp; Expenses'!G42</f>
        <v>0</v>
      </c>
      <c r="H676" s="1057">
        <f>'Part VI-Revenues &amp; Expenses'!H42</f>
        <v>0</v>
      </c>
      <c r="I676" s="1057">
        <f>'Part VI-Revenues &amp; Expenses'!I42</f>
        <v>0</v>
      </c>
      <c r="J676" s="818">
        <f>'Part VI-Revenues &amp; Expenses'!J42</f>
        <v>0</v>
      </c>
      <c r="K676" s="893">
        <f t="shared" si="205"/>
        <v>0</v>
      </c>
      <c r="L676" s="893">
        <f t="shared" si="0"/>
        <v>0</v>
      </c>
      <c r="M676" s="783">
        <f>'Part VI-Revenues &amp; Expenses'!M42</f>
        <v>0</v>
      </c>
      <c r="N676" s="783">
        <f>'Part VI-Revenues &amp; Expenses'!N42</f>
        <v>0</v>
      </c>
      <c r="O676" s="783">
        <f>'Part VI-Revenues &amp; Expenses'!O42</f>
        <v>0</v>
      </c>
      <c r="P676" s="894">
        <f t="shared" si="203"/>
        <v>0</v>
      </c>
      <c r="Q676" s="895" t="str">
        <f>'Part VI-Revenues &amp; Expenses'!Q42</f>
        <v/>
      </c>
      <c r="R676" s="894"/>
      <c r="S676" s="895"/>
      <c r="T676" s="2130"/>
      <c r="U676" s="2130"/>
      <c r="V676" s="580" t="str">
        <f t="shared" si="1"/>
        <v/>
      </c>
      <c r="W676" s="580" t="str">
        <f t="shared" si="2"/>
        <v/>
      </c>
      <c r="X676" s="580" t="str">
        <f t="shared" si="3"/>
        <v/>
      </c>
      <c r="Y676" s="580" t="str">
        <f t="shared" si="4"/>
        <v/>
      </c>
      <c r="Z676" s="580" t="str">
        <f t="shared" si="5"/>
        <v/>
      </c>
      <c r="AA676" s="580" t="str">
        <f t="shared" si="6"/>
        <v/>
      </c>
      <c r="AB676" s="580" t="str">
        <f t="shared" si="7"/>
        <v/>
      </c>
      <c r="AC676" s="580" t="str">
        <f t="shared" si="8"/>
        <v/>
      </c>
      <c r="AD676" s="580" t="str">
        <f t="shared" si="9"/>
        <v/>
      </c>
      <c r="AE676" s="580" t="str">
        <f t="shared" si="10"/>
        <v/>
      </c>
      <c r="AF676" s="580" t="str">
        <f t="shared" si="11"/>
        <v/>
      </c>
      <c r="AG676" s="580" t="str">
        <f t="shared" si="12"/>
        <v/>
      </c>
      <c r="AH676" s="580" t="str">
        <f t="shared" si="13"/>
        <v/>
      </c>
      <c r="AI676" s="580" t="str">
        <f t="shared" si="14"/>
        <v/>
      </c>
      <c r="AJ676" s="580" t="str">
        <f t="shared" si="15"/>
        <v/>
      </c>
      <c r="AK676" s="580" t="str">
        <f t="shared" si="16"/>
        <v/>
      </c>
      <c r="AL676" s="580" t="str">
        <f t="shared" si="17"/>
        <v/>
      </c>
      <c r="AM676" s="580" t="str">
        <f t="shared" si="18"/>
        <v/>
      </c>
      <c r="AN676" s="580" t="str">
        <f t="shared" si="19"/>
        <v/>
      </c>
      <c r="AO676" s="580" t="str">
        <f t="shared" si="20"/>
        <v/>
      </c>
      <c r="AP676" s="580" t="str">
        <f t="shared" si="173"/>
        <v/>
      </c>
      <c r="AQ676" s="580" t="str">
        <f t="shared" si="174"/>
        <v/>
      </c>
      <c r="AR676" s="580" t="str">
        <f t="shared" si="175"/>
        <v/>
      </c>
      <c r="AS676" s="580" t="str">
        <f t="shared" si="176"/>
        <v/>
      </c>
      <c r="AT676" s="580" t="str">
        <f t="shared" si="177"/>
        <v/>
      </c>
      <c r="AU676" s="580" t="str">
        <f t="shared" si="178"/>
        <v/>
      </c>
      <c r="AV676" s="580" t="str">
        <f t="shared" si="179"/>
        <v/>
      </c>
      <c r="AW676" s="580" t="str">
        <f t="shared" si="180"/>
        <v/>
      </c>
      <c r="AX676" s="580" t="str">
        <f t="shared" si="181"/>
        <v/>
      </c>
      <c r="AY676" s="580" t="str">
        <f t="shared" si="182"/>
        <v/>
      </c>
      <c r="AZ676" s="580" t="str">
        <f t="shared" si="183"/>
        <v/>
      </c>
      <c r="BA676" s="580" t="str">
        <f t="shared" si="184"/>
        <v/>
      </c>
      <c r="BB676" s="580" t="str">
        <f t="shared" si="185"/>
        <v/>
      </c>
      <c r="BC676" s="580" t="str">
        <f t="shared" si="186"/>
        <v/>
      </c>
      <c r="BD676" s="580" t="str">
        <f t="shared" si="187"/>
        <v/>
      </c>
      <c r="BE676" s="580" t="str">
        <f t="shared" si="188"/>
        <v/>
      </c>
      <c r="BF676" s="580" t="str">
        <f t="shared" si="189"/>
        <v/>
      </c>
      <c r="BG676" s="580" t="str">
        <f t="shared" si="190"/>
        <v/>
      </c>
      <c r="BH676" s="580" t="str">
        <f t="shared" si="191"/>
        <v/>
      </c>
      <c r="BI676" s="580" t="str">
        <f t="shared" si="192"/>
        <v/>
      </c>
      <c r="BJ676" s="580" t="str">
        <f t="shared" si="193"/>
        <v/>
      </c>
      <c r="BK676" s="580" t="str">
        <f t="shared" si="194"/>
        <v/>
      </c>
      <c r="BL676" s="580" t="str">
        <f t="shared" si="195"/>
        <v/>
      </c>
      <c r="BM676" s="580" t="str">
        <f t="shared" si="196"/>
        <v/>
      </c>
      <c r="BN676" s="580" t="str">
        <f t="shared" si="197"/>
        <v/>
      </c>
      <c r="BO676" s="580" t="str">
        <f t="shared" si="198"/>
        <v/>
      </c>
      <c r="BP676" s="580" t="str">
        <f t="shared" si="199"/>
        <v/>
      </c>
      <c r="BQ676" s="580" t="str">
        <f t="shared" si="200"/>
        <v/>
      </c>
      <c r="BR676" s="580" t="str">
        <f t="shared" si="201"/>
        <v/>
      </c>
      <c r="BS676" s="580" t="str">
        <f t="shared" si="202"/>
        <v/>
      </c>
      <c r="BT676" s="580" t="str">
        <f t="shared" si="21"/>
        <v/>
      </c>
      <c r="BU676" s="580" t="str">
        <f t="shared" si="22"/>
        <v/>
      </c>
      <c r="BV676" s="580" t="str">
        <f t="shared" si="23"/>
        <v/>
      </c>
      <c r="BW676" s="580" t="str">
        <f t="shared" si="24"/>
        <v/>
      </c>
      <c r="BX676" s="580" t="str">
        <f t="shared" si="25"/>
        <v/>
      </c>
      <c r="BY676" s="580" t="str">
        <f t="shared" si="26"/>
        <v/>
      </c>
      <c r="BZ676" s="580" t="str">
        <f t="shared" si="27"/>
        <v/>
      </c>
      <c r="CA676" s="580" t="str">
        <f t="shared" si="28"/>
        <v/>
      </c>
      <c r="CB676" s="580" t="str">
        <f t="shared" si="29"/>
        <v/>
      </c>
      <c r="CC676" s="580" t="str">
        <f t="shared" si="30"/>
        <v/>
      </c>
      <c r="CD676" s="580" t="str">
        <f t="shared" si="31"/>
        <v/>
      </c>
      <c r="CE676" s="580" t="str">
        <f t="shared" si="32"/>
        <v/>
      </c>
      <c r="CF676" s="580" t="str">
        <f t="shared" si="33"/>
        <v/>
      </c>
      <c r="CG676" s="580" t="str">
        <f t="shared" si="34"/>
        <v/>
      </c>
      <c r="CH676" s="580" t="str">
        <f t="shared" si="35"/>
        <v/>
      </c>
      <c r="CI676" s="580" t="str">
        <f t="shared" si="36"/>
        <v/>
      </c>
      <c r="CJ676" s="580" t="str">
        <f t="shared" si="37"/>
        <v/>
      </c>
      <c r="CK676" s="580" t="str">
        <f t="shared" si="38"/>
        <v/>
      </c>
      <c r="CL676" s="580" t="str">
        <f t="shared" si="39"/>
        <v/>
      </c>
      <c r="CM676" s="580" t="str">
        <f t="shared" si="40"/>
        <v/>
      </c>
      <c r="CN676" s="580" t="str">
        <f t="shared" si="41"/>
        <v/>
      </c>
      <c r="CO676" s="580" t="str">
        <f t="shared" si="42"/>
        <v/>
      </c>
      <c r="CP676" s="580" t="str">
        <f t="shared" si="43"/>
        <v/>
      </c>
      <c r="CQ676" s="580" t="str">
        <f t="shared" si="44"/>
        <v/>
      </c>
      <c r="CR676" s="580" t="str">
        <f t="shared" si="45"/>
        <v/>
      </c>
      <c r="CS676" s="580" t="str">
        <f t="shared" si="46"/>
        <v/>
      </c>
      <c r="CT676" s="580" t="str">
        <f t="shared" si="47"/>
        <v/>
      </c>
      <c r="CU676" s="580" t="str">
        <f t="shared" si="48"/>
        <v/>
      </c>
      <c r="CV676" s="580" t="str">
        <f t="shared" si="49"/>
        <v/>
      </c>
      <c r="CW676" s="580" t="str">
        <f t="shared" si="50"/>
        <v/>
      </c>
      <c r="CX676" s="580" t="str">
        <f t="shared" si="51"/>
        <v/>
      </c>
      <c r="CY676" s="580" t="str">
        <f t="shared" si="52"/>
        <v/>
      </c>
      <c r="CZ676" s="580" t="str">
        <f t="shared" si="53"/>
        <v/>
      </c>
      <c r="DA676" s="580" t="str">
        <f t="shared" si="54"/>
        <v/>
      </c>
      <c r="DB676" s="580" t="str">
        <f t="shared" si="55"/>
        <v/>
      </c>
      <c r="DC676" s="580" t="str">
        <f t="shared" si="56"/>
        <v/>
      </c>
      <c r="DD676" s="580" t="str">
        <f t="shared" si="57"/>
        <v/>
      </c>
      <c r="DE676" s="580" t="str">
        <f t="shared" si="58"/>
        <v/>
      </c>
      <c r="DF676" s="580" t="str">
        <f t="shared" si="59"/>
        <v/>
      </c>
      <c r="DG676" s="580" t="str">
        <f t="shared" si="60"/>
        <v/>
      </c>
      <c r="DH676" s="580" t="str">
        <f t="shared" si="61"/>
        <v/>
      </c>
      <c r="DI676" s="580" t="str">
        <f t="shared" si="62"/>
        <v/>
      </c>
      <c r="DJ676" s="580" t="str">
        <f t="shared" si="63"/>
        <v/>
      </c>
      <c r="DK676" s="580" t="str">
        <f t="shared" si="64"/>
        <v/>
      </c>
      <c r="DL676" s="580" t="str">
        <f t="shared" si="65"/>
        <v/>
      </c>
      <c r="DM676" s="580" t="str">
        <f t="shared" si="66"/>
        <v/>
      </c>
      <c r="DN676" s="580" t="str">
        <f t="shared" si="67"/>
        <v/>
      </c>
      <c r="DO676" s="580" t="str">
        <f t="shared" si="68"/>
        <v/>
      </c>
      <c r="DP676" s="580" t="str">
        <f t="shared" si="69"/>
        <v/>
      </c>
      <c r="DQ676" s="580" t="str">
        <f t="shared" si="70"/>
        <v/>
      </c>
      <c r="DR676" s="580" t="str">
        <f t="shared" si="71"/>
        <v/>
      </c>
      <c r="DS676" s="580" t="str">
        <f t="shared" si="72"/>
        <v/>
      </c>
      <c r="DT676" s="580" t="str">
        <f t="shared" si="73"/>
        <v/>
      </c>
      <c r="DU676" s="580" t="str">
        <f t="shared" si="74"/>
        <v/>
      </c>
      <c r="DV676" s="580" t="str">
        <f t="shared" si="75"/>
        <v/>
      </c>
      <c r="DW676" s="580" t="str">
        <f t="shared" si="76"/>
        <v/>
      </c>
      <c r="DX676" s="580" t="str">
        <f t="shared" si="77"/>
        <v/>
      </c>
      <c r="DY676" s="580" t="str">
        <f t="shared" si="78"/>
        <v/>
      </c>
      <c r="DZ676" s="580" t="str">
        <f t="shared" si="79"/>
        <v/>
      </c>
      <c r="EA676" s="580" t="str">
        <f t="shared" si="80"/>
        <v/>
      </c>
      <c r="EB676" s="580" t="str">
        <f t="shared" si="81"/>
        <v/>
      </c>
      <c r="EC676" s="580" t="str">
        <f t="shared" si="82"/>
        <v/>
      </c>
      <c r="ED676" s="580" t="str">
        <f t="shared" si="83"/>
        <v/>
      </c>
      <c r="EE676" s="580" t="str">
        <f t="shared" si="84"/>
        <v/>
      </c>
      <c r="EF676" s="580" t="str">
        <f t="shared" si="85"/>
        <v/>
      </c>
      <c r="EG676" s="580" t="str">
        <f t="shared" si="86"/>
        <v/>
      </c>
      <c r="EH676" s="580" t="str">
        <f t="shared" si="87"/>
        <v/>
      </c>
      <c r="EI676" s="580" t="str">
        <f t="shared" si="88"/>
        <v/>
      </c>
      <c r="EJ676" s="580" t="str">
        <f t="shared" si="89"/>
        <v/>
      </c>
      <c r="EK676" s="580" t="str">
        <f t="shared" si="90"/>
        <v/>
      </c>
      <c r="EL676" s="580" t="str">
        <f t="shared" si="91"/>
        <v/>
      </c>
      <c r="EM676" s="580" t="str">
        <f t="shared" si="92"/>
        <v/>
      </c>
      <c r="EN676" s="580" t="str">
        <f t="shared" si="93"/>
        <v/>
      </c>
      <c r="EO676" s="580" t="str">
        <f t="shared" si="94"/>
        <v/>
      </c>
      <c r="EP676" s="580" t="str">
        <f t="shared" si="95"/>
        <v/>
      </c>
      <c r="EQ676" s="580" t="str">
        <f t="shared" si="96"/>
        <v/>
      </c>
      <c r="ER676" s="580" t="str">
        <f t="shared" si="97"/>
        <v/>
      </c>
      <c r="ES676" s="580" t="str">
        <f t="shared" si="98"/>
        <v/>
      </c>
      <c r="ET676" s="580" t="str">
        <f t="shared" si="99"/>
        <v/>
      </c>
      <c r="EU676" s="580" t="str">
        <f t="shared" si="100"/>
        <v/>
      </c>
      <c r="EV676" s="785" t="str">
        <f t="shared" si="101"/>
        <v/>
      </c>
      <c r="EW676" s="785" t="str">
        <f t="shared" si="102"/>
        <v/>
      </c>
      <c r="EX676" s="785" t="str">
        <f t="shared" si="103"/>
        <v/>
      </c>
      <c r="EY676" s="785" t="str">
        <f t="shared" si="104"/>
        <v/>
      </c>
      <c r="EZ676" s="785" t="str">
        <f t="shared" si="105"/>
        <v/>
      </c>
      <c r="FA676" s="785" t="str">
        <f t="shared" si="106"/>
        <v/>
      </c>
      <c r="FB676" s="785" t="str">
        <f t="shared" si="107"/>
        <v/>
      </c>
      <c r="FC676" s="785" t="str">
        <f t="shared" si="108"/>
        <v/>
      </c>
      <c r="FD676" s="785" t="str">
        <f t="shared" si="109"/>
        <v/>
      </c>
      <c r="FE676" s="785" t="str">
        <f t="shared" si="110"/>
        <v/>
      </c>
      <c r="FF676" s="785" t="str">
        <f t="shared" si="111"/>
        <v/>
      </c>
      <c r="FG676" s="785" t="str">
        <f t="shared" si="112"/>
        <v/>
      </c>
      <c r="FH676" s="785" t="str">
        <f t="shared" si="113"/>
        <v/>
      </c>
      <c r="FI676" s="785" t="str">
        <f t="shared" si="114"/>
        <v/>
      </c>
      <c r="FJ676" s="785" t="str">
        <f t="shared" si="115"/>
        <v/>
      </c>
      <c r="FK676" s="785" t="str">
        <f t="shared" si="116"/>
        <v/>
      </c>
      <c r="FL676" s="785" t="str">
        <f t="shared" si="117"/>
        <v/>
      </c>
      <c r="FM676" s="785" t="str">
        <f t="shared" si="118"/>
        <v/>
      </c>
      <c r="FN676" s="785" t="str">
        <f t="shared" si="119"/>
        <v/>
      </c>
      <c r="FO676" s="785" t="str">
        <f t="shared" si="120"/>
        <v/>
      </c>
      <c r="FP676" s="785" t="str">
        <f t="shared" si="121"/>
        <v/>
      </c>
      <c r="FQ676" s="785" t="str">
        <f t="shared" si="122"/>
        <v/>
      </c>
      <c r="FR676" s="785" t="str">
        <f t="shared" si="123"/>
        <v/>
      </c>
      <c r="FS676" s="785" t="str">
        <f t="shared" si="124"/>
        <v/>
      </c>
      <c r="FT676" s="785" t="str">
        <f t="shared" si="125"/>
        <v/>
      </c>
      <c r="FU676" s="785" t="str">
        <f t="shared" si="126"/>
        <v/>
      </c>
      <c r="FV676" s="785" t="str">
        <f t="shared" si="127"/>
        <v/>
      </c>
      <c r="FW676" s="785" t="str">
        <f t="shared" si="128"/>
        <v/>
      </c>
      <c r="FX676" s="785" t="str">
        <f t="shared" si="129"/>
        <v/>
      </c>
      <c r="FY676" s="785" t="str">
        <f t="shared" si="130"/>
        <v/>
      </c>
      <c r="FZ676" s="785" t="str">
        <f t="shared" si="131"/>
        <v/>
      </c>
      <c r="GA676" s="785" t="str">
        <f t="shared" si="132"/>
        <v/>
      </c>
      <c r="GB676" s="785" t="str">
        <f t="shared" si="133"/>
        <v/>
      </c>
      <c r="GC676" s="785" t="str">
        <f t="shared" si="134"/>
        <v/>
      </c>
      <c r="GD676" s="785" t="str">
        <f t="shared" si="135"/>
        <v/>
      </c>
      <c r="GE676" s="785" t="str">
        <f t="shared" si="136"/>
        <v/>
      </c>
      <c r="GF676" s="785" t="str">
        <f t="shared" si="137"/>
        <v/>
      </c>
      <c r="GG676" s="785" t="str">
        <f t="shared" si="138"/>
        <v/>
      </c>
      <c r="GH676" s="785" t="str">
        <f t="shared" si="139"/>
        <v/>
      </c>
      <c r="GI676" s="785" t="str">
        <f t="shared" si="140"/>
        <v/>
      </c>
      <c r="GJ676" s="785" t="str">
        <f t="shared" si="141"/>
        <v/>
      </c>
      <c r="GK676" s="785" t="str">
        <f t="shared" si="142"/>
        <v/>
      </c>
      <c r="GL676" s="785" t="str">
        <f t="shared" si="143"/>
        <v/>
      </c>
      <c r="GM676" s="785" t="str">
        <f t="shared" si="144"/>
        <v/>
      </c>
      <c r="GN676" s="785" t="str">
        <f t="shared" si="145"/>
        <v/>
      </c>
      <c r="GO676" s="786" t="str">
        <f t="shared" si="146"/>
        <v/>
      </c>
      <c r="GP676" s="786" t="str">
        <f t="shared" si="147"/>
        <v/>
      </c>
      <c r="GQ676" s="786" t="str">
        <f t="shared" si="148"/>
        <v/>
      </c>
      <c r="GR676" s="786" t="str">
        <f t="shared" si="149"/>
        <v/>
      </c>
      <c r="GS676" s="786" t="str">
        <f t="shared" si="150"/>
        <v/>
      </c>
      <c r="GT676" s="580" t="str">
        <f t="shared" si="151"/>
        <v/>
      </c>
      <c r="GU676" s="580" t="str">
        <f t="shared" si="152"/>
        <v/>
      </c>
      <c r="GV676" s="580" t="str">
        <f t="shared" si="153"/>
        <v/>
      </c>
      <c r="GW676" s="580" t="str">
        <f t="shared" si="154"/>
        <v/>
      </c>
      <c r="GX676" s="580" t="str">
        <f t="shared" si="155"/>
        <v/>
      </c>
      <c r="GY676" s="580" t="str">
        <f t="shared" si="156"/>
        <v/>
      </c>
      <c r="GZ676" s="580" t="str">
        <f t="shared" si="157"/>
        <v/>
      </c>
      <c r="HA676" s="580" t="str">
        <f t="shared" si="158"/>
        <v/>
      </c>
      <c r="HB676" s="580" t="str">
        <f t="shared" si="159"/>
        <v/>
      </c>
      <c r="HC676" s="580" t="str">
        <f t="shared" si="160"/>
        <v/>
      </c>
      <c r="HD676" s="580" t="str">
        <f t="shared" si="161"/>
        <v/>
      </c>
      <c r="HE676" s="580" t="str">
        <f t="shared" si="162"/>
        <v/>
      </c>
      <c r="HF676" s="580" t="str">
        <f t="shared" si="163"/>
        <v/>
      </c>
      <c r="HG676" s="580" t="str">
        <f t="shared" si="164"/>
        <v/>
      </c>
      <c r="HH676" s="580" t="str">
        <f t="shared" si="165"/>
        <v/>
      </c>
      <c r="HI676" s="580" t="str">
        <f t="shared" si="166"/>
        <v/>
      </c>
      <c r="HJ676" s="580" t="str">
        <f t="shared" si="167"/>
        <v/>
      </c>
      <c r="HK676" s="580" t="str">
        <f t="shared" si="168"/>
        <v/>
      </c>
      <c r="HL676" s="580" t="str">
        <f t="shared" si="169"/>
        <v/>
      </c>
      <c r="HM676" s="580" t="str">
        <f t="shared" si="170"/>
        <v/>
      </c>
    </row>
    <row r="677" spans="1:221" ht="13.15" customHeight="1">
      <c r="A677" s="888" t="str">
        <f t="shared" si="171"/>
        <v/>
      </c>
      <c r="B677" s="1054" t="str">
        <f>'Part VI-Revenues &amp; Expenses'!B43</f>
        <v>&lt;&lt;Select&gt;&gt;</v>
      </c>
      <c r="C677" s="1055">
        <f>'Part VI-Revenues &amp; Expenses'!C43</f>
        <v>0</v>
      </c>
      <c r="D677" s="1056">
        <f>'Part VI-Revenues &amp; Expenses'!D43</f>
        <v>0</v>
      </c>
      <c r="E677" s="1057">
        <f>'Part VI-Revenues &amp; Expenses'!E43</f>
        <v>0</v>
      </c>
      <c r="F677" s="1057">
        <f>'Part VI-Revenues &amp; Expenses'!F43</f>
        <v>0</v>
      </c>
      <c r="G677" s="1057">
        <f>'Part VI-Revenues &amp; Expenses'!G43</f>
        <v>0</v>
      </c>
      <c r="H677" s="1057">
        <f>'Part VI-Revenues &amp; Expenses'!H43</f>
        <v>0</v>
      </c>
      <c r="I677" s="1057">
        <f>'Part VI-Revenues &amp; Expenses'!I43</f>
        <v>0</v>
      </c>
      <c r="J677" s="818">
        <f>'Part VI-Revenues &amp; Expenses'!J43</f>
        <v>0</v>
      </c>
      <c r="K677" s="893">
        <f t="shared" si="205"/>
        <v>0</v>
      </c>
      <c r="L677" s="893">
        <f t="shared" si="0"/>
        <v>0</v>
      </c>
      <c r="M677" s="783">
        <f>'Part VI-Revenues &amp; Expenses'!M43</f>
        <v>0</v>
      </c>
      <c r="N677" s="783">
        <f>'Part VI-Revenues &amp; Expenses'!N43</f>
        <v>0</v>
      </c>
      <c r="O677" s="783">
        <f>'Part VI-Revenues &amp; Expenses'!O43</f>
        <v>0</v>
      </c>
      <c r="P677" s="894">
        <f t="shared" si="203"/>
        <v>0</v>
      </c>
      <c r="Q677" s="895" t="str">
        <f>'Part VI-Revenues &amp; Expenses'!Q43</f>
        <v/>
      </c>
      <c r="R677" s="894"/>
      <c r="S677" s="895"/>
      <c r="T677" s="2130"/>
      <c r="U677" s="2130"/>
      <c r="V677" s="580" t="str">
        <f t="shared" si="1"/>
        <v/>
      </c>
      <c r="W677" s="580" t="str">
        <f t="shared" si="2"/>
        <v/>
      </c>
      <c r="X677" s="580" t="str">
        <f t="shared" si="3"/>
        <v/>
      </c>
      <c r="Y677" s="580" t="str">
        <f t="shared" si="4"/>
        <v/>
      </c>
      <c r="Z677" s="580" t="str">
        <f t="shared" si="5"/>
        <v/>
      </c>
      <c r="AA677" s="580" t="str">
        <f t="shared" si="6"/>
        <v/>
      </c>
      <c r="AB677" s="580" t="str">
        <f t="shared" si="7"/>
        <v/>
      </c>
      <c r="AC677" s="580" t="str">
        <f t="shared" si="8"/>
        <v/>
      </c>
      <c r="AD677" s="580" t="str">
        <f t="shared" si="9"/>
        <v/>
      </c>
      <c r="AE677" s="580" t="str">
        <f t="shared" si="10"/>
        <v/>
      </c>
      <c r="AF677" s="580" t="str">
        <f t="shared" si="11"/>
        <v/>
      </c>
      <c r="AG677" s="580" t="str">
        <f t="shared" si="12"/>
        <v/>
      </c>
      <c r="AH677" s="580" t="str">
        <f t="shared" si="13"/>
        <v/>
      </c>
      <c r="AI677" s="580" t="str">
        <f t="shared" si="14"/>
        <v/>
      </c>
      <c r="AJ677" s="580" t="str">
        <f t="shared" si="15"/>
        <v/>
      </c>
      <c r="AK677" s="580" t="str">
        <f t="shared" si="16"/>
        <v/>
      </c>
      <c r="AL677" s="580" t="str">
        <f t="shared" si="17"/>
        <v/>
      </c>
      <c r="AM677" s="580" t="str">
        <f t="shared" si="18"/>
        <v/>
      </c>
      <c r="AN677" s="580" t="str">
        <f t="shared" si="19"/>
        <v/>
      </c>
      <c r="AO677" s="580" t="str">
        <f t="shared" si="20"/>
        <v/>
      </c>
      <c r="AP677" s="580" t="str">
        <f t="shared" si="173"/>
        <v/>
      </c>
      <c r="AQ677" s="580" t="str">
        <f t="shared" si="174"/>
        <v/>
      </c>
      <c r="AR677" s="580" t="str">
        <f t="shared" si="175"/>
        <v/>
      </c>
      <c r="AS677" s="580" t="str">
        <f t="shared" si="176"/>
        <v/>
      </c>
      <c r="AT677" s="580" t="str">
        <f t="shared" si="177"/>
        <v/>
      </c>
      <c r="AU677" s="580" t="str">
        <f t="shared" si="178"/>
        <v/>
      </c>
      <c r="AV677" s="580" t="str">
        <f t="shared" si="179"/>
        <v/>
      </c>
      <c r="AW677" s="580" t="str">
        <f t="shared" si="180"/>
        <v/>
      </c>
      <c r="AX677" s="580" t="str">
        <f t="shared" si="181"/>
        <v/>
      </c>
      <c r="AY677" s="580" t="str">
        <f t="shared" si="182"/>
        <v/>
      </c>
      <c r="AZ677" s="580" t="str">
        <f t="shared" si="183"/>
        <v/>
      </c>
      <c r="BA677" s="580" t="str">
        <f t="shared" si="184"/>
        <v/>
      </c>
      <c r="BB677" s="580" t="str">
        <f t="shared" si="185"/>
        <v/>
      </c>
      <c r="BC677" s="580" t="str">
        <f t="shared" si="186"/>
        <v/>
      </c>
      <c r="BD677" s="580" t="str">
        <f t="shared" si="187"/>
        <v/>
      </c>
      <c r="BE677" s="580" t="str">
        <f t="shared" si="188"/>
        <v/>
      </c>
      <c r="BF677" s="580" t="str">
        <f t="shared" si="189"/>
        <v/>
      </c>
      <c r="BG677" s="580" t="str">
        <f t="shared" si="190"/>
        <v/>
      </c>
      <c r="BH677" s="580" t="str">
        <f t="shared" si="191"/>
        <v/>
      </c>
      <c r="BI677" s="580" t="str">
        <f t="shared" si="192"/>
        <v/>
      </c>
      <c r="BJ677" s="580" t="str">
        <f t="shared" si="193"/>
        <v/>
      </c>
      <c r="BK677" s="580" t="str">
        <f t="shared" si="194"/>
        <v/>
      </c>
      <c r="BL677" s="580" t="str">
        <f t="shared" si="195"/>
        <v/>
      </c>
      <c r="BM677" s="580" t="str">
        <f t="shared" si="196"/>
        <v/>
      </c>
      <c r="BN677" s="580" t="str">
        <f t="shared" si="197"/>
        <v/>
      </c>
      <c r="BO677" s="580" t="str">
        <f t="shared" si="198"/>
        <v/>
      </c>
      <c r="BP677" s="580" t="str">
        <f t="shared" si="199"/>
        <v/>
      </c>
      <c r="BQ677" s="580" t="str">
        <f t="shared" si="200"/>
        <v/>
      </c>
      <c r="BR677" s="580" t="str">
        <f t="shared" si="201"/>
        <v/>
      </c>
      <c r="BS677" s="580" t="str">
        <f t="shared" si="202"/>
        <v/>
      </c>
      <c r="BT677" s="580" t="str">
        <f t="shared" si="21"/>
        <v/>
      </c>
      <c r="BU677" s="580" t="str">
        <f t="shared" si="22"/>
        <v/>
      </c>
      <c r="BV677" s="580" t="str">
        <f t="shared" si="23"/>
        <v/>
      </c>
      <c r="BW677" s="580" t="str">
        <f t="shared" si="24"/>
        <v/>
      </c>
      <c r="BX677" s="580" t="str">
        <f t="shared" si="25"/>
        <v/>
      </c>
      <c r="BY677" s="580" t="str">
        <f t="shared" si="26"/>
        <v/>
      </c>
      <c r="BZ677" s="580" t="str">
        <f t="shared" si="27"/>
        <v/>
      </c>
      <c r="CA677" s="580" t="str">
        <f t="shared" si="28"/>
        <v/>
      </c>
      <c r="CB677" s="580" t="str">
        <f t="shared" si="29"/>
        <v/>
      </c>
      <c r="CC677" s="580" t="str">
        <f t="shared" si="30"/>
        <v/>
      </c>
      <c r="CD677" s="580" t="str">
        <f t="shared" si="31"/>
        <v/>
      </c>
      <c r="CE677" s="580" t="str">
        <f t="shared" si="32"/>
        <v/>
      </c>
      <c r="CF677" s="580" t="str">
        <f t="shared" si="33"/>
        <v/>
      </c>
      <c r="CG677" s="580" t="str">
        <f t="shared" si="34"/>
        <v/>
      </c>
      <c r="CH677" s="580" t="str">
        <f t="shared" si="35"/>
        <v/>
      </c>
      <c r="CI677" s="580" t="str">
        <f t="shared" si="36"/>
        <v/>
      </c>
      <c r="CJ677" s="580" t="str">
        <f t="shared" si="37"/>
        <v/>
      </c>
      <c r="CK677" s="580" t="str">
        <f t="shared" si="38"/>
        <v/>
      </c>
      <c r="CL677" s="580" t="str">
        <f t="shared" si="39"/>
        <v/>
      </c>
      <c r="CM677" s="580" t="str">
        <f t="shared" si="40"/>
        <v/>
      </c>
      <c r="CN677" s="580" t="str">
        <f t="shared" si="41"/>
        <v/>
      </c>
      <c r="CO677" s="580" t="str">
        <f t="shared" si="42"/>
        <v/>
      </c>
      <c r="CP677" s="580" t="str">
        <f t="shared" si="43"/>
        <v/>
      </c>
      <c r="CQ677" s="580" t="str">
        <f t="shared" si="44"/>
        <v/>
      </c>
      <c r="CR677" s="580" t="str">
        <f t="shared" si="45"/>
        <v/>
      </c>
      <c r="CS677" s="580" t="str">
        <f t="shared" si="46"/>
        <v/>
      </c>
      <c r="CT677" s="580" t="str">
        <f t="shared" si="47"/>
        <v/>
      </c>
      <c r="CU677" s="580" t="str">
        <f t="shared" si="48"/>
        <v/>
      </c>
      <c r="CV677" s="580" t="str">
        <f t="shared" si="49"/>
        <v/>
      </c>
      <c r="CW677" s="580" t="str">
        <f t="shared" si="50"/>
        <v/>
      </c>
      <c r="CX677" s="580" t="str">
        <f t="shared" si="51"/>
        <v/>
      </c>
      <c r="CY677" s="580" t="str">
        <f t="shared" si="52"/>
        <v/>
      </c>
      <c r="CZ677" s="580" t="str">
        <f t="shared" si="53"/>
        <v/>
      </c>
      <c r="DA677" s="580" t="str">
        <f t="shared" si="54"/>
        <v/>
      </c>
      <c r="DB677" s="580" t="str">
        <f t="shared" si="55"/>
        <v/>
      </c>
      <c r="DC677" s="580" t="str">
        <f t="shared" si="56"/>
        <v/>
      </c>
      <c r="DD677" s="580" t="str">
        <f t="shared" si="57"/>
        <v/>
      </c>
      <c r="DE677" s="580" t="str">
        <f t="shared" si="58"/>
        <v/>
      </c>
      <c r="DF677" s="580" t="str">
        <f t="shared" si="59"/>
        <v/>
      </c>
      <c r="DG677" s="580" t="str">
        <f t="shared" si="60"/>
        <v/>
      </c>
      <c r="DH677" s="580" t="str">
        <f t="shared" si="61"/>
        <v/>
      </c>
      <c r="DI677" s="580" t="str">
        <f t="shared" si="62"/>
        <v/>
      </c>
      <c r="DJ677" s="580" t="str">
        <f t="shared" si="63"/>
        <v/>
      </c>
      <c r="DK677" s="580" t="str">
        <f t="shared" si="64"/>
        <v/>
      </c>
      <c r="DL677" s="580" t="str">
        <f t="shared" si="65"/>
        <v/>
      </c>
      <c r="DM677" s="580" t="str">
        <f t="shared" si="66"/>
        <v/>
      </c>
      <c r="DN677" s="580" t="str">
        <f t="shared" si="67"/>
        <v/>
      </c>
      <c r="DO677" s="580" t="str">
        <f t="shared" si="68"/>
        <v/>
      </c>
      <c r="DP677" s="580" t="str">
        <f t="shared" si="69"/>
        <v/>
      </c>
      <c r="DQ677" s="580" t="str">
        <f t="shared" si="70"/>
        <v/>
      </c>
      <c r="DR677" s="580" t="str">
        <f t="shared" si="71"/>
        <v/>
      </c>
      <c r="DS677" s="580" t="str">
        <f t="shared" si="72"/>
        <v/>
      </c>
      <c r="DT677" s="580" t="str">
        <f t="shared" si="73"/>
        <v/>
      </c>
      <c r="DU677" s="580" t="str">
        <f t="shared" si="74"/>
        <v/>
      </c>
      <c r="DV677" s="580" t="str">
        <f t="shared" si="75"/>
        <v/>
      </c>
      <c r="DW677" s="580" t="str">
        <f t="shared" si="76"/>
        <v/>
      </c>
      <c r="DX677" s="580" t="str">
        <f t="shared" si="77"/>
        <v/>
      </c>
      <c r="DY677" s="580" t="str">
        <f t="shared" si="78"/>
        <v/>
      </c>
      <c r="DZ677" s="580" t="str">
        <f t="shared" si="79"/>
        <v/>
      </c>
      <c r="EA677" s="580" t="str">
        <f t="shared" si="80"/>
        <v/>
      </c>
      <c r="EB677" s="580" t="str">
        <f t="shared" si="81"/>
        <v/>
      </c>
      <c r="EC677" s="580" t="str">
        <f t="shared" si="82"/>
        <v/>
      </c>
      <c r="ED677" s="580" t="str">
        <f t="shared" si="83"/>
        <v/>
      </c>
      <c r="EE677" s="580" t="str">
        <f t="shared" si="84"/>
        <v/>
      </c>
      <c r="EF677" s="580" t="str">
        <f t="shared" si="85"/>
        <v/>
      </c>
      <c r="EG677" s="580" t="str">
        <f t="shared" si="86"/>
        <v/>
      </c>
      <c r="EH677" s="580" t="str">
        <f t="shared" si="87"/>
        <v/>
      </c>
      <c r="EI677" s="580" t="str">
        <f t="shared" si="88"/>
        <v/>
      </c>
      <c r="EJ677" s="580" t="str">
        <f t="shared" si="89"/>
        <v/>
      </c>
      <c r="EK677" s="580" t="str">
        <f t="shared" si="90"/>
        <v/>
      </c>
      <c r="EL677" s="580" t="str">
        <f t="shared" si="91"/>
        <v/>
      </c>
      <c r="EM677" s="580" t="str">
        <f t="shared" si="92"/>
        <v/>
      </c>
      <c r="EN677" s="580" t="str">
        <f t="shared" si="93"/>
        <v/>
      </c>
      <c r="EO677" s="580" t="str">
        <f t="shared" si="94"/>
        <v/>
      </c>
      <c r="EP677" s="580" t="str">
        <f t="shared" si="95"/>
        <v/>
      </c>
      <c r="EQ677" s="580" t="str">
        <f t="shared" si="96"/>
        <v/>
      </c>
      <c r="ER677" s="580" t="str">
        <f t="shared" si="97"/>
        <v/>
      </c>
      <c r="ES677" s="580" t="str">
        <f t="shared" si="98"/>
        <v/>
      </c>
      <c r="ET677" s="580" t="str">
        <f t="shared" si="99"/>
        <v/>
      </c>
      <c r="EU677" s="580" t="str">
        <f t="shared" si="100"/>
        <v/>
      </c>
      <c r="EV677" s="785" t="str">
        <f t="shared" si="101"/>
        <v/>
      </c>
      <c r="EW677" s="785" t="str">
        <f t="shared" si="102"/>
        <v/>
      </c>
      <c r="EX677" s="785" t="str">
        <f t="shared" si="103"/>
        <v/>
      </c>
      <c r="EY677" s="785" t="str">
        <f t="shared" si="104"/>
        <v/>
      </c>
      <c r="EZ677" s="785" t="str">
        <f t="shared" si="105"/>
        <v/>
      </c>
      <c r="FA677" s="785" t="str">
        <f t="shared" si="106"/>
        <v/>
      </c>
      <c r="FB677" s="785" t="str">
        <f t="shared" si="107"/>
        <v/>
      </c>
      <c r="FC677" s="785" t="str">
        <f t="shared" si="108"/>
        <v/>
      </c>
      <c r="FD677" s="785" t="str">
        <f t="shared" si="109"/>
        <v/>
      </c>
      <c r="FE677" s="785" t="str">
        <f t="shared" si="110"/>
        <v/>
      </c>
      <c r="FF677" s="785" t="str">
        <f t="shared" si="111"/>
        <v/>
      </c>
      <c r="FG677" s="785" t="str">
        <f t="shared" si="112"/>
        <v/>
      </c>
      <c r="FH677" s="785" t="str">
        <f t="shared" si="113"/>
        <v/>
      </c>
      <c r="FI677" s="785" t="str">
        <f t="shared" si="114"/>
        <v/>
      </c>
      <c r="FJ677" s="785" t="str">
        <f t="shared" si="115"/>
        <v/>
      </c>
      <c r="FK677" s="785" t="str">
        <f t="shared" si="116"/>
        <v/>
      </c>
      <c r="FL677" s="785" t="str">
        <f t="shared" si="117"/>
        <v/>
      </c>
      <c r="FM677" s="785" t="str">
        <f t="shared" si="118"/>
        <v/>
      </c>
      <c r="FN677" s="785" t="str">
        <f t="shared" si="119"/>
        <v/>
      </c>
      <c r="FO677" s="785" t="str">
        <f t="shared" si="120"/>
        <v/>
      </c>
      <c r="FP677" s="785" t="str">
        <f t="shared" si="121"/>
        <v/>
      </c>
      <c r="FQ677" s="785" t="str">
        <f t="shared" si="122"/>
        <v/>
      </c>
      <c r="FR677" s="785" t="str">
        <f t="shared" si="123"/>
        <v/>
      </c>
      <c r="FS677" s="785" t="str">
        <f t="shared" si="124"/>
        <v/>
      </c>
      <c r="FT677" s="785" t="str">
        <f t="shared" si="125"/>
        <v/>
      </c>
      <c r="FU677" s="785" t="str">
        <f t="shared" si="126"/>
        <v/>
      </c>
      <c r="FV677" s="785" t="str">
        <f t="shared" si="127"/>
        <v/>
      </c>
      <c r="FW677" s="785" t="str">
        <f t="shared" si="128"/>
        <v/>
      </c>
      <c r="FX677" s="785" t="str">
        <f t="shared" si="129"/>
        <v/>
      </c>
      <c r="FY677" s="785" t="str">
        <f t="shared" si="130"/>
        <v/>
      </c>
      <c r="FZ677" s="785" t="str">
        <f t="shared" si="131"/>
        <v/>
      </c>
      <c r="GA677" s="785" t="str">
        <f t="shared" si="132"/>
        <v/>
      </c>
      <c r="GB677" s="785" t="str">
        <f t="shared" si="133"/>
        <v/>
      </c>
      <c r="GC677" s="785" t="str">
        <f t="shared" si="134"/>
        <v/>
      </c>
      <c r="GD677" s="785" t="str">
        <f t="shared" si="135"/>
        <v/>
      </c>
      <c r="GE677" s="785" t="str">
        <f t="shared" si="136"/>
        <v/>
      </c>
      <c r="GF677" s="785" t="str">
        <f t="shared" si="137"/>
        <v/>
      </c>
      <c r="GG677" s="785" t="str">
        <f t="shared" si="138"/>
        <v/>
      </c>
      <c r="GH677" s="785" t="str">
        <f t="shared" si="139"/>
        <v/>
      </c>
      <c r="GI677" s="785" t="str">
        <f t="shared" si="140"/>
        <v/>
      </c>
      <c r="GJ677" s="785" t="str">
        <f t="shared" si="141"/>
        <v/>
      </c>
      <c r="GK677" s="785" t="str">
        <f t="shared" si="142"/>
        <v/>
      </c>
      <c r="GL677" s="785" t="str">
        <f t="shared" si="143"/>
        <v/>
      </c>
      <c r="GM677" s="785" t="str">
        <f t="shared" si="144"/>
        <v/>
      </c>
      <c r="GN677" s="785" t="str">
        <f t="shared" si="145"/>
        <v/>
      </c>
      <c r="GO677" s="786" t="str">
        <f t="shared" si="146"/>
        <v/>
      </c>
      <c r="GP677" s="786" t="str">
        <f t="shared" si="147"/>
        <v/>
      </c>
      <c r="GQ677" s="786" t="str">
        <f t="shared" si="148"/>
        <v/>
      </c>
      <c r="GR677" s="786" t="str">
        <f t="shared" si="149"/>
        <v/>
      </c>
      <c r="GS677" s="786" t="str">
        <f t="shared" si="150"/>
        <v/>
      </c>
      <c r="GT677" s="580" t="str">
        <f t="shared" si="151"/>
        <v/>
      </c>
      <c r="GU677" s="580" t="str">
        <f t="shared" si="152"/>
        <v/>
      </c>
      <c r="GV677" s="580" t="str">
        <f t="shared" si="153"/>
        <v/>
      </c>
      <c r="GW677" s="580" t="str">
        <f t="shared" si="154"/>
        <v/>
      </c>
      <c r="GX677" s="580" t="str">
        <f t="shared" si="155"/>
        <v/>
      </c>
      <c r="GY677" s="580" t="str">
        <f t="shared" si="156"/>
        <v/>
      </c>
      <c r="GZ677" s="580" t="str">
        <f t="shared" si="157"/>
        <v/>
      </c>
      <c r="HA677" s="580" t="str">
        <f t="shared" si="158"/>
        <v/>
      </c>
      <c r="HB677" s="580" t="str">
        <f t="shared" si="159"/>
        <v/>
      </c>
      <c r="HC677" s="580" t="str">
        <f t="shared" si="160"/>
        <v/>
      </c>
      <c r="HD677" s="580" t="str">
        <f t="shared" si="161"/>
        <v/>
      </c>
      <c r="HE677" s="580" t="str">
        <f t="shared" si="162"/>
        <v/>
      </c>
      <c r="HF677" s="580" t="str">
        <f t="shared" si="163"/>
        <v/>
      </c>
      <c r="HG677" s="580" t="str">
        <f t="shared" si="164"/>
        <v/>
      </c>
      <c r="HH677" s="580" t="str">
        <f t="shared" si="165"/>
        <v/>
      </c>
      <c r="HI677" s="580" t="str">
        <f t="shared" si="166"/>
        <v/>
      </c>
      <c r="HJ677" s="580" t="str">
        <f t="shared" si="167"/>
        <v/>
      </c>
      <c r="HK677" s="580" t="str">
        <f t="shared" si="168"/>
        <v/>
      </c>
      <c r="HL677" s="580" t="str">
        <f t="shared" si="169"/>
        <v/>
      </c>
      <c r="HM677" s="580" t="str">
        <f t="shared" si="170"/>
        <v/>
      </c>
    </row>
    <row r="678" spans="1:221" ht="13.15" customHeight="1">
      <c r="A678" s="888" t="str">
        <f t="shared" si="171"/>
        <v/>
      </c>
      <c r="B678" s="1054" t="str">
        <f>'Part VI-Revenues &amp; Expenses'!B44</f>
        <v>&lt;&lt;Select&gt;&gt;</v>
      </c>
      <c r="C678" s="1055">
        <f>'Part VI-Revenues &amp; Expenses'!C44</f>
        <v>0</v>
      </c>
      <c r="D678" s="1056">
        <f>'Part VI-Revenues &amp; Expenses'!D44</f>
        <v>0</v>
      </c>
      <c r="E678" s="1057">
        <f>'Part VI-Revenues &amp; Expenses'!E44</f>
        <v>0</v>
      </c>
      <c r="F678" s="1057">
        <f>'Part VI-Revenues &amp; Expenses'!F44</f>
        <v>0</v>
      </c>
      <c r="G678" s="1057">
        <f>'Part VI-Revenues &amp; Expenses'!G44</f>
        <v>0</v>
      </c>
      <c r="H678" s="1057">
        <f>'Part VI-Revenues &amp; Expenses'!H44</f>
        <v>0</v>
      </c>
      <c r="I678" s="1057">
        <f>'Part VI-Revenues &amp; Expenses'!I44</f>
        <v>0</v>
      </c>
      <c r="J678" s="818">
        <f>'Part VI-Revenues &amp; Expenses'!J44</f>
        <v>0</v>
      </c>
      <c r="K678" s="893">
        <f t="shared" si="205"/>
        <v>0</v>
      </c>
      <c r="L678" s="893">
        <f t="shared" si="0"/>
        <v>0</v>
      </c>
      <c r="M678" s="783">
        <f>'Part VI-Revenues &amp; Expenses'!M44</f>
        <v>0</v>
      </c>
      <c r="N678" s="783">
        <f>'Part VI-Revenues &amp; Expenses'!N44</f>
        <v>0</v>
      </c>
      <c r="O678" s="783">
        <f>'Part VI-Revenues &amp; Expenses'!O44</f>
        <v>0</v>
      </c>
      <c r="P678" s="894">
        <f t="shared" si="203"/>
        <v>0</v>
      </c>
      <c r="Q678" s="895" t="str">
        <f>'Part VI-Revenues &amp; Expenses'!Q44</f>
        <v/>
      </c>
      <c r="R678" s="894"/>
      <c r="S678" s="895"/>
      <c r="T678" s="2130"/>
      <c r="U678" s="2130"/>
      <c r="V678" s="580" t="str">
        <f t="shared" si="1"/>
        <v/>
      </c>
      <c r="W678" s="580" t="str">
        <f t="shared" si="2"/>
        <v/>
      </c>
      <c r="X678" s="580" t="str">
        <f t="shared" si="3"/>
        <v/>
      </c>
      <c r="Y678" s="580" t="str">
        <f t="shared" si="4"/>
        <v/>
      </c>
      <c r="Z678" s="580" t="str">
        <f t="shared" si="5"/>
        <v/>
      </c>
      <c r="AA678" s="580" t="str">
        <f t="shared" si="6"/>
        <v/>
      </c>
      <c r="AB678" s="580" t="str">
        <f t="shared" si="7"/>
        <v/>
      </c>
      <c r="AC678" s="580" t="str">
        <f t="shared" si="8"/>
        <v/>
      </c>
      <c r="AD678" s="580" t="str">
        <f t="shared" si="9"/>
        <v/>
      </c>
      <c r="AE678" s="580" t="str">
        <f t="shared" si="10"/>
        <v/>
      </c>
      <c r="AF678" s="580" t="str">
        <f t="shared" si="11"/>
        <v/>
      </c>
      <c r="AG678" s="580" t="str">
        <f t="shared" si="12"/>
        <v/>
      </c>
      <c r="AH678" s="580" t="str">
        <f t="shared" si="13"/>
        <v/>
      </c>
      <c r="AI678" s="580" t="str">
        <f t="shared" si="14"/>
        <v/>
      </c>
      <c r="AJ678" s="580" t="str">
        <f t="shared" si="15"/>
        <v/>
      </c>
      <c r="AK678" s="580" t="str">
        <f t="shared" si="16"/>
        <v/>
      </c>
      <c r="AL678" s="580" t="str">
        <f t="shared" si="17"/>
        <v/>
      </c>
      <c r="AM678" s="580" t="str">
        <f t="shared" si="18"/>
        <v/>
      </c>
      <c r="AN678" s="580" t="str">
        <f t="shared" si="19"/>
        <v/>
      </c>
      <c r="AO678" s="580" t="str">
        <f t="shared" si="20"/>
        <v/>
      </c>
      <c r="AP678" s="580" t="str">
        <f t="shared" si="173"/>
        <v/>
      </c>
      <c r="AQ678" s="580" t="str">
        <f t="shared" si="174"/>
        <v/>
      </c>
      <c r="AR678" s="580" t="str">
        <f t="shared" si="175"/>
        <v/>
      </c>
      <c r="AS678" s="580" t="str">
        <f t="shared" si="176"/>
        <v/>
      </c>
      <c r="AT678" s="580" t="str">
        <f t="shared" si="177"/>
        <v/>
      </c>
      <c r="AU678" s="580" t="str">
        <f t="shared" si="178"/>
        <v/>
      </c>
      <c r="AV678" s="580" t="str">
        <f t="shared" si="179"/>
        <v/>
      </c>
      <c r="AW678" s="580" t="str">
        <f t="shared" si="180"/>
        <v/>
      </c>
      <c r="AX678" s="580" t="str">
        <f t="shared" si="181"/>
        <v/>
      </c>
      <c r="AY678" s="580" t="str">
        <f t="shared" si="182"/>
        <v/>
      </c>
      <c r="AZ678" s="580" t="str">
        <f t="shared" si="183"/>
        <v/>
      </c>
      <c r="BA678" s="580" t="str">
        <f t="shared" si="184"/>
        <v/>
      </c>
      <c r="BB678" s="580" t="str">
        <f t="shared" si="185"/>
        <v/>
      </c>
      <c r="BC678" s="580" t="str">
        <f t="shared" si="186"/>
        <v/>
      </c>
      <c r="BD678" s="580" t="str">
        <f t="shared" si="187"/>
        <v/>
      </c>
      <c r="BE678" s="580" t="str">
        <f t="shared" si="188"/>
        <v/>
      </c>
      <c r="BF678" s="580" t="str">
        <f t="shared" si="189"/>
        <v/>
      </c>
      <c r="BG678" s="580" t="str">
        <f t="shared" si="190"/>
        <v/>
      </c>
      <c r="BH678" s="580" t="str">
        <f t="shared" si="191"/>
        <v/>
      </c>
      <c r="BI678" s="580" t="str">
        <f t="shared" si="192"/>
        <v/>
      </c>
      <c r="BJ678" s="580" t="str">
        <f t="shared" si="193"/>
        <v/>
      </c>
      <c r="BK678" s="580" t="str">
        <f t="shared" si="194"/>
        <v/>
      </c>
      <c r="BL678" s="580" t="str">
        <f t="shared" si="195"/>
        <v/>
      </c>
      <c r="BM678" s="580" t="str">
        <f t="shared" si="196"/>
        <v/>
      </c>
      <c r="BN678" s="580" t="str">
        <f t="shared" si="197"/>
        <v/>
      </c>
      <c r="BO678" s="580" t="str">
        <f t="shared" si="198"/>
        <v/>
      </c>
      <c r="BP678" s="580" t="str">
        <f t="shared" si="199"/>
        <v/>
      </c>
      <c r="BQ678" s="580" t="str">
        <f t="shared" si="200"/>
        <v/>
      </c>
      <c r="BR678" s="580" t="str">
        <f t="shared" si="201"/>
        <v/>
      </c>
      <c r="BS678" s="580" t="str">
        <f t="shared" si="202"/>
        <v/>
      </c>
      <c r="BT678" s="580" t="str">
        <f t="shared" si="21"/>
        <v/>
      </c>
      <c r="BU678" s="580" t="str">
        <f t="shared" si="22"/>
        <v/>
      </c>
      <c r="BV678" s="580" t="str">
        <f t="shared" si="23"/>
        <v/>
      </c>
      <c r="BW678" s="580" t="str">
        <f t="shared" si="24"/>
        <v/>
      </c>
      <c r="BX678" s="580" t="str">
        <f t="shared" si="25"/>
        <v/>
      </c>
      <c r="BY678" s="580" t="str">
        <f t="shared" si="26"/>
        <v/>
      </c>
      <c r="BZ678" s="580" t="str">
        <f t="shared" si="27"/>
        <v/>
      </c>
      <c r="CA678" s="580" t="str">
        <f t="shared" si="28"/>
        <v/>
      </c>
      <c r="CB678" s="580" t="str">
        <f t="shared" si="29"/>
        <v/>
      </c>
      <c r="CC678" s="580" t="str">
        <f t="shared" si="30"/>
        <v/>
      </c>
      <c r="CD678" s="580" t="str">
        <f t="shared" si="31"/>
        <v/>
      </c>
      <c r="CE678" s="580" t="str">
        <f t="shared" si="32"/>
        <v/>
      </c>
      <c r="CF678" s="580" t="str">
        <f t="shared" si="33"/>
        <v/>
      </c>
      <c r="CG678" s="580" t="str">
        <f t="shared" si="34"/>
        <v/>
      </c>
      <c r="CH678" s="580" t="str">
        <f t="shared" si="35"/>
        <v/>
      </c>
      <c r="CI678" s="580" t="str">
        <f t="shared" si="36"/>
        <v/>
      </c>
      <c r="CJ678" s="580" t="str">
        <f t="shared" si="37"/>
        <v/>
      </c>
      <c r="CK678" s="580" t="str">
        <f t="shared" si="38"/>
        <v/>
      </c>
      <c r="CL678" s="580" t="str">
        <f t="shared" si="39"/>
        <v/>
      </c>
      <c r="CM678" s="580" t="str">
        <f t="shared" si="40"/>
        <v/>
      </c>
      <c r="CN678" s="580" t="str">
        <f t="shared" si="41"/>
        <v/>
      </c>
      <c r="CO678" s="580" t="str">
        <f t="shared" si="42"/>
        <v/>
      </c>
      <c r="CP678" s="580" t="str">
        <f t="shared" si="43"/>
        <v/>
      </c>
      <c r="CQ678" s="580" t="str">
        <f t="shared" si="44"/>
        <v/>
      </c>
      <c r="CR678" s="580" t="str">
        <f t="shared" si="45"/>
        <v/>
      </c>
      <c r="CS678" s="580" t="str">
        <f t="shared" si="46"/>
        <v/>
      </c>
      <c r="CT678" s="580" t="str">
        <f t="shared" si="47"/>
        <v/>
      </c>
      <c r="CU678" s="580" t="str">
        <f t="shared" si="48"/>
        <v/>
      </c>
      <c r="CV678" s="580" t="str">
        <f t="shared" si="49"/>
        <v/>
      </c>
      <c r="CW678" s="580" t="str">
        <f t="shared" si="50"/>
        <v/>
      </c>
      <c r="CX678" s="580" t="str">
        <f t="shared" si="51"/>
        <v/>
      </c>
      <c r="CY678" s="580" t="str">
        <f t="shared" si="52"/>
        <v/>
      </c>
      <c r="CZ678" s="580" t="str">
        <f t="shared" si="53"/>
        <v/>
      </c>
      <c r="DA678" s="580" t="str">
        <f t="shared" si="54"/>
        <v/>
      </c>
      <c r="DB678" s="580" t="str">
        <f t="shared" si="55"/>
        <v/>
      </c>
      <c r="DC678" s="580" t="str">
        <f t="shared" si="56"/>
        <v/>
      </c>
      <c r="DD678" s="580" t="str">
        <f t="shared" si="57"/>
        <v/>
      </c>
      <c r="DE678" s="580" t="str">
        <f t="shared" si="58"/>
        <v/>
      </c>
      <c r="DF678" s="580" t="str">
        <f t="shared" si="59"/>
        <v/>
      </c>
      <c r="DG678" s="580" t="str">
        <f t="shared" si="60"/>
        <v/>
      </c>
      <c r="DH678" s="580" t="str">
        <f t="shared" si="61"/>
        <v/>
      </c>
      <c r="DI678" s="580" t="str">
        <f t="shared" si="62"/>
        <v/>
      </c>
      <c r="DJ678" s="580" t="str">
        <f t="shared" si="63"/>
        <v/>
      </c>
      <c r="DK678" s="580" t="str">
        <f t="shared" si="64"/>
        <v/>
      </c>
      <c r="DL678" s="580" t="str">
        <f t="shared" si="65"/>
        <v/>
      </c>
      <c r="DM678" s="580" t="str">
        <f t="shared" si="66"/>
        <v/>
      </c>
      <c r="DN678" s="580" t="str">
        <f t="shared" si="67"/>
        <v/>
      </c>
      <c r="DO678" s="580" t="str">
        <f t="shared" si="68"/>
        <v/>
      </c>
      <c r="DP678" s="580" t="str">
        <f t="shared" si="69"/>
        <v/>
      </c>
      <c r="DQ678" s="580" t="str">
        <f t="shared" si="70"/>
        <v/>
      </c>
      <c r="DR678" s="580" t="str">
        <f t="shared" si="71"/>
        <v/>
      </c>
      <c r="DS678" s="580" t="str">
        <f t="shared" si="72"/>
        <v/>
      </c>
      <c r="DT678" s="580" t="str">
        <f t="shared" si="73"/>
        <v/>
      </c>
      <c r="DU678" s="580" t="str">
        <f t="shared" si="74"/>
        <v/>
      </c>
      <c r="DV678" s="580" t="str">
        <f t="shared" si="75"/>
        <v/>
      </c>
      <c r="DW678" s="580" t="str">
        <f t="shared" si="76"/>
        <v/>
      </c>
      <c r="DX678" s="580" t="str">
        <f t="shared" si="77"/>
        <v/>
      </c>
      <c r="DY678" s="580" t="str">
        <f t="shared" si="78"/>
        <v/>
      </c>
      <c r="DZ678" s="580" t="str">
        <f t="shared" si="79"/>
        <v/>
      </c>
      <c r="EA678" s="580" t="str">
        <f t="shared" si="80"/>
        <v/>
      </c>
      <c r="EB678" s="580" t="str">
        <f t="shared" si="81"/>
        <v/>
      </c>
      <c r="EC678" s="580" t="str">
        <f t="shared" si="82"/>
        <v/>
      </c>
      <c r="ED678" s="580" t="str">
        <f t="shared" si="83"/>
        <v/>
      </c>
      <c r="EE678" s="580" t="str">
        <f t="shared" si="84"/>
        <v/>
      </c>
      <c r="EF678" s="580" t="str">
        <f t="shared" si="85"/>
        <v/>
      </c>
      <c r="EG678" s="580" t="str">
        <f t="shared" si="86"/>
        <v/>
      </c>
      <c r="EH678" s="580" t="str">
        <f t="shared" si="87"/>
        <v/>
      </c>
      <c r="EI678" s="580" t="str">
        <f t="shared" si="88"/>
        <v/>
      </c>
      <c r="EJ678" s="580" t="str">
        <f t="shared" si="89"/>
        <v/>
      </c>
      <c r="EK678" s="580" t="str">
        <f t="shared" si="90"/>
        <v/>
      </c>
      <c r="EL678" s="580" t="str">
        <f t="shared" si="91"/>
        <v/>
      </c>
      <c r="EM678" s="580" t="str">
        <f t="shared" si="92"/>
        <v/>
      </c>
      <c r="EN678" s="580" t="str">
        <f t="shared" si="93"/>
        <v/>
      </c>
      <c r="EO678" s="580" t="str">
        <f t="shared" si="94"/>
        <v/>
      </c>
      <c r="EP678" s="580" t="str">
        <f t="shared" si="95"/>
        <v/>
      </c>
      <c r="EQ678" s="580" t="str">
        <f t="shared" si="96"/>
        <v/>
      </c>
      <c r="ER678" s="580" t="str">
        <f t="shared" si="97"/>
        <v/>
      </c>
      <c r="ES678" s="580" t="str">
        <f t="shared" si="98"/>
        <v/>
      </c>
      <c r="ET678" s="580" t="str">
        <f t="shared" si="99"/>
        <v/>
      </c>
      <c r="EU678" s="580" t="str">
        <f t="shared" si="100"/>
        <v/>
      </c>
      <c r="EV678" s="785" t="str">
        <f t="shared" si="101"/>
        <v/>
      </c>
      <c r="EW678" s="785" t="str">
        <f t="shared" si="102"/>
        <v/>
      </c>
      <c r="EX678" s="785" t="str">
        <f t="shared" si="103"/>
        <v/>
      </c>
      <c r="EY678" s="785" t="str">
        <f t="shared" si="104"/>
        <v/>
      </c>
      <c r="EZ678" s="785" t="str">
        <f t="shared" si="105"/>
        <v/>
      </c>
      <c r="FA678" s="785" t="str">
        <f t="shared" si="106"/>
        <v/>
      </c>
      <c r="FB678" s="785" t="str">
        <f t="shared" si="107"/>
        <v/>
      </c>
      <c r="FC678" s="785" t="str">
        <f t="shared" si="108"/>
        <v/>
      </c>
      <c r="FD678" s="785" t="str">
        <f t="shared" si="109"/>
        <v/>
      </c>
      <c r="FE678" s="785" t="str">
        <f t="shared" si="110"/>
        <v/>
      </c>
      <c r="FF678" s="785" t="str">
        <f t="shared" si="111"/>
        <v/>
      </c>
      <c r="FG678" s="785" t="str">
        <f t="shared" si="112"/>
        <v/>
      </c>
      <c r="FH678" s="785" t="str">
        <f t="shared" si="113"/>
        <v/>
      </c>
      <c r="FI678" s="785" t="str">
        <f t="shared" si="114"/>
        <v/>
      </c>
      <c r="FJ678" s="785" t="str">
        <f t="shared" si="115"/>
        <v/>
      </c>
      <c r="FK678" s="785" t="str">
        <f t="shared" si="116"/>
        <v/>
      </c>
      <c r="FL678" s="785" t="str">
        <f t="shared" si="117"/>
        <v/>
      </c>
      <c r="FM678" s="785" t="str">
        <f t="shared" si="118"/>
        <v/>
      </c>
      <c r="FN678" s="785" t="str">
        <f t="shared" si="119"/>
        <v/>
      </c>
      <c r="FO678" s="785" t="str">
        <f t="shared" si="120"/>
        <v/>
      </c>
      <c r="FP678" s="785" t="str">
        <f t="shared" si="121"/>
        <v/>
      </c>
      <c r="FQ678" s="785" t="str">
        <f t="shared" si="122"/>
        <v/>
      </c>
      <c r="FR678" s="785" t="str">
        <f t="shared" si="123"/>
        <v/>
      </c>
      <c r="FS678" s="785" t="str">
        <f t="shared" si="124"/>
        <v/>
      </c>
      <c r="FT678" s="785" t="str">
        <f t="shared" si="125"/>
        <v/>
      </c>
      <c r="FU678" s="785" t="str">
        <f t="shared" si="126"/>
        <v/>
      </c>
      <c r="FV678" s="785" t="str">
        <f t="shared" si="127"/>
        <v/>
      </c>
      <c r="FW678" s="785" t="str">
        <f t="shared" si="128"/>
        <v/>
      </c>
      <c r="FX678" s="785" t="str">
        <f t="shared" si="129"/>
        <v/>
      </c>
      <c r="FY678" s="785" t="str">
        <f t="shared" si="130"/>
        <v/>
      </c>
      <c r="FZ678" s="785" t="str">
        <f t="shared" si="131"/>
        <v/>
      </c>
      <c r="GA678" s="785" t="str">
        <f t="shared" si="132"/>
        <v/>
      </c>
      <c r="GB678" s="785" t="str">
        <f t="shared" si="133"/>
        <v/>
      </c>
      <c r="GC678" s="785" t="str">
        <f t="shared" si="134"/>
        <v/>
      </c>
      <c r="GD678" s="785" t="str">
        <f t="shared" si="135"/>
        <v/>
      </c>
      <c r="GE678" s="785" t="str">
        <f t="shared" si="136"/>
        <v/>
      </c>
      <c r="GF678" s="785" t="str">
        <f t="shared" si="137"/>
        <v/>
      </c>
      <c r="GG678" s="785" t="str">
        <f t="shared" si="138"/>
        <v/>
      </c>
      <c r="GH678" s="785" t="str">
        <f t="shared" si="139"/>
        <v/>
      </c>
      <c r="GI678" s="785" t="str">
        <f t="shared" si="140"/>
        <v/>
      </c>
      <c r="GJ678" s="785" t="str">
        <f t="shared" si="141"/>
        <v/>
      </c>
      <c r="GK678" s="785" t="str">
        <f t="shared" si="142"/>
        <v/>
      </c>
      <c r="GL678" s="785" t="str">
        <f t="shared" si="143"/>
        <v/>
      </c>
      <c r="GM678" s="785" t="str">
        <f t="shared" si="144"/>
        <v/>
      </c>
      <c r="GN678" s="785" t="str">
        <f t="shared" si="145"/>
        <v/>
      </c>
      <c r="GO678" s="786" t="str">
        <f t="shared" si="146"/>
        <v/>
      </c>
      <c r="GP678" s="786" t="str">
        <f t="shared" si="147"/>
        <v/>
      </c>
      <c r="GQ678" s="786" t="str">
        <f t="shared" si="148"/>
        <v/>
      </c>
      <c r="GR678" s="786" t="str">
        <f t="shared" si="149"/>
        <v/>
      </c>
      <c r="GS678" s="786" t="str">
        <f t="shared" si="150"/>
        <v/>
      </c>
      <c r="GT678" s="580" t="str">
        <f t="shared" si="151"/>
        <v/>
      </c>
      <c r="GU678" s="580" t="str">
        <f t="shared" si="152"/>
        <v/>
      </c>
      <c r="GV678" s="580" t="str">
        <f t="shared" si="153"/>
        <v/>
      </c>
      <c r="GW678" s="580" t="str">
        <f t="shared" si="154"/>
        <v/>
      </c>
      <c r="GX678" s="580" t="str">
        <f t="shared" si="155"/>
        <v/>
      </c>
      <c r="GY678" s="580" t="str">
        <f t="shared" si="156"/>
        <v/>
      </c>
      <c r="GZ678" s="580" t="str">
        <f t="shared" si="157"/>
        <v/>
      </c>
      <c r="HA678" s="580" t="str">
        <f t="shared" si="158"/>
        <v/>
      </c>
      <c r="HB678" s="580" t="str">
        <f t="shared" si="159"/>
        <v/>
      </c>
      <c r="HC678" s="580" t="str">
        <f t="shared" si="160"/>
        <v/>
      </c>
      <c r="HD678" s="580" t="str">
        <f t="shared" si="161"/>
        <v/>
      </c>
      <c r="HE678" s="580" t="str">
        <f t="shared" si="162"/>
        <v/>
      </c>
      <c r="HF678" s="580" t="str">
        <f t="shared" si="163"/>
        <v/>
      </c>
      <c r="HG678" s="580" t="str">
        <f t="shared" si="164"/>
        <v/>
      </c>
      <c r="HH678" s="580" t="str">
        <f t="shared" si="165"/>
        <v/>
      </c>
      <c r="HI678" s="580" t="str">
        <f t="shared" si="166"/>
        <v/>
      </c>
      <c r="HJ678" s="580" t="str">
        <f t="shared" si="167"/>
        <v/>
      </c>
      <c r="HK678" s="580" t="str">
        <f t="shared" si="168"/>
        <v/>
      </c>
      <c r="HL678" s="580" t="str">
        <f t="shared" si="169"/>
        <v/>
      </c>
      <c r="HM678" s="580" t="str">
        <f t="shared" si="170"/>
        <v/>
      </c>
    </row>
    <row r="679" spans="1:221" ht="13.15" customHeight="1">
      <c r="A679" s="888" t="str">
        <f t="shared" si="171"/>
        <v/>
      </c>
      <c r="B679" s="1054" t="str">
        <f>'Part VI-Revenues &amp; Expenses'!B45</f>
        <v>&lt;&lt;Select&gt;&gt;</v>
      </c>
      <c r="C679" s="1055">
        <f>'Part VI-Revenues &amp; Expenses'!C45</f>
        <v>0</v>
      </c>
      <c r="D679" s="1056">
        <f>'Part VI-Revenues &amp; Expenses'!D45</f>
        <v>0</v>
      </c>
      <c r="E679" s="1057">
        <f>'Part VI-Revenues &amp; Expenses'!E45</f>
        <v>0</v>
      </c>
      <c r="F679" s="1057">
        <f>'Part VI-Revenues &amp; Expenses'!F45</f>
        <v>0</v>
      </c>
      <c r="G679" s="1057">
        <f>'Part VI-Revenues &amp; Expenses'!G45</f>
        <v>0</v>
      </c>
      <c r="H679" s="1057">
        <f>'Part VI-Revenues &amp; Expenses'!H45</f>
        <v>0</v>
      </c>
      <c r="I679" s="1057">
        <f>'Part VI-Revenues &amp; Expenses'!I45</f>
        <v>0</v>
      </c>
      <c r="J679" s="818">
        <f>'Part VI-Revenues &amp; Expenses'!J45</f>
        <v>0</v>
      </c>
      <c r="K679" s="893">
        <f t="shared" si="205"/>
        <v>0</v>
      </c>
      <c r="L679" s="893">
        <f t="shared" si="0"/>
        <v>0</v>
      </c>
      <c r="M679" s="783">
        <f>'Part VI-Revenues &amp; Expenses'!M45</f>
        <v>0</v>
      </c>
      <c r="N679" s="783">
        <f>'Part VI-Revenues &amp; Expenses'!N45</f>
        <v>0</v>
      </c>
      <c r="O679" s="783">
        <f>'Part VI-Revenues &amp; Expenses'!O45</f>
        <v>0</v>
      </c>
      <c r="P679" s="894">
        <f t="shared" si="203"/>
        <v>0</v>
      </c>
      <c r="Q679" s="895" t="str">
        <f>'Part VI-Revenues &amp; Expenses'!Q45</f>
        <v/>
      </c>
      <c r="R679" s="894"/>
      <c r="S679" s="895"/>
      <c r="T679" s="2130"/>
      <c r="U679" s="2130"/>
      <c r="V679" s="580" t="str">
        <f t="shared" si="1"/>
        <v/>
      </c>
      <c r="W679" s="580" t="str">
        <f t="shared" si="2"/>
        <v/>
      </c>
      <c r="X679" s="580" t="str">
        <f t="shared" si="3"/>
        <v/>
      </c>
      <c r="Y679" s="580" t="str">
        <f t="shared" si="4"/>
        <v/>
      </c>
      <c r="Z679" s="580" t="str">
        <f t="shared" si="5"/>
        <v/>
      </c>
      <c r="AA679" s="580" t="str">
        <f t="shared" si="6"/>
        <v/>
      </c>
      <c r="AB679" s="580" t="str">
        <f t="shared" si="7"/>
        <v/>
      </c>
      <c r="AC679" s="580" t="str">
        <f t="shared" si="8"/>
        <v/>
      </c>
      <c r="AD679" s="580" t="str">
        <f t="shared" si="9"/>
        <v/>
      </c>
      <c r="AE679" s="580" t="str">
        <f t="shared" si="10"/>
        <v/>
      </c>
      <c r="AF679" s="580" t="str">
        <f t="shared" si="11"/>
        <v/>
      </c>
      <c r="AG679" s="580" t="str">
        <f t="shared" si="12"/>
        <v/>
      </c>
      <c r="AH679" s="580" t="str">
        <f t="shared" si="13"/>
        <v/>
      </c>
      <c r="AI679" s="580" t="str">
        <f t="shared" si="14"/>
        <v/>
      </c>
      <c r="AJ679" s="580" t="str">
        <f t="shared" si="15"/>
        <v/>
      </c>
      <c r="AK679" s="580" t="str">
        <f t="shared" si="16"/>
        <v/>
      </c>
      <c r="AL679" s="580" t="str">
        <f t="shared" si="17"/>
        <v/>
      </c>
      <c r="AM679" s="580" t="str">
        <f t="shared" si="18"/>
        <v/>
      </c>
      <c r="AN679" s="580" t="str">
        <f t="shared" si="19"/>
        <v/>
      </c>
      <c r="AO679" s="580" t="str">
        <f t="shared" si="20"/>
        <v/>
      </c>
      <c r="AP679" s="580" t="str">
        <f t="shared" si="173"/>
        <v/>
      </c>
      <c r="AQ679" s="580" t="str">
        <f t="shared" si="174"/>
        <v/>
      </c>
      <c r="AR679" s="580" t="str">
        <f t="shared" si="175"/>
        <v/>
      </c>
      <c r="AS679" s="580" t="str">
        <f t="shared" si="176"/>
        <v/>
      </c>
      <c r="AT679" s="580" t="str">
        <f t="shared" si="177"/>
        <v/>
      </c>
      <c r="AU679" s="580" t="str">
        <f t="shared" si="178"/>
        <v/>
      </c>
      <c r="AV679" s="580" t="str">
        <f t="shared" si="179"/>
        <v/>
      </c>
      <c r="AW679" s="580" t="str">
        <f t="shared" si="180"/>
        <v/>
      </c>
      <c r="AX679" s="580" t="str">
        <f t="shared" si="181"/>
        <v/>
      </c>
      <c r="AY679" s="580" t="str">
        <f t="shared" si="182"/>
        <v/>
      </c>
      <c r="AZ679" s="580" t="str">
        <f t="shared" si="183"/>
        <v/>
      </c>
      <c r="BA679" s="580" t="str">
        <f t="shared" si="184"/>
        <v/>
      </c>
      <c r="BB679" s="580" t="str">
        <f t="shared" si="185"/>
        <v/>
      </c>
      <c r="BC679" s="580" t="str">
        <f t="shared" si="186"/>
        <v/>
      </c>
      <c r="BD679" s="580" t="str">
        <f t="shared" si="187"/>
        <v/>
      </c>
      <c r="BE679" s="580" t="str">
        <f t="shared" si="188"/>
        <v/>
      </c>
      <c r="BF679" s="580" t="str">
        <f t="shared" si="189"/>
        <v/>
      </c>
      <c r="BG679" s="580" t="str">
        <f t="shared" si="190"/>
        <v/>
      </c>
      <c r="BH679" s="580" t="str">
        <f t="shared" si="191"/>
        <v/>
      </c>
      <c r="BI679" s="580" t="str">
        <f t="shared" si="192"/>
        <v/>
      </c>
      <c r="BJ679" s="580" t="str">
        <f t="shared" si="193"/>
        <v/>
      </c>
      <c r="BK679" s="580" t="str">
        <f t="shared" si="194"/>
        <v/>
      </c>
      <c r="BL679" s="580" t="str">
        <f t="shared" si="195"/>
        <v/>
      </c>
      <c r="BM679" s="580" t="str">
        <f t="shared" si="196"/>
        <v/>
      </c>
      <c r="BN679" s="580" t="str">
        <f t="shared" si="197"/>
        <v/>
      </c>
      <c r="BO679" s="580" t="str">
        <f t="shared" si="198"/>
        <v/>
      </c>
      <c r="BP679" s="580" t="str">
        <f t="shared" si="199"/>
        <v/>
      </c>
      <c r="BQ679" s="580" t="str">
        <f t="shared" si="200"/>
        <v/>
      </c>
      <c r="BR679" s="580" t="str">
        <f t="shared" si="201"/>
        <v/>
      </c>
      <c r="BS679" s="580" t="str">
        <f t="shared" si="202"/>
        <v/>
      </c>
      <c r="BT679" s="580" t="str">
        <f t="shared" si="21"/>
        <v/>
      </c>
      <c r="BU679" s="580" t="str">
        <f t="shared" si="22"/>
        <v/>
      </c>
      <c r="BV679" s="580" t="str">
        <f t="shared" si="23"/>
        <v/>
      </c>
      <c r="BW679" s="580" t="str">
        <f t="shared" si="24"/>
        <v/>
      </c>
      <c r="BX679" s="580" t="str">
        <f t="shared" si="25"/>
        <v/>
      </c>
      <c r="BY679" s="580" t="str">
        <f t="shared" si="26"/>
        <v/>
      </c>
      <c r="BZ679" s="580" t="str">
        <f t="shared" si="27"/>
        <v/>
      </c>
      <c r="CA679" s="580" t="str">
        <f t="shared" si="28"/>
        <v/>
      </c>
      <c r="CB679" s="580" t="str">
        <f t="shared" si="29"/>
        <v/>
      </c>
      <c r="CC679" s="580" t="str">
        <f t="shared" si="30"/>
        <v/>
      </c>
      <c r="CD679" s="580" t="str">
        <f t="shared" si="31"/>
        <v/>
      </c>
      <c r="CE679" s="580" t="str">
        <f t="shared" si="32"/>
        <v/>
      </c>
      <c r="CF679" s="580" t="str">
        <f t="shared" si="33"/>
        <v/>
      </c>
      <c r="CG679" s="580" t="str">
        <f t="shared" si="34"/>
        <v/>
      </c>
      <c r="CH679" s="580" t="str">
        <f t="shared" si="35"/>
        <v/>
      </c>
      <c r="CI679" s="580" t="str">
        <f t="shared" si="36"/>
        <v/>
      </c>
      <c r="CJ679" s="580" t="str">
        <f t="shared" si="37"/>
        <v/>
      </c>
      <c r="CK679" s="580" t="str">
        <f t="shared" si="38"/>
        <v/>
      </c>
      <c r="CL679" s="580" t="str">
        <f t="shared" si="39"/>
        <v/>
      </c>
      <c r="CM679" s="580" t="str">
        <f t="shared" si="40"/>
        <v/>
      </c>
      <c r="CN679" s="580" t="str">
        <f t="shared" si="41"/>
        <v/>
      </c>
      <c r="CO679" s="580" t="str">
        <f t="shared" si="42"/>
        <v/>
      </c>
      <c r="CP679" s="580" t="str">
        <f t="shared" si="43"/>
        <v/>
      </c>
      <c r="CQ679" s="580" t="str">
        <f t="shared" si="44"/>
        <v/>
      </c>
      <c r="CR679" s="580" t="str">
        <f t="shared" si="45"/>
        <v/>
      </c>
      <c r="CS679" s="580" t="str">
        <f t="shared" si="46"/>
        <v/>
      </c>
      <c r="CT679" s="580" t="str">
        <f t="shared" si="47"/>
        <v/>
      </c>
      <c r="CU679" s="580" t="str">
        <f t="shared" si="48"/>
        <v/>
      </c>
      <c r="CV679" s="580" t="str">
        <f t="shared" si="49"/>
        <v/>
      </c>
      <c r="CW679" s="580" t="str">
        <f t="shared" si="50"/>
        <v/>
      </c>
      <c r="CX679" s="580" t="str">
        <f t="shared" si="51"/>
        <v/>
      </c>
      <c r="CY679" s="580" t="str">
        <f t="shared" si="52"/>
        <v/>
      </c>
      <c r="CZ679" s="580" t="str">
        <f t="shared" si="53"/>
        <v/>
      </c>
      <c r="DA679" s="580" t="str">
        <f t="shared" si="54"/>
        <v/>
      </c>
      <c r="DB679" s="580" t="str">
        <f t="shared" si="55"/>
        <v/>
      </c>
      <c r="DC679" s="580" t="str">
        <f t="shared" si="56"/>
        <v/>
      </c>
      <c r="DD679" s="580" t="str">
        <f t="shared" si="57"/>
        <v/>
      </c>
      <c r="DE679" s="580" t="str">
        <f t="shared" si="58"/>
        <v/>
      </c>
      <c r="DF679" s="580" t="str">
        <f t="shared" si="59"/>
        <v/>
      </c>
      <c r="DG679" s="580" t="str">
        <f t="shared" si="60"/>
        <v/>
      </c>
      <c r="DH679" s="580" t="str">
        <f t="shared" si="61"/>
        <v/>
      </c>
      <c r="DI679" s="580" t="str">
        <f t="shared" si="62"/>
        <v/>
      </c>
      <c r="DJ679" s="580" t="str">
        <f t="shared" si="63"/>
        <v/>
      </c>
      <c r="DK679" s="580" t="str">
        <f t="shared" si="64"/>
        <v/>
      </c>
      <c r="DL679" s="580" t="str">
        <f t="shared" si="65"/>
        <v/>
      </c>
      <c r="DM679" s="580" t="str">
        <f t="shared" si="66"/>
        <v/>
      </c>
      <c r="DN679" s="580" t="str">
        <f t="shared" si="67"/>
        <v/>
      </c>
      <c r="DO679" s="580" t="str">
        <f t="shared" si="68"/>
        <v/>
      </c>
      <c r="DP679" s="580" t="str">
        <f t="shared" si="69"/>
        <v/>
      </c>
      <c r="DQ679" s="580" t="str">
        <f t="shared" si="70"/>
        <v/>
      </c>
      <c r="DR679" s="580" t="str">
        <f t="shared" si="71"/>
        <v/>
      </c>
      <c r="DS679" s="580" t="str">
        <f t="shared" si="72"/>
        <v/>
      </c>
      <c r="DT679" s="580" t="str">
        <f t="shared" si="73"/>
        <v/>
      </c>
      <c r="DU679" s="580" t="str">
        <f t="shared" si="74"/>
        <v/>
      </c>
      <c r="DV679" s="580" t="str">
        <f t="shared" si="75"/>
        <v/>
      </c>
      <c r="DW679" s="580" t="str">
        <f t="shared" si="76"/>
        <v/>
      </c>
      <c r="DX679" s="580" t="str">
        <f t="shared" si="77"/>
        <v/>
      </c>
      <c r="DY679" s="580" t="str">
        <f t="shared" si="78"/>
        <v/>
      </c>
      <c r="DZ679" s="580" t="str">
        <f t="shared" si="79"/>
        <v/>
      </c>
      <c r="EA679" s="580" t="str">
        <f t="shared" si="80"/>
        <v/>
      </c>
      <c r="EB679" s="580" t="str">
        <f t="shared" si="81"/>
        <v/>
      </c>
      <c r="EC679" s="580" t="str">
        <f t="shared" si="82"/>
        <v/>
      </c>
      <c r="ED679" s="580" t="str">
        <f t="shared" si="83"/>
        <v/>
      </c>
      <c r="EE679" s="580" t="str">
        <f t="shared" si="84"/>
        <v/>
      </c>
      <c r="EF679" s="580" t="str">
        <f t="shared" si="85"/>
        <v/>
      </c>
      <c r="EG679" s="580" t="str">
        <f t="shared" si="86"/>
        <v/>
      </c>
      <c r="EH679" s="580" t="str">
        <f t="shared" si="87"/>
        <v/>
      </c>
      <c r="EI679" s="580" t="str">
        <f t="shared" si="88"/>
        <v/>
      </c>
      <c r="EJ679" s="580" t="str">
        <f t="shared" si="89"/>
        <v/>
      </c>
      <c r="EK679" s="580" t="str">
        <f t="shared" si="90"/>
        <v/>
      </c>
      <c r="EL679" s="580" t="str">
        <f t="shared" si="91"/>
        <v/>
      </c>
      <c r="EM679" s="580" t="str">
        <f t="shared" si="92"/>
        <v/>
      </c>
      <c r="EN679" s="580" t="str">
        <f t="shared" si="93"/>
        <v/>
      </c>
      <c r="EO679" s="580" t="str">
        <f t="shared" si="94"/>
        <v/>
      </c>
      <c r="EP679" s="580" t="str">
        <f t="shared" si="95"/>
        <v/>
      </c>
      <c r="EQ679" s="580" t="str">
        <f t="shared" si="96"/>
        <v/>
      </c>
      <c r="ER679" s="580" t="str">
        <f t="shared" si="97"/>
        <v/>
      </c>
      <c r="ES679" s="580" t="str">
        <f t="shared" si="98"/>
        <v/>
      </c>
      <c r="ET679" s="580" t="str">
        <f t="shared" si="99"/>
        <v/>
      </c>
      <c r="EU679" s="580" t="str">
        <f t="shared" si="100"/>
        <v/>
      </c>
      <c r="EV679" s="785" t="str">
        <f t="shared" si="101"/>
        <v/>
      </c>
      <c r="EW679" s="785" t="str">
        <f t="shared" si="102"/>
        <v/>
      </c>
      <c r="EX679" s="785" t="str">
        <f t="shared" si="103"/>
        <v/>
      </c>
      <c r="EY679" s="785" t="str">
        <f t="shared" si="104"/>
        <v/>
      </c>
      <c r="EZ679" s="785" t="str">
        <f t="shared" si="105"/>
        <v/>
      </c>
      <c r="FA679" s="785" t="str">
        <f t="shared" si="106"/>
        <v/>
      </c>
      <c r="FB679" s="785" t="str">
        <f t="shared" si="107"/>
        <v/>
      </c>
      <c r="FC679" s="785" t="str">
        <f t="shared" si="108"/>
        <v/>
      </c>
      <c r="FD679" s="785" t="str">
        <f t="shared" si="109"/>
        <v/>
      </c>
      <c r="FE679" s="785" t="str">
        <f t="shared" si="110"/>
        <v/>
      </c>
      <c r="FF679" s="785" t="str">
        <f t="shared" si="111"/>
        <v/>
      </c>
      <c r="FG679" s="785" t="str">
        <f t="shared" si="112"/>
        <v/>
      </c>
      <c r="FH679" s="785" t="str">
        <f t="shared" si="113"/>
        <v/>
      </c>
      <c r="FI679" s="785" t="str">
        <f t="shared" si="114"/>
        <v/>
      </c>
      <c r="FJ679" s="785" t="str">
        <f t="shared" si="115"/>
        <v/>
      </c>
      <c r="FK679" s="785" t="str">
        <f t="shared" si="116"/>
        <v/>
      </c>
      <c r="FL679" s="785" t="str">
        <f t="shared" si="117"/>
        <v/>
      </c>
      <c r="FM679" s="785" t="str">
        <f t="shared" si="118"/>
        <v/>
      </c>
      <c r="FN679" s="785" t="str">
        <f t="shared" si="119"/>
        <v/>
      </c>
      <c r="FO679" s="785" t="str">
        <f t="shared" si="120"/>
        <v/>
      </c>
      <c r="FP679" s="785" t="str">
        <f t="shared" si="121"/>
        <v/>
      </c>
      <c r="FQ679" s="785" t="str">
        <f t="shared" si="122"/>
        <v/>
      </c>
      <c r="FR679" s="785" t="str">
        <f t="shared" si="123"/>
        <v/>
      </c>
      <c r="FS679" s="785" t="str">
        <f t="shared" si="124"/>
        <v/>
      </c>
      <c r="FT679" s="785" t="str">
        <f t="shared" si="125"/>
        <v/>
      </c>
      <c r="FU679" s="785" t="str">
        <f t="shared" si="126"/>
        <v/>
      </c>
      <c r="FV679" s="785" t="str">
        <f t="shared" si="127"/>
        <v/>
      </c>
      <c r="FW679" s="785" t="str">
        <f t="shared" si="128"/>
        <v/>
      </c>
      <c r="FX679" s="785" t="str">
        <f t="shared" si="129"/>
        <v/>
      </c>
      <c r="FY679" s="785" t="str">
        <f t="shared" si="130"/>
        <v/>
      </c>
      <c r="FZ679" s="785" t="str">
        <f t="shared" si="131"/>
        <v/>
      </c>
      <c r="GA679" s="785" t="str">
        <f t="shared" si="132"/>
        <v/>
      </c>
      <c r="GB679" s="785" t="str">
        <f t="shared" si="133"/>
        <v/>
      </c>
      <c r="GC679" s="785" t="str">
        <f t="shared" si="134"/>
        <v/>
      </c>
      <c r="GD679" s="785" t="str">
        <f t="shared" si="135"/>
        <v/>
      </c>
      <c r="GE679" s="785" t="str">
        <f t="shared" si="136"/>
        <v/>
      </c>
      <c r="GF679" s="785" t="str">
        <f t="shared" si="137"/>
        <v/>
      </c>
      <c r="GG679" s="785" t="str">
        <f t="shared" si="138"/>
        <v/>
      </c>
      <c r="GH679" s="785" t="str">
        <f t="shared" si="139"/>
        <v/>
      </c>
      <c r="GI679" s="785" t="str">
        <f t="shared" si="140"/>
        <v/>
      </c>
      <c r="GJ679" s="785" t="str">
        <f t="shared" si="141"/>
        <v/>
      </c>
      <c r="GK679" s="785" t="str">
        <f t="shared" si="142"/>
        <v/>
      </c>
      <c r="GL679" s="785" t="str">
        <f t="shared" si="143"/>
        <v/>
      </c>
      <c r="GM679" s="785" t="str">
        <f t="shared" si="144"/>
        <v/>
      </c>
      <c r="GN679" s="785" t="str">
        <f t="shared" si="145"/>
        <v/>
      </c>
      <c r="GO679" s="786" t="str">
        <f t="shared" si="146"/>
        <v/>
      </c>
      <c r="GP679" s="786" t="str">
        <f t="shared" si="147"/>
        <v/>
      </c>
      <c r="GQ679" s="786" t="str">
        <f t="shared" si="148"/>
        <v/>
      </c>
      <c r="GR679" s="786" t="str">
        <f t="shared" si="149"/>
        <v/>
      </c>
      <c r="GS679" s="786" t="str">
        <f t="shared" si="150"/>
        <v/>
      </c>
      <c r="GT679" s="580" t="str">
        <f t="shared" si="151"/>
        <v/>
      </c>
      <c r="GU679" s="580" t="str">
        <f t="shared" si="152"/>
        <v/>
      </c>
      <c r="GV679" s="580" t="str">
        <f t="shared" si="153"/>
        <v/>
      </c>
      <c r="GW679" s="580" t="str">
        <f t="shared" si="154"/>
        <v/>
      </c>
      <c r="GX679" s="580" t="str">
        <f t="shared" si="155"/>
        <v/>
      </c>
      <c r="GY679" s="580" t="str">
        <f t="shared" si="156"/>
        <v/>
      </c>
      <c r="GZ679" s="580" t="str">
        <f t="shared" si="157"/>
        <v/>
      </c>
      <c r="HA679" s="580" t="str">
        <f t="shared" si="158"/>
        <v/>
      </c>
      <c r="HB679" s="580" t="str">
        <f t="shared" si="159"/>
        <v/>
      </c>
      <c r="HC679" s="580" t="str">
        <f t="shared" si="160"/>
        <v/>
      </c>
      <c r="HD679" s="580" t="str">
        <f t="shared" si="161"/>
        <v/>
      </c>
      <c r="HE679" s="580" t="str">
        <f t="shared" si="162"/>
        <v/>
      </c>
      <c r="HF679" s="580" t="str">
        <f t="shared" si="163"/>
        <v/>
      </c>
      <c r="HG679" s="580" t="str">
        <f t="shared" si="164"/>
        <v/>
      </c>
      <c r="HH679" s="580" t="str">
        <f t="shared" si="165"/>
        <v/>
      </c>
      <c r="HI679" s="580" t="str">
        <f t="shared" si="166"/>
        <v/>
      </c>
      <c r="HJ679" s="580" t="str">
        <f t="shared" si="167"/>
        <v/>
      </c>
      <c r="HK679" s="580" t="str">
        <f t="shared" si="168"/>
        <v/>
      </c>
      <c r="HL679" s="580" t="str">
        <f t="shared" si="169"/>
        <v/>
      </c>
      <c r="HM679" s="580" t="str">
        <f t="shared" si="170"/>
        <v/>
      </c>
    </row>
    <row r="680" spans="1:221" ht="13.15" customHeight="1">
      <c r="A680" s="888" t="str">
        <f t="shared" si="171"/>
        <v/>
      </c>
      <c r="B680" s="1054" t="str">
        <f>'Part VI-Revenues &amp; Expenses'!B46</f>
        <v>&lt;&lt;Select&gt;&gt;</v>
      </c>
      <c r="C680" s="1055">
        <f>'Part VI-Revenues &amp; Expenses'!C46</f>
        <v>0</v>
      </c>
      <c r="D680" s="1056">
        <f>'Part VI-Revenues &amp; Expenses'!D46</f>
        <v>0</v>
      </c>
      <c r="E680" s="1057">
        <f>'Part VI-Revenues &amp; Expenses'!E46</f>
        <v>0</v>
      </c>
      <c r="F680" s="1057">
        <f>'Part VI-Revenues &amp; Expenses'!F46</f>
        <v>0</v>
      </c>
      <c r="G680" s="1057">
        <f>'Part VI-Revenues &amp; Expenses'!G46</f>
        <v>0</v>
      </c>
      <c r="H680" s="1057">
        <f>'Part VI-Revenues &amp; Expenses'!H46</f>
        <v>0</v>
      </c>
      <c r="I680" s="1057">
        <f>'Part VI-Revenues &amp; Expenses'!I46</f>
        <v>0</v>
      </c>
      <c r="J680" s="818">
        <f>'Part VI-Revenues &amp; Expenses'!J46</f>
        <v>0</v>
      </c>
      <c r="K680" s="893">
        <f t="shared" si="205"/>
        <v>0</v>
      </c>
      <c r="L680" s="893">
        <f t="shared" si="0"/>
        <v>0</v>
      </c>
      <c r="M680" s="783">
        <f>'Part VI-Revenues &amp; Expenses'!M46</f>
        <v>0</v>
      </c>
      <c r="N680" s="783">
        <f>'Part VI-Revenues &amp; Expenses'!N46</f>
        <v>0</v>
      </c>
      <c r="O680" s="783">
        <f>'Part VI-Revenues &amp; Expenses'!O46</f>
        <v>0</v>
      </c>
      <c r="P680" s="894">
        <f t="shared" si="203"/>
        <v>0</v>
      </c>
      <c r="Q680" s="895" t="str">
        <f>'Part VI-Revenues &amp; Expenses'!Q46</f>
        <v/>
      </c>
      <c r="R680" s="894"/>
      <c r="S680" s="895"/>
      <c r="T680" s="2130"/>
      <c r="U680" s="2130"/>
      <c r="V680" s="580" t="str">
        <f t="shared" si="1"/>
        <v/>
      </c>
      <c r="W680" s="580" t="str">
        <f t="shared" si="2"/>
        <v/>
      </c>
      <c r="X680" s="580" t="str">
        <f t="shared" si="3"/>
        <v/>
      </c>
      <c r="Y680" s="580" t="str">
        <f t="shared" si="4"/>
        <v/>
      </c>
      <c r="Z680" s="580" t="str">
        <f t="shared" si="5"/>
        <v/>
      </c>
      <c r="AA680" s="580" t="str">
        <f t="shared" si="6"/>
        <v/>
      </c>
      <c r="AB680" s="580" t="str">
        <f t="shared" si="7"/>
        <v/>
      </c>
      <c r="AC680" s="580" t="str">
        <f t="shared" si="8"/>
        <v/>
      </c>
      <c r="AD680" s="580" t="str">
        <f t="shared" si="9"/>
        <v/>
      </c>
      <c r="AE680" s="580" t="str">
        <f t="shared" si="10"/>
        <v/>
      </c>
      <c r="AF680" s="580" t="str">
        <f t="shared" si="11"/>
        <v/>
      </c>
      <c r="AG680" s="580" t="str">
        <f t="shared" si="12"/>
        <v/>
      </c>
      <c r="AH680" s="580" t="str">
        <f t="shared" si="13"/>
        <v/>
      </c>
      <c r="AI680" s="580" t="str">
        <f t="shared" si="14"/>
        <v/>
      </c>
      <c r="AJ680" s="580" t="str">
        <f t="shared" si="15"/>
        <v/>
      </c>
      <c r="AK680" s="580" t="str">
        <f t="shared" si="16"/>
        <v/>
      </c>
      <c r="AL680" s="580" t="str">
        <f t="shared" si="17"/>
        <v/>
      </c>
      <c r="AM680" s="580" t="str">
        <f t="shared" si="18"/>
        <v/>
      </c>
      <c r="AN680" s="580" t="str">
        <f t="shared" si="19"/>
        <v/>
      </c>
      <c r="AO680" s="580" t="str">
        <f t="shared" si="20"/>
        <v/>
      </c>
      <c r="AP680" s="580" t="str">
        <f t="shared" si="173"/>
        <v/>
      </c>
      <c r="AQ680" s="580" t="str">
        <f t="shared" si="174"/>
        <v/>
      </c>
      <c r="AR680" s="580" t="str">
        <f t="shared" si="175"/>
        <v/>
      </c>
      <c r="AS680" s="580" t="str">
        <f t="shared" si="176"/>
        <v/>
      </c>
      <c r="AT680" s="580" t="str">
        <f t="shared" si="177"/>
        <v/>
      </c>
      <c r="AU680" s="580" t="str">
        <f t="shared" si="178"/>
        <v/>
      </c>
      <c r="AV680" s="580" t="str">
        <f t="shared" si="179"/>
        <v/>
      </c>
      <c r="AW680" s="580" t="str">
        <f t="shared" si="180"/>
        <v/>
      </c>
      <c r="AX680" s="580" t="str">
        <f t="shared" si="181"/>
        <v/>
      </c>
      <c r="AY680" s="580" t="str">
        <f t="shared" si="182"/>
        <v/>
      </c>
      <c r="AZ680" s="580" t="str">
        <f t="shared" si="183"/>
        <v/>
      </c>
      <c r="BA680" s="580" t="str">
        <f t="shared" si="184"/>
        <v/>
      </c>
      <c r="BB680" s="580" t="str">
        <f t="shared" si="185"/>
        <v/>
      </c>
      <c r="BC680" s="580" t="str">
        <f t="shared" si="186"/>
        <v/>
      </c>
      <c r="BD680" s="580" t="str">
        <f t="shared" si="187"/>
        <v/>
      </c>
      <c r="BE680" s="580" t="str">
        <f t="shared" si="188"/>
        <v/>
      </c>
      <c r="BF680" s="580" t="str">
        <f t="shared" si="189"/>
        <v/>
      </c>
      <c r="BG680" s="580" t="str">
        <f t="shared" si="190"/>
        <v/>
      </c>
      <c r="BH680" s="580" t="str">
        <f t="shared" si="191"/>
        <v/>
      </c>
      <c r="BI680" s="580" t="str">
        <f t="shared" si="192"/>
        <v/>
      </c>
      <c r="BJ680" s="580" t="str">
        <f t="shared" si="193"/>
        <v/>
      </c>
      <c r="BK680" s="580" t="str">
        <f t="shared" si="194"/>
        <v/>
      </c>
      <c r="BL680" s="580" t="str">
        <f t="shared" si="195"/>
        <v/>
      </c>
      <c r="BM680" s="580" t="str">
        <f t="shared" si="196"/>
        <v/>
      </c>
      <c r="BN680" s="580" t="str">
        <f t="shared" si="197"/>
        <v/>
      </c>
      <c r="BO680" s="580" t="str">
        <f t="shared" si="198"/>
        <v/>
      </c>
      <c r="BP680" s="580" t="str">
        <f t="shared" si="199"/>
        <v/>
      </c>
      <c r="BQ680" s="580" t="str">
        <f t="shared" si="200"/>
        <v/>
      </c>
      <c r="BR680" s="580" t="str">
        <f t="shared" si="201"/>
        <v/>
      </c>
      <c r="BS680" s="580" t="str">
        <f t="shared" si="202"/>
        <v/>
      </c>
      <c r="BT680" s="580" t="str">
        <f t="shared" si="21"/>
        <v/>
      </c>
      <c r="BU680" s="580" t="str">
        <f t="shared" si="22"/>
        <v/>
      </c>
      <c r="BV680" s="580" t="str">
        <f t="shared" si="23"/>
        <v/>
      </c>
      <c r="BW680" s="580" t="str">
        <f t="shared" si="24"/>
        <v/>
      </c>
      <c r="BX680" s="580" t="str">
        <f t="shared" si="25"/>
        <v/>
      </c>
      <c r="BY680" s="580" t="str">
        <f t="shared" si="26"/>
        <v/>
      </c>
      <c r="BZ680" s="580" t="str">
        <f t="shared" si="27"/>
        <v/>
      </c>
      <c r="CA680" s="580" t="str">
        <f t="shared" si="28"/>
        <v/>
      </c>
      <c r="CB680" s="580" t="str">
        <f t="shared" si="29"/>
        <v/>
      </c>
      <c r="CC680" s="580" t="str">
        <f t="shared" si="30"/>
        <v/>
      </c>
      <c r="CD680" s="580" t="str">
        <f t="shared" si="31"/>
        <v/>
      </c>
      <c r="CE680" s="580" t="str">
        <f t="shared" si="32"/>
        <v/>
      </c>
      <c r="CF680" s="580" t="str">
        <f t="shared" si="33"/>
        <v/>
      </c>
      <c r="CG680" s="580" t="str">
        <f t="shared" si="34"/>
        <v/>
      </c>
      <c r="CH680" s="580" t="str">
        <f t="shared" si="35"/>
        <v/>
      </c>
      <c r="CI680" s="580" t="str">
        <f t="shared" si="36"/>
        <v/>
      </c>
      <c r="CJ680" s="580" t="str">
        <f t="shared" si="37"/>
        <v/>
      </c>
      <c r="CK680" s="580" t="str">
        <f t="shared" si="38"/>
        <v/>
      </c>
      <c r="CL680" s="580" t="str">
        <f t="shared" si="39"/>
        <v/>
      </c>
      <c r="CM680" s="580" t="str">
        <f t="shared" si="40"/>
        <v/>
      </c>
      <c r="CN680" s="580" t="str">
        <f t="shared" si="41"/>
        <v/>
      </c>
      <c r="CO680" s="580" t="str">
        <f t="shared" si="42"/>
        <v/>
      </c>
      <c r="CP680" s="580" t="str">
        <f t="shared" si="43"/>
        <v/>
      </c>
      <c r="CQ680" s="580" t="str">
        <f t="shared" si="44"/>
        <v/>
      </c>
      <c r="CR680" s="580" t="str">
        <f t="shared" si="45"/>
        <v/>
      </c>
      <c r="CS680" s="580" t="str">
        <f t="shared" si="46"/>
        <v/>
      </c>
      <c r="CT680" s="580" t="str">
        <f t="shared" si="47"/>
        <v/>
      </c>
      <c r="CU680" s="580" t="str">
        <f t="shared" si="48"/>
        <v/>
      </c>
      <c r="CV680" s="580" t="str">
        <f t="shared" si="49"/>
        <v/>
      </c>
      <c r="CW680" s="580" t="str">
        <f t="shared" si="50"/>
        <v/>
      </c>
      <c r="CX680" s="580" t="str">
        <f t="shared" si="51"/>
        <v/>
      </c>
      <c r="CY680" s="580" t="str">
        <f t="shared" si="52"/>
        <v/>
      </c>
      <c r="CZ680" s="580" t="str">
        <f t="shared" si="53"/>
        <v/>
      </c>
      <c r="DA680" s="580" t="str">
        <f t="shared" si="54"/>
        <v/>
      </c>
      <c r="DB680" s="580" t="str">
        <f t="shared" si="55"/>
        <v/>
      </c>
      <c r="DC680" s="580" t="str">
        <f t="shared" si="56"/>
        <v/>
      </c>
      <c r="DD680" s="580" t="str">
        <f t="shared" si="57"/>
        <v/>
      </c>
      <c r="DE680" s="580" t="str">
        <f t="shared" si="58"/>
        <v/>
      </c>
      <c r="DF680" s="580" t="str">
        <f t="shared" si="59"/>
        <v/>
      </c>
      <c r="DG680" s="580" t="str">
        <f t="shared" si="60"/>
        <v/>
      </c>
      <c r="DH680" s="580" t="str">
        <f t="shared" si="61"/>
        <v/>
      </c>
      <c r="DI680" s="580" t="str">
        <f t="shared" si="62"/>
        <v/>
      </c>
      <c r="DJ680" s="580" t="str">
        <f t="shared" si="63"/>
        <v/>
      </c>
      <c r="DK680" s="580" t="str">
        <f t="shared" si="64"/>
        <v/>
      </c>
      <c r="DL680" s="580" t="str">
        <f t="shared" si="65"/>
        <v/>
      </c>
      <c r="DM680" s="580" t="str">
        <f t="shared" si="66"/>
        <v/>
      </c>
      <c r="DN680" s="580" t="str">
        <f t="shared" si="67"/>
        <v/>
      </c>
      <c r="DO680" s="580" t="str">
        <f t="shared" si="68"/>
        <v/>
      </c>
      <c r="DP680" s="580" t="str">
        <f t="shared" si="69"/>
        <v/>
      </c>
      <c r="DQ680" s="580" t="str">
        <f t="shared" si="70"/>
        <v/>
      </c>
      <c r="DR680" s="580" t="str">
        <f t="shared" si="71"/>
        <v/>
      </c>
      <c r="DS680" s="580" t="str">
        <f t="shared" si="72"/>
        <v/>
      </c>
      <c r="DT680" s="580" t="str">
        <f t="shared" si="73"/>
        <v/>
      </c>
      <c r="DU680" s="580" t="str">
        <f t="shared" si="74"/>
        <v/>
      </c>
      <c r="DV680" s="580" t="str">
        <f t="shared" si="75"/>
        <v/>
      </c>
      <c r="DW680" s="580" t="str">
        <f t="shared" si="76"/>
        <v/>
      </c>
      <c r="DX680" s="580" t="str">
        <f t="shared" si="77"/>
        <v/>
      </c>
      <c r="DY680" s="580" t="str">
        <f t="shared" si="78"/>
        <v/>
      </c>
      <c r="DZ680" s="580" t="str">
        <f t="shared" si="79"/>
        <v/>
      </c>
      <c r="EA680" s="580" t="str">
        <f t="shared" si="80"/>
        <v/>
      </c>
      <c r="EB680" s="580" t="str">
        <f t="shared" si="81"/>
        <v/>
      </c>
      <c r="EC680" s="580" t="str">
        <f t="shared" si="82"/>
        <v/>
      </c>
      <c r="ED680" s="580" t="str">
        <f t="shared" si="83"/>
        <v/>
      </c>
      <c r="EE680" s="580" t="str">
        <f t="shared" si="84"/>
        <v/>
      </c>
      <c r="EF680" s="580" t="str">
        <f t="shared" si="85"/>
        <v/>
      </c>
      <c r="EG680" s="580" t="str">
        <f t="shared" si="86"/>
        <v/>
      </c>
      <c r="EH680" s="580" t="str">
        <f t="shared" si="87"/>
        <v/>
      </c>
      <c r="EI680" s="580" t="str">
        <f t="shared" si="88"/>
        <v/>
      </c>
      <c r="EJ680" s="580" t="str">
        <f t="shared" si="89"/>
        <v/>
      </c>
      <c r="EK680" s="580" t="str">
        <f t="shared" si="90"/>
        <v/>
      </c>
      <c r="EL680" s="580" t="str">
        <f t="shared" si="91"/>
        <v/>
      </c>
      <c r="EM680" s="580" t="str">
        <f t="shared" si="92"/>
        <v/>
      </c>
      <c r="EN680" s="580" t="str">
        <f t="shared" si="93"/>
        <v/>
      </c>
      <c r="EO680" s="580" t="str">
        <f t="shared" si="94"/>
        <v/>
      </c>
      <c r="EP680" s="580" t="str">
        <f t="shared" si="95"/>
        <v/>
      </c>
      <c r="EQ680" s="580" t="str">
        <f t="shared" si="96"/>
        <v/>
      </c>
      <c r="ER680" s="580" t="str">
        <f t="shared" si="97"/>
        <v/>
      </c>
      <c r="ES680" s="580" t="str">
        <f t="shared" si="98"/>
        <v/>
      </c>
      <c r="ET680" s="580" t="str">
        <f t="shared" si="99"/>
        <v/>
      </c>
      <c r="EU680" s="580" t="str">
        <f t="shared" si="100"/>
        <v/>
      </c>
      <c r="EV680" s="785" t="str">
        <f t="shared" si="101"/>
        <v/>
      </c>
      <c r="EW680" s="785" t="str">
        <f t="shared" si="102"/>
        <v/>
      </c>
      <c r="EX680" s="785" t="str">
        <f t="shared" si="103"/>
        <v/>
      </c>
      <c r="EY680" s="785" t="str">
        <f t="shared" si="104"/>
        <v/>
      </c>
      <c r="EZ680" s="785" t="str">
        <f t="shared" si="105"/>
        <v/>
      </c>
      <c r="FA680" s="785" t="str">
        <f t="shared" si="106"/>
        <v/>
      </c>
      <c r="FB680" s="785" t="str">
        <f t="shared" si="107"/>
        <v/>
      </c>
      <c r="FC680" s="785" t="str">
        <f t="shared" si="108"/>
        <v/>
      </c>
      <c r="FD680" s="785" t="str">
        <f t="shared" si="109"/>
        <v/>
      </c>
      <c r="FE680" s="785" t="str">
        <f t="shared" si="110"/>
        <v/>
      </c>
      <c r="FF680" s="785" t="str">
        <f t="shared" si="111"/>
        <v/>
      </c>
      <c r="FG680" s="785" t="str">
        <f t="shared" si="112"/>
        <v/>
      </c>
      <c r="FH680" s="785" t="str">
        <f t="shared" si="113"/>
        <v/>
      </c>
      <c r="FI680" s="785" t="str">
        <f t="shared" si="114"/>
        <v/>
      </c>
      <c r="FJ680" s="785" t="str">
        <f t="shared" si="115"/>
        <v/>
      </c>
      <c r="FK680" s="785" t="str">
        <f t="shared" si="116"/>
        <v/>
      </c>
      <c r="FL680" s="785" t="str">
        <f t="shared" si="117"/>
        <v/>
      </c>
      <c r="FM680" s="785" t="str">
        <f t="shared" si="118"/>
        <v/>
      </c>
      <c r="FN680" s="785" t="str">
        <f t="shared" si="119"/>
        <v/>
      </c>
      <c r="FO680" s="785" t="str">
        <f t="shared" si="120"/>
        <v/>
      </c>
      <c r="FP680" s="785" t="str">
        <f t="shared" si="121"/>
        <v/>
      </c>
      <c r="FQ680" s="785" t="str">
        <f t="shared" si="122"/>
        <v/>
      </c>
      <c r="FR680" s="785" t="str">
        <f t="shared" si="123"/>
        <v/>
      </c>
      <c r="FS680" s="785" t="str">
        <f t="shared" si="124"/>
        <v/>
      </c>
      <c r="FT680" s="785" t="str">
        <f t="shared" si="125"/>
        <v/>
      </c>
      <c r="FU680" s="785" t="str">
        <f t="shared" si="126"/>
        <v/>
      </c>
      <c r="FV680" s="785" t="str">
        <f t="shared" si="127"/>
        <v/>
      </c>
      <c r="FW680" s="785" t="str">
        <f t="shared" si="128"/>
        <v/>
      </c>
      <c r="FX680" s="785" t="str">
        <f t="shared" si="129"/>
        <v/>
      </c>
      <c r="FY680" s="785" t="str">
        <f t="shared" si="130"/>
        <v/>
      </c>
      <c r="FZ680" s="785" t="str">
        <f t="shared" si="131"/>
        <v/>
      </c>
      <c r="GA680" s="785" t="str">
        <f t="shared" si="132"/>
        <v/>
      </c>
      <c r="GB680" s="785" t="str">
        <f t="shared" si="133"/>
        <v/>
      </c>
      <c r="GC680" s="785" t="str">
        <f t="shared" si="134"/>
        <v/>
      </c>
      <c r="GD680" s="785" t="str">
        <f t="shared" si="135"/>
        <v/>
      </c>
      <c r="GE680" s="785" t="str">
        <f t="shared" si="136"/>
        <v/>
      </c>
      <c r="GF680" s="785" t="str">
        <f t="shared" si="137"/>
        <v/>
      </c>
      <c r="GG680" s="785" t="str">
        <f t="shared" si="138"/>
        <v/>
      </c>
      <c r="GH680" s="785" t="str">
        <f t="shared" si="139"/>
        <v/>
      </c>
      <c r="GI680" s="785" t="str">
        <f t="shared" si="140"/>
        <v/>
      </c>
      <c r="GJ680" s="785" t="str">
        <f t="shared" si="141"/>
        <v/>
      </c>
      <c r="GK680" s="785" t="str">
        <f t="shared" si="142"/>
        <v/>
      </c>
      <c r="GL680" s="785" t="str">
        <f t="shared" si="143"/>
        <v/>
      </c>
      <c r="GM680" s="785" t="str">
        <f t="shared" si="144"/>
        <v/>
      </c>
      <c r="GN680" s="785" t="str">
        <f t="shared" si="145"/>
        <v/>
      </c>
      <c r="GO680" s="786" t="str">
        <f t="shared" si="146"/>
        <v/>
      </c>
      <c r="GP680" s="786" t="str">
        <f t="shared" si="147"/>
        <v/>
      </c>
      <c r="GQ680" s="786" t="str">
        <f t="shared" si="148"/>
        <v/>
      </c>
      <c r="GR680" s="786" t="str">
        <f t="shared" si="149"/>
        <v/>
      </c>
      <c r="GS680" s="786" t="str">
        <f t="shared" si="150"/>
        <v/>
      </c>
      <c r="GT680" s="580" t="str">
        <f t="shared" si="151"/>
        <v/>
      </c>
      <c r="GU680" s="580" t="str">
        <f t="shared" si="152"/>
        <v/>
      </c>
      <c r="GV680" s="580" t="str">
        <f t="shared" si="153"/>
        <v/>
      </c>
      <c r="GW680" s="580" t="str">
        <f t="shared" si="154"/>
        <v/>
      </c>
      <c r="GX680" s="580" t="str">
        <f t="shared" si="155"/>
        <v/>
      </c>
      <c r="GY680" s="580" t="str">
        <f t="shared" si="156"/>
        <v/>
      </c>
      <c r="GZ680" s="580" t="str">
        <f t="shared" si="157"/>
        <v/>
      </c>
      <c r="HA680" s="580" t="str">
        <f t="shared" si="158"/>
        <v/>
      </c>
      <c r="HB680" s="580" t="str">
        <f t="shared" si="159"/>
        <v/>
      </c>
      <c r="HC680" s="580" t="str">
        <f t="shared" si="160"/>
        <v/>
      </c>
      <c r="HD680" s="580" t="str">
        <f t="shared" si="161"/>
        <v/>
      </c>
      <c r="HE680" s="580" t="str">
        <f t="shared" si="162"/>
        <v/>
      </c>
      <c r="HF680" s="580" t="str">
        <f t="shared" si="163"/>
        <v/>
      </c>
      <c r="HG680" s="580" t="str">
        <f t="shared" si="164"/>
        <v/>
      </c>
      <c r="HH680" s="580" t="str">
        <f t="shared" si="165"/>
        <v/>
      </c>
      <c r="HI680" s="580" t="str">
        <f t="shared" si="166"/>
        <v/>
      </c>
      <c r="HJ680" s="580" t="str">
        <f t="shared" si="167"/>
        <v/>
      </c>
      <c r="HK680" s="580" t="str">
        <f t="shared" si="168"/>
        <v/>
      </c>
      <c r="HL680" s="580" t="str">
        <f t="shared" si="169"/>
        <v/>
      </c>
      <c r="HM680" s="580" t="str">
        <f t="shared" si="170"/>
        <v/>
      </c>
    </row>
    <row r="681" spans="1:221" ht="13.15" customHeight="1">
      <c r="A681" s="888" t="str">
        <f t="shared" si="171"/>
        <v/>
      </c>
      <c r="B681" s="1054" t="str">
        <f>'Part VI-Revenues &amp; Expenses'!B47</f>
        <v>&lt;&lt;Select&gt;&gt;</v>
      </c>
      <c r="C681" s="1055">
        <f>'Part VI-Revenues &amp; Expenses'!C47</f>
        <v>0</v>
      </c>
      <c r="D681" s="1056">
        <f>'Part VI-Revenues &amp; Expenses'!D47</f>
        <v>0</v>
      </c>
      <c r="E681" s="1057">
        <f>'Part VI-Revenues &amp; Expenses'!E47</f>
        <v>0</v>
      </c>
      <c r="F681" s="1057">
        <f>'Part VI-Revenues &amp; Expenses'!F47</f>
        <v>0</v>
      </c>
      <c r="G681" s="1057">
        <f>'Part VI-Revenues &amp; Expenses'!G47</f>
        <v>0</v>
      </c>
      <c r="H681" s="1057">
        <f>'Part VI-Revenues &amp; Expenses'!H47</f>
        <v>0</v>
      </c>
      <c r="I681" s="1057">
        <f>'Part VI-Revenues &amp; Expenses'!I47</f>
        <v>0</v>
      </c>
      <c r="J681" s="818">
        <f>'Part VI-Revenues &amp; Expenses'!J47</f>
        <v>0</v>
      </c>
      <c r="K681" s="893">
        <f t="shared" si="204"/>
        <v>0</v>
      </c>
      <c r="L681" s="893">
        <f t="shared" si="0"/>
        <v>0</v>
      </c>
      <c r="M681" s="783">
        <f>'Part VI-Revenues &amp; Expenses'!M47</f>
        <v>0</v>
      </c>
      <c r="N681" s="783">
        <f>'Part VI-Revenues &amp; Expenses'!N47</f>
        <v>0</v>
      </c>
      <c r="O681" s="783">
        <f>'Part VI-Revenues &amp; Expenses'!O47</f>
        <v>0</v>
      </c>
      <c r="P681" s="894">
        <f t="shared" si="203"/>
        <v>0</v>
      </c>
      <c r="Q681" s="895" t="str">
        <f>'Part VI-Revenues &amp; Expenses'!Q47</f>
        <v/>
      </c>
      <c r="R681" s="894"/>
      <c r="S681" s="895"/>
      <c r="T681" s="2130"/>
      <c r="U681" s="2130"/>
      <c r="V681" s="580" t="str">
        <f t="shared" si="1"/>
        <v/>
      </c>
      <c r="W681" s="580" t="str">
        <f t="shared" si="2"/>
        <v/>
      </c>
      <c r="X681" s="580" t="str">
        <f t="shared" si="3"/>
        <v/>
      </c>
      <c r="Y681" s="580" t="str">
        <f t="shared" si="4"/>
        <v/>
      </c>
      <c r="Z681" s="580" t="str">
        <f t="shared" si="5"/>
        <v/>
      </c>
      <c r="AA681" s="580" t="str">
        <f t="shared" si="6"/>
        <v/>
      </c>
      <c r="AB681" s="580" t="str">
        <f t="shared" si="7"/>
        <v/>
      </c>
      <c r="AC681" s="580" t="str">
        <f t="shared" si="8"/>
        <v/>
      </c>
      <c r="AD681" s="580" t="str">
        <f t="shared" si="9"/>
        <v/>
      </c>
      <c r="AE681" s="580" t="str">
        <f t="shared" si="10"/>
        <v/>
      </c>
      <c r="AF681" s="580" t="str">
        <f t="shared" si="11"/>
        <v/>
      </c>
      <c r="AG681" s="580" t="str">
        <f t="shared" si="12"/>
        <v/>
      </c>
      <c r="AH681" s="580" t="str">
        <f t="shared" si="13"/>
        <v/>
      </c>
      <c r="AI681" s="580" t="str">
        <f t="shared" si="14"/>
        <v/>
      </c>
      <c r="AJ681" s="580" t="str">
        <f t="shared" si="15"/>
        <v/>
      </c>
      <c r="AK681" s="580" t="str">
        <f t="shared" si="16"/>
        <v/>
      </c>
      <c r="AL681" s="580" t="str">
        <f t="shared" si="17"/>
        <v/>
      </c>
      <c r="AM681" s="580" t="str">
        <f t="shared" si="18"/>
        <v/>
      </c>
      <c r="AN681" s="580" t="str">
        <f t="shared" si="19"/>
        <v/>
      </c>
      <c r="AO681" s="580" t="str">
        <f t="shared" si="20"/>
        <v/>
      </c>
      <c r="AP681" s="580" t="str">
        <f t="shared" si="173"/>
        <v/>
      </c>
      <c r="AQ681" s="580" t="str">
        <f t="shared" si="174"/>
        <v/>
      </c>
      <c r="AR681" s="580" t="str">
        <f t="shared" si="175"/>
        <v/>
      </c>
      <c r="AS681" s="580" t="str">
        <f t="shared" si="176"/>
        <v/>
      </c>
      <c r="AT681" s="580" t="str">
        <f t="shared" si="177"/>
        <v/>
      </c>
      <c r="AU681" s="580" t="str">
        <f t="shared" si="178"/>
        <v/>
      </c>
      <c r="AV681" s="580" t="str">
        <f t="shared" si="179"/>
        <v/>
      </c>
      <c r="AW681" s="580" t="str">
        <f t="shared" si="180"/>
        <v/>
      </c>
      <c r="AX681" s="580" t="str">
        <f t="shared" si="181"/>
        <v/>
      </c>
      <c r="AY681" s="580" t="str">
        <f t="shared" si="182"/>
        <v/>
      </c>
      <c r="AZ681" s="580" t="str">
        <f t="shared" si="183"/>
        <v/>
      </c>
      <c r="BA681" s="580" t="str">
        <f t="shared" si="184"/>
        <v/>
      </c>
      <c r="BB681" s="580" t="str">
        <f t="shared" si="185"/>
        <v/>
      </c>
      <c r="BC681" s="580" t="str">
        <f t="shared" si="186"/>
        <v/>
      </c>
      <c r="BD681" s="580" t="str">
        <f t="shared" si="187"/>
        <v/>
      </c>
      <c r="BE681" s="580" t="str">
        <f t="shared" si="188"/>
        <v/>
      </c>
      <c r="BF681" s="580" t="str">
        <f t="shared" si="189"/>
        <v/>
      </c>
      <c r="BG681" s="580" t="str">
        <f t="shared" si="190"/>
        <v/>
      </c>
      <c r="BH681" s="580" t="str">
        <f t="shared" si="191"/>
        <v/>
      </c>
      <c r="BI681" s="580" t="str">
        <f t="shared" si="192"/>
        <v/>
      </c>
      <c r="BJ681" s="580" t="str">
        <f t="shared" si="193"/>
        <v/>
      </c>
      <c r="BK681" s="580" t="str">
        <f t="shared" si="194"/>
        <v/>
      </c>
      <c r="BL681" s="580" t="str">
        <f t="shared" si="195"/>
        <v/>
      </c>
      <c r="BM681" s="580" t="str">
        <f t="shared" si="196"/>
        <v/>
      </c>
      <c r="BN681" s="580" t="str">
        <f t="shared" si="197"/>
        <v/>
      </c>
      <c r="BO681" s="580" t="str">
        <f t="shared" si="198"/>
        <v/>
      </c>
      <c r="BP681" s="580" t="str">
        <f t="shared" si="199"/>
        <v/>
      </c>
      <c r="BQ681" s="580" t="str">
        <f t="shared" si="200"/>
        <v/>
      </c>
      <c r="BR681" s="580" t="str">
        <f t="shared" si="201"/>
        <v/>
      </c>
      <c r="BS681" s="580" t="str">
        <f t="shared" si="202"/>
        <v/>
      </c>
      <c r="BT681" s="580" t="str">
        <f t="shared" si="21"/>
        <v/>
      </c>
      <c r="BU681" s="580" t="str">
        <f t="shared" si="22"/>
        <v/>
      </c>
      <c r="BV681" s="580" t="str">
        <f t="shared" si="23"/>
        <v/>
      </c>
      <c r="BW681" s="580" t="str">
        <f t="shared" si="24"/>
        <v/>
      </c>
      <c r="BX681" s="580" t="str">
        <f t="shared" si="25"/>
        <v/>
      </c>
      <c r="BY681" s="580" t="str">
        <f t="shared" si="26"/>
        <v/>
      </c>
      <c r="BZ681" s="580" t="str">
        <f t="shared" si="27"/>
        <v/>
      </c>
      <c r="CA681" s="580" t="str">
        <f t="shared" si="28"/>
        <v/>
      </c>
      <c r="CB681" s="580" t="str">
        <f t="shared" si="29"/>
        <v/>
      </c>
      <c r="CC681" s="580" t="str">
        <f t="shared" si="30"/>
        <v/>
      </c>
      <c r="CD681" s="580" t="str">
        <f t="shared" si="31"/>
        <v/>
      </c>
      <c r="CE681" s="580" t="str">
        <f t="shared" si="32"/>
        <v/>
      </c>
      <c r="CF681" s="580" t="str">
        <f t="shared" si="33"/>
        <v/>
      </c>
      <c r="CG681" s="580" t="str">
        <f t="shared" si="34"/>
        <v/>
      </c>
      <c r="CH681" s="580" t="str">
        <f t="shared" si="35"/>
        <v/>
      </c>
      <c r="CI681" s="580" t="str">
        <f t="shared" si="36"/>
        <v/>
      </c>
      <c r="CJ681" s="580" t="str">
        <f t="shared" si="37"/>
        <v/>
      </c>
      <c r="CK681" s="580" t="str">
        <f t="shared" si="38"/>
        <v/>
      </c>
      <c r="CL681" s="580" t="str">
        <f t="shared" si="39"/>
        <v/>
      </c>
      <c r="CM681" s="580" t="str">
        <f t="shared" si="40"/>
        <v/>
      </c>
      <c r="CN681" s="580" t="str">
        <f t="shared" si="41"/>
        <v/>
      </c>
      <c r="CO681" s="580" t="str">
        <f t="shared" si="42"/>
        <v/>
      </c>
      <c r="CP681" s="580" t="str">
        <f t="shared" si="43"/>
        <v/>
      </c>
      <c r="CQ681" s="580" t="str">
        <f t="shared" si="44"/>
        <v/>
      </c>
      <c r="CR681" s="580" t="str">
        <f t="shared" si="45"/>
        <v/>
      </c>
      <c r="CS681" s="580" t="str">
        <f t="shared" si="46"/>
        <v/>
      </c>
      <c r="CT681" s="580" t="str">
        <f t="shared" si="47"/>
        <v/>
      </c>
      <c r="CU681" s="580" t="str">
        <f t="shared" si="48"/>
        <v/>
      </c>
      <c r="CV681" s="580" t="str">
        <f t="shared" si="49"/>
        <v/>
      </c>
      <c r="CW681" s="580" t="str">
        <f t="shared" si="50"/>
        <v/>
      </c>
      <c r="CX681" s="580" t="str">
        <f t="shared" si="51"/>
        <v/>
      </c>
      <c r="CY681" s="580" t="str">
        <f t="shared" si="52"/>
        <v/>
      </c>
      <c r="CZ681" s="580" t="str">
        <f t="shared" si="53"/>
        <v/>
      </c>
      <c r="DA681" s="580" t="str">
        <f t="shared" si="54"/>
        <v/>
      </c>
      <c r="DB681" s="580" t="str">
        <f t="shared" si="55"/>
        <v/>
      </c>
      <c r="DC681" s="580" t="str">
        <f t="shared" si="56"/>
        <v/>
      </c>
      <c r="DD681" s="580" t="str">
        <f t="shared" si="57"/>
        <v/>
      </c>
      <c r="DE681" s="580" t="str">
        <f t="shared" si="58"/>
        <v/>
      </c>
      <c r="DF681" s="580" t="str">
        <f t="shared" si="59"/>
        <v/>
      </c>
      <c r="DG681" s="580" t="str">
        <f t="shared" si="60"/>
        <v/>
      </c>
      <c r="DH681" s="580" t="str">
        <f t="shared" si="61"/>
        <v/>
      </c>
      <c r="DI681" s="580" t="str">
        <f t="shared" si="62"/>
        <v/>
      </c>
      <c r="DJ681" s="580" t="str">
        <f t="shared" si="63"/>
        <v/>
      </c>
      <c r="DK681" s="580" t="str">
        <f t="shared" si="64"/>
        <v/>
      </c>
      <c r="DL681" s="580" t="str">
        <f t="shared" si="65"/>
        <v/>
      </c>
      <c r="DM681" s="580" t="str">
        <f t="shared" si="66"/>
        <v/>
      </c>
      <c r="DN681" s="580" t="str">
        <f t="shared" si="67"/>
        <v/>
      </c>
      <c r="DO681" s="580" t="str">
        <f t="shared" si="68"/>
        <v/>
      </c>
      <c r="DP681" s="580" t="str">
        <f t="shared" si="69"/>
        <v/>
      </c>
      <c r="DQ681" s="580" t="str">
        <f t="shared" si="70"/>
        <v/>
      </c>
      <c r="DR681" s="580" t="str">
        <f t="shared" si="71"/>
        <v/>
      </c>
      <c r="DS681" s="580" t="str">
        <f t="shared" si="72"/>
        <v/>
      </c>
      <c r="DT681" s="580" t="str">
        <f t="shared" si="73"/>
        <v/>
      </c>
      <c r="DU681" s="580" t="str">
        <f t="shared" si="74"/>
        <v/>
      </c>
      <c r="DV681" s="580" t="str">
        <f t="shared" si="75"/>
        <v/>
      </c>
      <c r="DW681" s="580" t="str">
        <f t="shared" si="76"/>
        <v/>
      </c>
      <c r="DX681" s="580" t="str">
        <f t="shared" si="77"/>
        <v/>
      </c>
      <c r="DY681" s="580" t="str">
        <f t="shared" si="78"/>
        <v/>
      </c>
      <c r="DZ681" s="580" t="str">
        <f t="shared" si="79"/>
        <v/>
      </c>
      <c r="EA681" s="580" t="str">
        <f t="shared" si="80"/>
        <v/>
      </c>
      <c r="EB681" s="580" t="str">
        <f t="shared" si="81"/>
        <v/>
      </c>
      <c r="EC681" s="580" t="str">
        <f t="shared" si="82"/>
        <v/>
      </c>
      <c r="ED681" s="580" t="str">
        <f t="shared" si="83"/>
        <v/>
      </c>
      <c r="EE681" s="580" t="str">
        <f t="shared" si="84"/>
        <v/>
      </c>
      <c r="EF681" s="580" t="str">
        <f t="shared" si="85"/>
        <v/>
      </c>
      <c r="EG681" s="580" t="str">
        <f t="shared" si="86"/>
        <v/>
      </c>
      <c r="EH681" s="580" t="str">
        <f t="shared" si="87"/>
        <v/>
      </c>
      <c r="EI681" s="580" t="str">
        <f t="shared" si="88"/>
        <v/>
      </c>
      <c r="EJ681" s="580" t="str">
        <f t="shared" si="89"/>
        <v/>
      </c>
      <c r="EK681" s="580" t="str">
        <f t="shared" si="90"/>
        <v/>
      </c>
      <c r="EL681" s="580" t="str">
        <f t="shared" si="91"/>
        <v/>
      </c>
      <c r="EM681" s="580" t="str">
        <f t="shared" si="92"/>
        <v/>
      </c>
      <c r="EN681" s="580" t="str">
        <f t="shared" si="93"/>
        <v/>
      </c>
      <c r="EO681" s="580" t="str">
        <f t="shared" si="94"/>
        <v/>
      </c>
      <c r="EP681" s="580" t="str">
        <f t="shared" si="95"/>
        <v/>
      </c>
      <c r="EQ681" s="580" t="str">
        <f t="shared" si="96"/>
        <v/>
      </c>
      <c r="ER681" s="580" t="str">
        <f t="shared" si="97"/>
        <v/>
      </c>
      <c r="ES681" s="580" t="str">
        <f t="shared" si="98"/>
        <v/>
      </c>
      <c r="ET681" s="580" t="str">
        <f t="shared" si="99"/>
        <v/>
      </c>
      <c r="EU681" s="580" t="str">
        <f t="shared" si="100"/>
        <v/>
      </c>
      <c r="EV681" s="785" t="str">
        <f t="shared" si="101"/>
        <v/>
      </c>
      <c r="EW681" s="785" t="str">
        <f t="shared" si="102"/>
        <v/>
      </c>
      <c r="EX681" s="785" t="str">
        <f t="shared" si="103"/>
        <v/>
      </c>
      <c r="EY681" s="785" t="str">
        <f t="shared" si="104"/>
        <v/>
      </c>
      <c r="EZ681" s="785" t="str">
        <f t="shared" si="105"/>
        <v/>
      </c>
      <c r="FA681" s="785" t="str">
        <f t="shared" si="106"/>
        <v/>
      </c>
      <c r="FB681" s="785" t="str">
        <f t="shared" si="107"/>
        <v/>
      </c>
      <c r="FC681" s="785" t="str">
        <f t="shared" si="108"/>
        <v/>
      </c>
      <c r="FD681" s="785" t="str">
        <f t="shared" si="109"/>
        <v/>
      </c>
      <c r="FE681" s="785" t="str">
        <f t="shared" si="110"/>
        <v/>
      </c>
      <c r="FF681" s="785" t="str">
        <f t="shared" si="111"/>
        <v/>
      </c>
      <c r="FG681" s="785" t="str">
        <f t="shared" si="112"/>
        <v/>
      </c>
      <c r="FH681" s="785" t="str">
        <f t="shared" si="113"/>
        <v/>
      </c>
      <c r="FI681" s="785" t="str">
        <f t="shared" si="114"/>
        <v/>
      </c>
      <c r="FJ681" s="785" t="str">
        <f t="shared" si="115"/>
        <v/>
      </c>
      <c r="FK681" s="785" t="str">
        <f t="shared" si="116"/>
        <v/>
      </c>
      <c r="FL681" s="785" t="str">
        <f t="shared" si="117"/>
        <v/>
      </c>
      <c r="FM681" s="785" t="str">
        <f t="shared" si="118"/>
        <v/>
      </c>
      <c r="FN681" s="785" t="str">
        <f t="shared" si="119"/>
        <v/>
      </c>
      <c r="FO681" s="785" t="str">
        <f t="shared" si="120"/>
        <v/>
      </c>
      <c r="FP681" s="785" t="str">
        <f t="shared" si="121"/>
        <v/>
      </c>
      <c r="FQ681" s="785" t="str">
        <f t="shared" si="122"/>
        <v/>
      </c>
      <c r="FR681" s="785" t="str">
        <f t="shared" si="123"/>
        <v/>
      </c>
      <c r="FS681" s="785" t="str">
        <f t="shared" si="124"/>
        <v/>
      </c>
      <c r="FT681" s="785" t="str">
        <f t="shared" si="125"/>
        <v/>
      </c>
      <c r="FU681" s="785" t="str">
        <f t="shared" si="126"/>
        <v/>
      </c>
      <c r="FV681" s="785" t="str">
        <f t="shared" si="127"/>
        <v/>
      </c>
      <c r="FW681" s="785" t="str">
        <f t="shared" si="128"/>
        <v/>
      </c>
      <c r="FX681" s="785" t="str">
        <f t="shared" si="129"/>
        <v/>
      </c>
      <c r="FY681" s="785" t="str">
        <f t="shared" si="130"/>
        <v/>
      </c>
      <c r="FZ681" s="785" t="str">
        <f t="shared" si="131"/>
        <v/>
      </c>
      <c r="GA681" s="785" t="str">
        <f t="shared" si="132"/>
        <v/>
      </c>
      <c r="GB681" s="785" t="str">
        <f t="shared" si="133"/>
        <v/>
      </c>
      <c r="GC681" s="785" t="str">
        <f t="shared" si="134"/>
        <v/>
      </c>
      <c r="GD681" s="785" t="str">
        <f t="shared" si="135"/>
        <v/>
      </c>
      <c r="GE681" s="785" t="str">
        <f t="shared" si="136"/>
        <v/>
      </c>
      <c r="GF681" s="785" t="str">
        <f t="shared" si="137"/>
        <v/>
      </c>
      <c r="GG681" s="785" t="str">
        <f t="shared" si="138"/>
        <v/>
      </c>
      <c r="GH681" s="785" t="str">
        <f t="shared" si="139"/>
        <v/>
      </c>
      <c r="GI681" s="785" t="str">
        <f t="shared" si="140"/>
        <v/>
      </c>
      <c r="GJ681" s="785" t="str">
        <f t="shared" si="141"/>
        <v/>
      </c>
      <c r="GK681" s="785" t="str">
        <f t="shared" si="142"/>
        <v/>
      </c>
      <c r="GL681" s="785" t="str">
        <f t="shared" si="143"/>
        <v/>
      </c>
      <c r="GM681" s="785" t="str">
        <f t="shared" si="144"/>
        <v/>
      </c>
      <c r="GN681" s="785" t="str">
        <f t="shared" si="145"/>
        <v/>
      </c>
      <c r="GO681" s="786" t="str">
        <f t="shared" si="146"/>
        <v/>
      </c>
      <c r="GP681" s="786" t="str">
        <f t="shared" si="147"/>
        <v/>
      </c>
      <c r="GQ681" s="786" t="str">
        <f t="shared" si="148"/>
        <v/>
      </c>
      <c r="GR681" s="786" t="str">
        <f t="shared" si="149"/>
        <v/>
      </c>
      <c r="GS681" s="786" t="str">
        <f t="shared" si="150"/>
        <v/>
      </c>
      <c r="GT681" s="580" t="str">
        <f t="shared" si="151"/>
        <v/>
      </c>
      <c r="GU681" s="580" t="str">
        <f t="shared" si="152"/>
        <v/>
      </c>
      <c r="GV681" s="580" t="str">
        <f t="shared" si="153"/>
        <v/>
      </c>
      <c r="GW681" s="580" t="str">
        <f t="shared" si="154"/>
        <v/>
      </c>
      <c r="GX681" s="580" t="str">
        <f t="shared" si="155"/>
        <v/>
      </c>
      <c r="GY681" s="580" t="str">
        <f t="shared" si="156"/>
        <v/>
      </c>
      <c r="GZ681" s="580" t="str">
        <f t="shared" si="157"/>
        <v/>
      </c>
      <c r="HA681" s="580" t="str">
        <f t="shared" si="158"/>
        <v/>
      </c>
      <c r="HB681" s="580" t="str">
        <f t="shared" si="159"/>
        <v/>
      </c>
      <c r="HC681" s="580" t="str">
        <f t="shared" si="160"/>
        <v/>
      </c>
      <c r="HD681" s="580" t="str">
        <f t="shared" si="161"/>
        <v/>
      </c>
      <c r="HE681" s="580" t="str">
        <f t="shared" si="162"/>
        <v/>
      </c>
      <c r="HF681" s="580" t="str">
        <f t="shared" si="163"/>
        <v/>
      </c>
      <c r="HG681" s="580" t="str">
        <f t="shared" si="164"/>
        <v/>
      </c>
      <c r="HH681" s="580" t="str">
        <f t="shared" si="165"/>
        <v/>
      </c>
      <c r="HI681" s="580" t="str">
        <f t="shared" si="166"/>
        <v/>
      </c>
      <c r="HJ681" s="580" t="str">
        <f t="shared" si="167"/>
        <v/>
      </c>
      <c r="HK681" s="580" t="str">
        <f t="shared" si="168"/>
        <v/>
      </c>
      <c r="HL681" s="580" t="str">
        <f t="shared" si="169"/>
        <v/>
      </c>
      <c r="HM681" s="580" t="str">
        <f t="shared" si="170"/>
        <v/>
      </c>
    </row>
    <row r="682" spans="1:221" ht="14.45" customHeight="1">
      <c r="A682" s="888">
        <f>COUNT(A644,A645,A646,A647,A648,A649,A650,A651,A652,A653,A654,A655,A656,A657,A658,A659,A660,A661,A662,A663,A664,A665,A666,A667,A668,A669,A670,A671,A672,A673)</f>
        <v>0</v>
      </c>
      <c r="B682" s="583"/>
      <c r="C682" s="583"/>
      <c r="D682" s="896" t="s">
        <v>1074</v>
      </c>
      <c r="E682" s="893">
        <f>SUM(E644:E681)</f>
        <v>84</v>
      </c>
      <c r="F682" s="893">
        <f>(E644*F644+E645*F645+E646*F646+E647*F647+E648*F648+E649*F649+E650*F650+E651*F651+E652*F652+E653*F653+E654*F654+E655*F655+E656*F656+E657*F657+E658*F658+E659*F659+E660*F660+E661*F661+E662*F662+E663*F663+E664*F664+E665*F665+E666*F666+E667*F667+E668*F668+E669*F669+E670*F670+E671*F671+E672*F672+E673*F673+E674*F674+E675*F675+E676*F676+E677*F677+E678*F678+E679*F679+E680*F680+E681*F681)</f>
        <v>69600</v>
      </c>
      <c r="G682" s="585"/>
      <c r="H682" s="585"/>
      <c r="I682" s="585"/>
      <c r="J682" s="585"/>
      <c r="K682" s="897" t="s">
        <v>1382</v>
      </c>
      <c r="L682" s="893">
        <f>SUM(L644:L681)</f>
        <v>42183</v>
      </c>
      <c r="M682" s="583"/>
      <c r="N682" s="583"/>
      <c r="O682" s="583"/>
      <c r="P682" s="583"/>
      <c r="Q682" s="583"/>
      <c r="R682" s="583"/>
      <c r="S682" s="583"/>
      <c r="T682" s="890"/>
      <c r="U682" s="787"/>
      <c r="V682" s="787">
        <f t="shared" ref="V682:CK682" si="206">SUM(V644:V681)</f>
        <v>0</v>
      </c>
      <c r="W682" s="787">
        <f t="shared" si="206"/>
        <v>10</v>
      </c>
      <c r="X682" s="787">
        <f t="shared" si="206"/>
        <v>47</v>
      </c>
      <c r="Y682" s="787">
        <f t="shared" si="206"/>
        <v>0</v>
      </c>
      <c r="Z682" s="787">
        <f t="shared" si="206"/>
        <v>0</v>
      </c>
      <c r="AA682" s="787">
        <f t="shared" si="206"/>
        <v>0</v>
      </c>
      <c r="AB682" s="787">
        <f t="shared" si="206"/>
        <v>13</v>
      </c>
      <c r="AC682" s="787">
        <f t="shared" si="206"/>
        <v>9</v>
      </c>
      <c r="AD682" s="787">
        <f t="shared" si="206"/>
        <v>0</v>
      </c>
      <c r="AE682" s="787">
        <f t="shared" si="206"/>
        <v>0</v>
      </c>
      <c r="AF682" s="787">
        <f t="shared" si="206"/>
        <v>0</v>
      </c>
      <c r="AG682" s="787">
        <f t="shared" si="206"/>
        <v>0</v>
      </c>
      <c r="AH682" s="787">
        <f t="shared" si="206"/>
        <v>0</v>
      </c>
      <c r="AI682" s="787">
        <f t="shared" si="206"/>
        <v>0</v>
      </c>
      <c r="AJ682" s="787">
        <f t="shared" si="206"/>
        <v>0</v>
      </c>
      <c r="AK682" s="787">
        <f t="shared" si="206"/>
        <v>0</v>
      </c>
      <c r="AL682" s="787">
        <f t="shared" si="206"/>
        <v>1</v>
      </c>
      <c r="AM682" s="787">
        <f t="shared" si="206"/>
        <v>4</v>
      </c>
      <c r="AN682" s="787">
        <f t="shared" si="206"/>
        <v>0</v>
      </c>
      <c r="AO682" s="787">
        <f t="shared" si="206"/>
        <v>0</v>
      </c>
      <c r="AP682" s="787">
        <f t="shared" si="206"/>
        <v>0</v>
      </c>
      <c r="AQ682" s="787">
        <f t="shared" si="206"/>
        <v>0</v>
      </c>
      <c r="AR682" s="787">
        <f t="shared" si="206"/>
        <v>0</v>
      </c>
      <c r="AS682" s="787">
        <f t="shared" si="206"/>
        <v>0</v>
      </c>
      <c r="AT682" s="787">
        <f t="shared" si="206"/>
        <v>0</v>
      </c>
      <c r="AU682" s="787">
        <f t="shared" si="206"/>
        <v>0</v>
      </c>
      <c r="AV682" s="787">
        <f t="shared" si="206"/>
        <v>0</v>
      </c>
      <c r="AW682" s="787">
        <f t="shared" si="206"/>
        <v>0</v>
      </c>
      <c r="AX682" s="787">
        <f t="shared" si="206"/>
        <v>0</v>
      </c>
      <c r="AY682" s="787">
        <f t="shared" si="206"/>
        <v>0</v>
      </c>
      <c r="AZ682" s="787">
        <f t="shared" si="206"/>
        <v>0</v>
      </c>
      <c r="BA682" s="787">
        <f t="shared" si="206"/>
        <v>0</v>
      </c>
      <c r="BB682" s="787">
        <f t="shared" si="206"/>
        <v>0</v>
      </c>
      <c r="BC682" s="787">
        <f t="shared" si="206"/>
        <v>0</v>
      </c>
      <c r="BD682" s="787">
        <f t="shared" si="206"/>
        <v>0</v>
      </c>
      <c r="BE682" s="787">
        <f t="shared" si="206"/>
        <v>0</v>
      </c>
      <c r="BF682" s="787">
        <f t="shared" si="206"/>
        <v>0</v>
      </c>
      <c r="BG682" s="787">
        <f t="shared" si="206"/>
        <v>0</v>
      </c>
      <c r="BH682" s="787">
        <f t="shared" si="206"/>
        <v>0</v>
      </c>
      <c r="BI682" s="787">
        <f t="shared" si="206"/>
        <v>0</v>
      </c>
      <c r="BJ682" s="787">
        <f t="shared" si="206"/>
        <v>0</v>
      </c>
      <c r="BK682" s="787">
        <f t="shared" si="206"/>
        <v>0</v>
      </c>
      <c r="BL682" s="787">
        <f t="shared" si="206"/>
        <v>0</v>
      </c>
      <c r="BM682" s="787">
        <f t="shared" si="206"/>
        <v>0</v>
      </c>
      <c r="BN682" s="787">
        <f t="shared" si="206"/>
        <v>0</v>
      </c>
      <c r="BO682" s="787">
        <f t="shared" si="206"/>
        <v>0</v>
      </c>
      <c r="BP682" s="787">
        <f t="shared" si="206"/>
        <v>0</v>
      </c>
      <c r="BQ682" s="787">
        <f t="shared" si="206"/>
        <v>0</v>
      </c>
      <c r="BR682" s="787">
        <f t="shared" si="206"/>
        <v>0</v>
      </c>
      <c r="BS682" s="787">
        <f t="shared" si="206"/>
        <v>0</v>
      </c>
      <c r="BT682" s="787">
        <f t="shared" si="206"/>
        <v>0</v>
      </c>
      <c r="BU682" s="787">
        <f t="shared" si="206"/>
        <v>0</v>
      </c>
      <c r="BV682" s="787">
        <f t="shared" si="206"/>
        <v>0</v>
      </c>
      <c r="BW682" s="787">
        <f t="shared" si="206"/>
        <v>0</v>
      </c>
      <c r="BX682" s="787">
        <f t="shared" si="206"/>
        <v>0</v>
      </c>
      <c r="BY682" s="787">
        <f t="shared" si="206"/>
        <v>0</v>
      </c>
      <c r="BZ682" s="787">
        <f t="shared" si="206"/>
        <v>6500</v>
      </c>
      <c r="CA682" s="787">
        <f t="shared" si="206"/>
        <v>42300</v>
      </c>
      <c r="CB682" s="787">
        <f t="shared" si="206"/>
        <v>0</v>
      </c>
      <c r="CC682" s="787">
        <f t="shared" si="206"/>
        <v>0</v>
      </c>
      <c r="CD682" s="787">
        <f t="shared" si="206"/>
        <v>0</v>
      </c>
      <c r="CE682" s="787">
        <f t="shared" si="206"/>
        <v>8450</v>
      </c>
      <c r="CF682" s="787">
        <f t="shared" si="206"/>
        <v>8100</v>
      </c>
      <c r="CG682" s="787">
        <f t="shared" si="206"/>
        <v>0</v>
      </c>
      <c r="CH682" s="787">
        <f t="shared" si="206"/>
        <v>0</v>
      </c>
      <c r="CI682" s="787">
        <f t="shared" si="206"/>
        <v>0</v>
      </c>
      <c r="CJ682" s="787">
        <f t="shared" si="206"/>
        <v>0</v>
      </c>
      <c r="CK682" s="787">
        <f t="shared" si="206"/>
        <v>0</v>
      </c>
      <c r="CL682" s="787">
        <f t="shared" ref="CL682:EP682" si="207">SUM(CL644:CL681)</f>
        <v>0</v>
      </c>
      <c r="CM682" s="787">
        <f t="shared" si="207"/>
        <v>0</v>
      </c>
      <c r="CN682" s="787">
        <f t="shared" si="207"/>
        <v>0</v>
      </c>
      <c r="CO682" s="787">
        <f t="shared" si="207"/>
        <v>650</v>
      </c>
      <c r="CP682" s="787">
        <f t="shared" si="207"/>
        <v>3600</v>
      </c>
      <c r="CQ682" s="787">
        <f t="shared" si="207"/>
        <v>0</v>
      </c>
      <c r="CR682" s="787">
        <f t="shared" si="207"/>
        <v>0</v>
      </c>
      <c r="CS682" s="787">
        <f t="shared" si="207"/>
        <v>0</v>
      </c>
      <c r="CT682" s="787">
        <f t="shared" si="207"/>
        <v>0</v>
      </c>
      <c r="CU682" s="787">
        <f t="shared" si="207"/>
        <v>0</v>
      </c>
      <c r="CV682" s="787">
        <f t="shared" si="207"/>
        <v>0</v>
      </c>
      <c r="CW682" s="787">
        <f t="shared" si="207"/>
        <v>0</v>
      </c>
      <c r="CX682" s="787">
        <f t="shared" si="207"/>
        <v>0</v>
      </c>
      <c r="CY682" s="787">
        <f t="shared" si="207"/>
        <v>0</v>
      </c>
      <c r="CZ682" s="787">
        <f t="shared" si="207"/>
        <v>0</v>
      </c>
      <c r="DA682" s="787">
        <f t="shared" si="207"/>
        <v>0</v>
      </c>
      <c r="DB682" s="787">
        <f t="shared" si="207"/>
        <v>0</v>
      </c>
      <c r="DC682" s="787">
        <f t="shared" si="207"/>
        <v>0</v>
      </c>
      <c r="DD682" s="787">
        <f t="shared" si="207"/>
        <v>23</v>
      </c>
      <c r="DE682" s="787">
        <f t="shared" si="207"/>
        <v>56</v>
      </c>
      <c r="DF682" s="787">
        <f t="shared" si="207"/>
        <v>0</v>
      </c>
      <c r="DG682" s="787">
        <f t="shared" si="207"/>
        <v>0</v>
      </c>
      <c r="DH682" s="787">
        <f t="shared" si="207"/>
        <v>0</v>
      </c>
      <c r="DI682" s="787">
        <f t="shared" si="207"/>
        <v>1</v>
      </c>
      <c r="DJ682" s="787">
        <f t="shared" si="207"/>
        <v>4</v>
      </c>
      <c r="DK682" s="787">
        <f t="shared" si="207"/>
        <v>0</v>
      </c>
      <c r="DL682" s="787">
        <f t="shared" si="207"/>
        <v>0</v>
      </c>
      <c r="DM682" s="787">
        <f>SUM(DM644:DM681)</f>
        <v>0</v>
      </c>
      <c r="DN682" s="787">
        <f>SUM(DN644:DN681)</f>
        <v>0</v>
      </c>
      <c r="DO682" s="787">
        <f>SUM(DO644:DO681)</f>
        <v>0</v>
      </c>
      <c r="DP682" s="787">
        <f>SUM(DP644:DP681)</f>
        <v>0</v>
      </c>
      <c r="DQ682" s="787">
        <f>SUM(DQ644:DQ681)</f>
        <v>0</v>
      </c>
      <c r="DR682" s="787">
        <f t="shared" si="207"/>
        <v>0</v>
      </c>
      <c r="DS682" s="787">
        <f t="shared" si="207"/>
        <v>0</v>
      </c>
      <c r="DT682" s="787">
        <f t="shared" si="207"/>
        <v>0</v>
      </c>
      <c r="DU682" s="787">
        <f t="shared" si="207"/>
        <v>0</v>
      </c>
      <c r="DV682" s="787">
        <f t="shared" si="207"/>
        <v>0</v>
      </c>
      <c r="DW682" s="787">
        <f t="shared" si="207"/>
        <v>0</v>
      </c>
      <c r="DX682" s="787">
        <f t="shared" si="207"/>
        <v>0</v>
      </c>
      <c r="DY682" s="787">
        <f t="shared" si="207"/>
        <v>0</v>
      </c>
      <c r="DZ682" s="787">
        <f t="shared" si="207"/>
        <v>0</v>
      </c>
      <c r="EA682" s="787">
        <f t="shared" si="207"/>
        <v>0</v>
      </c>
      <c r="EB682" s="787">
        <f>SUM(EB644:EB681)</f>
        <v>0</v>
      </c>
      <c r="EC682" s="787">
        <f>SUM(EC644:EC681)</f>
        <v>0</v>
      </c>
      <c r="ED682" s="787">
        <f>SUM(ED644:ED681)</f>
        <v>0</v>
      </c>
      <c r="EE682" s="787">
        <f>SUM(EE644:EE681)</f>
        <v>0</v>
      </c>
      <c r="EF682" s="787">
        <f>SUM(EF644:EF681)</f>
        <v>0</v>
      </c>
      <c r="EG682" s="787">
        <f t="shared" si="207"/>
        <v>0</v>
      </c>
      <c r="EH682" s="787">
        <f t="shared" si="207"/>
        <v>0</v>
      </c>
      <c r="EI682" s="787">
        <f t="shared" si="207"/>
        <v>0</v>
      </c>
      <c r="EJ682" s="787">
        <f t="shared" si="207"/>
        <v>0</v>
      </c>
      <c r="EK682" s="787">
        <f t="shared" si="207"/>
        <v>0</v>
      </c>
      <c r="EL682" s="787">
        <f t="shared" si="207"/>
        <v>0</v>
      </c>
      <c r="EM682" s="787">
        <f t="shared" si="207"/>
        <v>0</v>
      </c>
      <c r="EN682" s="787">
        <f t="shared" si="207"/>
        <v>0</v>
      </c>
      <c r="EO682" s="787">
        <f t="shared" si="207"/>
        <v>0</v>
      </c>
      <c r="EP682" s="787">
        <f t="shared" si="207"/>
        <v>0</v>
      </c>
      <c r="EQ682" s="787">
        <f>SUM(EQ644:EQ681)</f>
        <v>0</v>
      </c>
      <c r="ER682" s="787">
        <f>SUM(ER644:ER681)</f>
        <v>0</v>
      </c>
      <c r="ES682" s="787">
        <f>SUM(ES644:ES681)</f>
        <v>0</v>
      </c>
      <c r="ET682" s="787">
        <f>SUM(ET644:ET681)</f>
        <v>0</v>
      </c>
      <c r="EU682" s="787">
        <f>SUM(EU644:EU681)</f>
        <v>0</v>
      </c>
      <c r="EV682" s="787">
        <f t="shared" ref="EV682:HG682" si="208">SUM(EV644:EV681)</f>
        <v>0</v>
      </c>
      <c r="EW682" s="787">
        <f t="shared" si="208"/>
        <v>24</v>
      </c>
      <c r="EX682" s="787">
        <f t="shared" si="208"/>
        <v>60</v>
      </c>
      <c r="EY682" s="787">
        <f t="shared" si="208"/>
        <v>0</v>
      </c>
      <c r="EZ682" s="787">
        <f t="shared" si="208"/>
        <v>0</v>
      </c>
      <c r="FA682" s="787">
        <f t="shared" si="208"/>
        <v>0</v>
      </c>
      <c r="FB682" s="787">
        <f t="shared" si="208"/>
        <v>0</v>
      </c>
      <c r="FC682" s="787">
        <f t="shared" si="208"/>
        <v>0</v>
      </c>
      <c r="FD682" s="787">
        <f t="shared" si="208"/>
        <v>0</v>
      </c>
      <c r="FE682" s="787">
        <f t="shared" si="208"/>
        <v>0</v>
      </c>
      <c r="FF682" s="787">
        <f t="shared" si="208"/>
        <v>0</v>
      </c>
      <c r="FG682" s="787">
        <f t="shared" si="208"/>
        <v>0</v>
      </c>
      <c r="FH682" s="787">
        <f t="shared" si="208"/>
        <v>0</v>
      </c>
      <c r="FI682" s="787">
        <f t="shared" si="208"/>
        <v>0</v>
      </c>
      <c r="FJ682" s="787">
        <f t="shared" si="208"/>
        <v>0</v>
      </c>
      <c r="FK682" s="787">
        <f t="shared" si="208"/>
        <v>0</v>
      </c>
      <c r="FL682" s="787">
        <f t="shared" si="208"/>
        <v>0</v>
      </c>
      <c r="FM682" s="787">
        <f t="shared" si="208"/>
        <v>0</v>
      </c>
      <c r="FN682" s="787">
        <f t="shared" si="208"/>
        <v>0</v>
      </c>
      <c r="FO682" s="787">
        <f t="shared" si="208"/>
        <v>0</v>
      </c>
      <c r="FP682" s="787">
        <f t="shared" si="208"/>
        <v>0</v>
      </c>
      <c r="FQ682" s="787">
        <f t="shared" si="208"/>
        <v>0</v>
      </c>
      <c r="FR682" s="787">
        <f t="shared" si="208"/>
        <v>0</v>
      </c>
      <c r="FS682" s="787">
        <f t="shared" si="208"/>
        <v>0</v>
      </c>
      <c r="FT682" s="787">
        <f t="shared" si="208"/>
        <v>0</v>
      </c>
      <c r="FU682" s="787">
        <f t="shared" si="208"/>
        <v>0</v>
      </c>
      <c r="FV682" s="787">
        <f t="shared" si="208"/>
        <v>0</v>
      </c>
      <c r="FW682" s="787">
        <f t="shared" si="208"/>
        <v>30</v>
      </c>
      <c r="FX682" s="787">
        <f t="shared" si="208"/>
        <v>0</v>
      </c>
      <c r="FY682" s="787">
        <f t="shared" si="208"/>
        <v>0</v>
      </c>
      <c r="FZ682" s="787">
        <f t="shared" si="208"/>
        <v>0</v>
      </c>
      <c r="GA682" s="787">
        <f t="shared" si="208"/>
        <v>0</v>
      </c>
      <c r="GB682" s="787">
        <f t="shared" si="208"/>
        <v>0</v>
      </c>
      <c r="GC682" s="787">
        <f t="shared" si="208"/>
        <v>0</v>
      </c>
      <c r="GD682" s="787">
        <f t="shared" si="208"/>
        <v>0</v>
      </c>
      <c r="GE682" s="787">
        <f t="shared" si="208"/>
        <v>0</v>
      </c>
      <c r="GF682" s="787">
        <f t="shared" si="208"/>
        <v>0</v>
      </c>
      <c r="GG682" s="787">
        <f t="shared" si="208"/>
        <v>0</v>
      </c>
      <c r="GH682" s="787">
        <f t="shared" si="208"/>
        <v>0</v>
      </c>
      <c r="GI682" s="787">
        <f t="shared" si="208"/>
        <v>0</v>
      </c>
      <c r="GJ682" s="787">
        <f t="shared" si="208"/>
        <v>0</v>
      </c>
      <c r="GK682" s="787">
        <f t="shared" si="208"/>
        <v>24</v>
      </c>
      <c r="GL682" s="787">
        <f t="shared" si="208"/>
        <v>30</v>
      </c>
      <c r="GM682" s="787">
        <f t="shared" si="208"/>
        <v>0</v>
      </c>
      <c r="GN682" s="787">
        <f t="shared" si="208"/>
        <v>0</v>
      </c>
      <c r="GO682" s="787">
        <f t="shared" si="208"/>
        <v>0</v>
      </c>
      <c r="GP682" s="787">
        <f t="shared" si="208"/>
        <v>0</v>
      </c>
      <c r="GQ682" s="787">
        <f t="shared" si="208"/>
        <v>0</v>
      </c>
      <c r="GR682" s="787">
        <f t="shared" si="208"/>
        <v>0</v>
      </c>
      <c r="GS682" s="787">
        <f t="shared" si="208"/>
        <v>0</v>
      </c>
      <c r="GT682" s="787">
        <f t="shared" si="208"/>
        <v>0</v>
      </c>
      <c r="GU682" s="787">
        <f t="shared" si="208"/>
        <v>0</v>
      </c>
      <c r="GV682" s="787">
        <f t="shared" si="208"/>
        <v>0</v>
      </c>
      <c r="GW682" s="787">
        <f t="shared" si="208"/>
        <v>0</v>
      </c>
      <c r="GX682" s="787">
        <f t="shared" si="208"/>
        <v>0</v>
      </c>
      <c r="GY682" s="787">
        <f t="shared" si="208"/>
        <v>0</v>
      </c>
      <c r="GZ682" s="787">
        <f t="shared" si="208"/>
        <v>0</v>
      </c>
      <c r="HA682" s="787">
        <f t="shared" si="208"/>
        <v>0</v>
      </c>
      <c r="HB682" s="787">
        <f t="shared" si="208"/>
        <v>0</v>
      </c>
      <c r="HC682" s="787">
        <f t="shared" si="208"/>
        <v>0</v>
      </c>
      <c r="HD682" s="787">
        <f t="shared" si="208"/>
        <v>0</v>
      </c>
      <c r="HE682" s="787">
        <f t="shared" si="208"/>
        <v>0</v>
      </c>
      <c r="HF682" s="787">
        <f t="shared" si="208"/>
        <v>0</v>
      </c>
      <c r="HG682" s="787">
        <f t="shared" si="208"/>
        <v>0</v>
      </c>
      <c r="HH682" s="787">
        <f t="shared" ref="HH682:HM682" si="209">SUM(HH644:HH681)</f>
        <v>0</v>
      </c>
      <c r="HI682" s="787">
        <f t="shared" si="209"/>
        <v>0</v>
      </c>
      <c r="HJ682" s="787">
        <f t="shared" si="209"/>
        <v>0</v>
      </c>
      <c r="HK682" s="787">
        <f t="shared" si="209"/>
        <v>0</v>
      </c>
      <c r="HL682" s="787">
        <f t="shared" si="209"/>
        <v>0</v>
      </c>
      <c r="HM682" s="787">
        <f t="shared" si="209"/>
        <v>0</v>
      </c>
    </row>
    <row r="683" spans="1:221" ht="14.45" customHeight="1">
      <c r="B683" s="583"/>
      <c r="D683" s="896"/>
      <c r="E683" s="893"/>
      <c r="F683" s="893"/>
      <c r="G683" s="585"/>
      <c r="H683" s="585"/>
      <c r="I683" s="585"/>
      <c r="J683" s="585"/>
      <c r="K683" s="896" t="s">
        <v>862</v>
      </c>
      <c r="L683" s="893">
        <f>L682*12</f>
        <v>506196</v>
      </c>
      <c r="M683" s="583"/>
      <c r="N683" s="583"/>
      <c r="O683" s="583"/>
      <c r="P683" s="583"/>
      <c r="Q683" s="583"/>
      <c r="R683" s="583"/>
      <c r="S683" s="583"/>
      <c r="T683" s="583"/>
      <c r="U683" s="787"/>
      <c r="V683" s="787"/>
      <c r="W683" s="787"/>
      <c r="X683" s="787"/>
      <c r="Y683" s="787"/>
      <c r="Z683" s="787"/>
      <c r="AA683" s="787"/>
      <c r="AB683" s="787"/>
      <c r="AC683" s="787"/>
      <c r="AD683" s="787"/>
      <c r="AE683" s="787"/>
      <c r="AF683" s="787"/>
      <c r="AG683" s="787"/>
      <c r="AH683" s="787"/>
      <c r="AI683" s="787"/>
      <c r="AJ683" s="787"/>
      <c r="AK683" s="787"/>
      <c r="AL683" s="787"/>
      <c r="AM683" s="787"/>
      <c r="AN683" s="787"/>
      <c r="AO683" s="787"/>
      <c r="AP683" s="787"/>
      <c r="AQ683" s="787"/>
      <c r="AR683" s="787"/>
      <c r="AS683" s="787"/>
      <c r="AT683" s="787"/>
      <c r="AU683" s="787"/>
      <c r="AV683" s="787"/>
      <c r="AW683" s="787"/>
      <c r="AX683" s="787"/>
      <c r="AY683" s="787"/>
      <c r="AZ683" s="787"/>
      <c r="BA683" s="787"/>
      <c r="BB683" s="787"/>
      <c r="BC683" s="787"/>
      <c r="BD683" s="787"/>
      <c r="BE683" s="787"/>
      <c r="BF683" s="787"/>
      <c r="BG683" s="787"/>
      <c r="BH683" s="787"/>
      <c r="BI683" s="787"/>
      <c r="BJ683" s="787"/>
      <c r="BK683" s="787"/>
      <c r="BL683" s="787"/>
      <c r="BM683" s="787"/>
      <c r="BN683" s="787"/>
      <c r="BO683" s="787"/>
      <c r="BP683" s="787"/>
      <c r="BQ683" s="787"/>
      <c r="BR683" s="787"/>
      <c r="BS683" s="787"/>
      <c r="BT683" s="787"/>
      <c r="BU683" s="787"/>
      <c r="BV683" s="787"/>
      <c r="BW683" s="787"/>
      <c r="BX683" s="787"/>
      <c r="BY683" s="787"/>
      <c r="BZ683" s="787"/>
      <c r="CA683" s="787"/>
      <c r="CB683" s="787"/>
      <c r="CC683" s="787"/>
      <c r="CD683" s="787"/>
      <c r="CE683" s="787"/>
      <c r="CF683" s="787"/>
      <c r="CG683" s="787"/>
      <c r="CH683" s="787"/>
      <c r="CI683" s="787"/>
      <c r="CJ683" s="787"/>
      <c r="CK683" s="787"/>
      <c r="CL683" s="787"/>
      <c r="CM683" s="787"/>
      <c r="CN683" s="787"/>
      <c r="CO683" s="787"/>
      <c r="CP683" s="787"/>
      <c r="CQ683" s="787"/>
      <c r="CR683" s="787"/>
      <c r="CS683" s="787"/>
      <c r="CT683" s="787"/>
      <c r="CU683" s="787"/>
      <c r="CV683" s="787"/>
      <c r="CW683" s="787"/>
      <c r="CX683" s="787"/>
      <c r="CY683" s="787"/>
      <c r="CZ683" s="787"/>
      <c r="DA683" s="787"/>
      <c r="DB683" s="787"/>
      <c r="DC683" s="787"/>
      <c r="DD683" s="787"/>
      <c r="DE683" s="787"/>
      <c r="DF683" s="787"/>
      <c r="DG683" s="787"/>
      <c r="DH683" s="787"/>
      <c r="DI683" s="787"/>
      <c r="DJ683" s="787"/>
      <c r="DK683" s="787"/>
      <c r="DL683" s="787"/>
      <c r="DM683" s="787"/>
      <c r="DN683" s="787"/>
      <c r="DO683" s="787"/>
      <c r="DP683" s="787"/>
      <c r="DQ683" s="787"/>
      <c r="DR683" s="787"/>
      <c r="DS683" s="787"/>
      <c r="DT683" s="787"/>
      <c r="DU683" s="787"/>
      <c r="DV683" s="787"/>
      <c r="DW683" s="787"/>
      <c r="DX683" s="787"/>
      <c r="DY683" s="787"/>
      <c r="DZ683" s="787"/>
      <c r="EA683" s="787"/>
      <c r="EB683" s="787"/>
      <c r="EC683" s="787"/>
      <c r="ED683" s="787"/>
      <c r="EE683" s="787"/>
      <c r="EF683" s="787"/>
      <c r="EG683" s="787"/>
      <c r="EH683" s="787"/>
      <c r="EI683" s="787"/>
      <c r="EJ683" s="787"/>
      <c r="EK683" s="787"/>
      <c r="EL683" s="787"/>
      <c r="EM683" s="787"/>
      <c r="EN683" s="787"/>
      <c r="EO683" s="787"/>
      <c r="EP683" s="787"/>
      <c r="EQ683" s="787"/>
      <c r="ER683" s="787"/>
      <c r="ES683" s="787"/>
      <c r="ET683" s="787"/>
      <c r="EU683" s="787"/>
      <c r="EV683" s="787"/>
      <c r="EW683" s="787"/>
      <c r="EX683" s="787"/>
      <c r="EY683" s="787"/>
      <c r="EZ683" s="787"/>
      <c r="FA683" s="787"/>
      <c r="FB683" s="787"/>
      <c r="FC683" s="787"/>
      <c r="FD683" s="787"/>
      <c r="FE683" s="787"/>
      <c r="FF683" s="787"/>
      <c r="FG683" s="787"/>
      <c r="FH683" s="787"/>
      <c r="FI683" s="787"/>
      <c r="FJ683" s="787"/>
      <c r="FK683" s="787"/>
      <c r="FL683" s="787"/>
      <c r="FM683" s="787"/>
      <c r="FN683" s="787"/>
      <c r="FO683" s="787"/>
      <c r="FP683" s="787"/>
      <c r="FQ683" s="787"/>
      <c r="FR683" s="787"/>
      <c r="FS683" s="787"/>
      <c r="FT683" s="787"/>
      <c r="FU683" s="787"/>
      <c r="FV683" s="787"/>
      <c r="FW683" s="787"/>
      <c r="FX683" s="787"/>
      <c r="FY683" s="787"/>
      <c r="FZ683" s="787"/>
      <c r="GA683" s="787"/>
      <c r="GB683" s="787"/>
      <c r="GC683" s="787"/>
      <c r="GD683" s="787"/>
      <c r="GE683" s="787"/>
      <c r="GF683" s="787"/>
      <c r="GG683" s="787"/>
      <c r="GH683" s="787"/>
      <c r="GI683" s="787"/>
      <c r="GJ683" s="787"/>
      <c r="GK683" s="787"/>
      <c r="GL683" s="787"/>
      <c r="GM683" s="787"/>
      <c r="GN683" s="787"/>
      <c r="GO683" s="787"/>
      <c r="GP683" s="787"/>
      <c r="GQ683" s="787"/>
      <c r="GR683" s="787"/>
      <c r="GS683" s="787"/>
      <c r="GT683" s="787"/>
      <c r="GU683" s="787"/>
      <c r="GV683" s="787"/>
      <c r="GW683" s="787"/>
      <c r="GX683" s="787"/>
      <c r="GY683" s="787"/>
      <c r="GZ683" s="787"/>
      <c r="HA683" s="787"/>
      <c r="HB683" s="787"/>
      <c r="HC683" s="787"/>
      <c r="HD683" s="787"/>
      <c r="HE683" s="787"/>
      <c r="HF683" s="787"/>
      <c r="HG683" s="787"/>
      <c r="HH683" s="787"/>
      <c r="HI683" s="787"/>
      <c r="HJ683" s="787"/>
      <c r="HK683" s="787"/>
      <c r="HL683" s="787"/>
      <c r="HM683" s="787"/>
    </row>
    <row r="684" spans="1:221" ht="3" customHeight="1">
      <c r="A684" s="584"/>
      <c r="B684" s="583"/>
      <c r="D684" s="896"/>
      <c r="E684" s="893"/>
      <c r="F684" s="893"/>
      <c r="G684" s="585"/>
      <c r="H684" s="585"/>
      <c r="I684" s="585"/>
      <c r="J684" s="585"/>
      <c r="K684" s="896"/>
      <c r="L684" s="893"/>
      <c r="M684" s="583"/>
      <c r="N684" s="583"/>
      <c r="O684" s="583"/>
      <c r="P684" s="583"/>
      <c r="Q684" s="583"/>
      <c r="R684" s="583"/>
      <c r="S684" s="583"/>
      <c r="T684" s="583"/>
      <c r="U684" s="787"/>
      <c r="V684" s="787"/>
      <c r="W684" s="787"/>
      <c r="X684" s="787"/>
      <c r="Y684" s="787"/>
      <c r="Z684" s="787"/>
      <c r="AA684" s="787"/>
      <c r="AB684" s="787"/>
      <c r="AC684" s="787"/>
      <c r="AD684" s="787"/>
      <c r="AE684" s="787"/>
      <c r="AF684" s="787"/>
      <c r="AG684" s="787"/>
      <c r="AH684" s="787"/>
      <c r="AI684" s="787"/>
      <c r="AJ684" s="787"/>
      <c r="AK684" s="787"/>
      <c r="AL684" s="787"/>
      <c r="AM684" s="787"/>
      <c r="AN684" s="787"/>
      <c r="AO684" s="787"/>
      <c r="AP684" s="787"/>
      <c r="AQ684" s="787"/>
      <c r="AR684" s="787"/>
      <c r="AS684" s="787"/>
      <c r="AT684" s="787"/>
      <c r="AU684" s="787"/>
      <c r="AV684" s="787"/>
      <c r="AW684" s="787"/>
      <c r="AX684" s="787"/>
      <c r="AY684" s="787"/>
      <c r="AZ684" s="787"/>
      <c r="BA684" s="787"/>
      <c r="BB684" s="787"/>
      <c r="BC684" s="787"/>
      <c r="BD684" s="787"/>
      <c r="BE684" s="787"/>
      <c r="BF684" s="787"/>
      <c r="BG684" s="787"/>
      <c r="BH684" s="787"/>
      <c r="BI684" s="787"/>
      <c r="BJ684" s="787"/>
      <c r="BK684" s="787"/>
      <c r="BL684" s="787"/>
      <c r="BM684" s="787"/>
      <c r="BN684" s="787"/>
      <c r="BO684" s="787"/>
      <c r="BP684" s="787"/>
      <c r="BQ684" s="787"/>
      <c r="BR684" s="787"/>
      <c r="BS684" s="787"/>
      <c r="BT684" s="787"/>
      <c r="BU684" s="787"/>
      <c r="BV684" s="787"/>
      <c r="BW684" s="787"/>
      <c r="BX684" s="787"/>
      <c r="BY684" s="787"/>
      <c r="BZ684" s="787"/>
      <c r="CA684" s="787"/>
      <c r="CB684" s="787"/>
      <c r="CC684" s="787"/>
      <c r="CD684" s="787"/>
      <c r="CE684" s="787"/>
      <c r="CF684" s="787"/>
      <c r="CG684" s="787"/>
      <c r="CH684" s="787"/>
      <c r="CI684" s="787"/>
      <c r="CJ684" s="787"/>
      <c r="CK684" s="787"/>
      <c r="CL684" s="787"/>
      <c r="CM684" s="787"/>
      <c r="CN684" s="787"/>
      <c r="CO684" s="787"/>
      <c r="CP684" s="787"/>
      <c r="CQ684" s="787"/>
      <c r="CR684" s="787"/>
      <c r="CS684" s="787"/>
      <c r="CT684" s="787"/>
      <c r="CU684" s="787"/>
      <c r="CV684" s="787"/>
      <c r="CW684" s="787"/>
      <c r="CX684" s="787"/>
      <c r="CY684" s="787"/>
      <c r="CZ684" s="787"/>
      <c r="DA684" s="787"/>
      <c r="DB684" s="787"/>
      <c r="DC684" s="787"/>
      <c r="DD684" s="787"/>
      <c r="DE684" s="787"/>
      <c r="DF684" s="787"/>
      <c r="DG684" s="787"/>
      <c r="DH684" s="787"/>
      <c r="DI684" s="787"/>
      <c r="DJ684" s="787"/>
      <c r="DK684" s="787"/>
      <c r="DL684" s="787"/>
      <c r="DM684" s="787"/>
      <c r="DN684" s="787"/>
      <c r="DO684" s="787"/>
      <c r="DP684" s="787"/>
      <c r="DQ684" s="787"/>
      <c r="DR684" s="787"/>
      <c r="DS684" s="787"/>
      <c r="DT684" s="787"/>
      <c r="DU684" s="787"/>
      <c r="DV684" s="787"/>
      <c r="DW684" s="787"/>
      <c r="DX684" s="787"/>
      <c r="DY684" s="787"/>
      <c r="DZ684" s="787"/>
      <c r="EA684" s="787"/>
      <c r="EB684" s="787"/>
      <c r="EC684" s="787"/>
      <c r="ED684" s="787"/>
      <c r="EE684" s="787"/>
      <c r="EF684" s="787"/>
      <c r="EG684" s="787"/>
      <c r="EH684" s="787"/>
      <c r="EI684" s="787"/>
      <c r="EJ684" s="787"/>
      <c r="EK684" s="787"/>
      <c r="EL684" s="787"/>
      <c r="EM684" s="787"/>
      <c r="EN684" s="787"/>
      <c r="EO684" s="787"/>
      <c r="EP684" s="787"/>
      <c r="EQ684" s="787"/>
      <c r="ER684" s="787"/>
      <c r="ES684" s="787"/>
      <c r="ET684" s="787"/>
      <c r="EU684" s="787"/>
      <c r="EV684" s="787"/>
      <c r="EW684" s="787"/>
      <c r="EX684" s="787"/>
      <c r="EY684" s="787"/>
      <c r="EZ684" s="787"/>
      <c r="FA684" s="787"/>
      <c r="FB684" s="787"/>
      <c r="FC684" s="787"/>
      <c r="FD684" s="787"/>
      <c r="FE684" s="787"/>
      <c r="FF684" s="787"/>
      <c r="FG684" s="787"/>
      <c r="FH684" s="787"/>
      <c r="FI684" s="787"/>
      <c r="FJ684" s="787"/>
      <c r="FK684" s="787"/>
      <c r="FL684" s="787"/>
      <c r="FM684" s="787"/>
      <c r="FN684" s="787"/>
      <c r="FO684" s="787"/>
      <c r="FP684" s="787"/>
      <c r="FQ684" s="787"/>
      <c r="FR684" s="787"/>
      <c r="FS684" s="787"/>
      <c r="FT684" s="787"/>
      <c r="FU684" s="787"/>
      <c r="FV684" s="787"/>
      <c r="FW684" s="787"/>
      <c r="FX684" s="787"/>
      <c r="FY684" s="787"/>
      <c r="FZ684" s="787"/>
      <c r="GA684" s="787"/>
      <c r="GB684" s="787"/>
      <c r="GC684" s="787"/>
      <c r="GD684" s="787"/>
      <c r="GE684" s="787"/>
      <c r="GF684" s="787"/>
      <c r="GG684" s="787"/>
      <c r="GH684" s="787"/>
      <c r="GI684" s="787"/>
      <c r="GJ684" s="787"/>
      <c r="GK684" s="787"/>
      <c r="GL684" s="787"/>
      <c r="GM684" s="787"/>
      <c r="GN684" s="787"/>
      <c r="GO684" s="787"/>
      <c r="GP684" s="787"/>
      <c r="GQ684" s="787"/>
      <c r="GR684" s="787"/>
      <c r="GS684" s="787"/>
      <c r="GT684" s="787"/>
      <c r="GU684" s="787"/>
      <c r="GV684" s="787"/>
      <c r="GW684" s="787"/>
      <c r="GX684" s="787"/>
      <c r="GY684" s="787"/>
      <c r="GZ684" s="787"/>
      <c r="HA684" s="787"/>
      <c r="HB684" s="787"/>
      <c r="HC684" s="787"/>
      <c r="HD684" s="787"/>
      <c r="HE684" s="787"/>
      <c r="HF684" s="787"/>
      <c r="HG684" s="787"/>
      <c r="HH684" s="787"/>
      <c r="HI684" s="787"/>
      <c r="HJ684" s="787"/>
      <c r="HK684" s="787"/>
      <c r="HL684" s="787"/>
      <c r="HM684" s="787"/>
    </row>
    <row r="685" spans="1:221" ht="12" customHeight="1">
      <c r="A685" s="2179" t="s">
        <v>3394</v>
      </c>
      <c r="B685" s="2180"/>
      <c r="C685" s="2180"/>
      <c r="D685" s="2180"/>
      <c r="E685" s="2180"/>
      <c r="F685" s="2180"/>
      <c r="G685" s="2180"/>
      <c r="H685" s="2180"/>
      <c r="I685" s="2180"/>
      <c r="J685" s="2180"/>
      <c r="K685" s="2180"/>
      <c r="L685" s="2180"/>
      <c r="M685" s="2180"/>
      <c r="N685" s="2180"/>
      <c r="O685" s="2180"/>
      <c r="P685" s="2180"/>
      <c r="Q685" s="583"/>
      <c r="R685" s="583"/>
      <c r="S685" s="583"/>
      <c r="T685" s="583"/>
      <c r="U685" s="787"/>
      <c r="V685" s="787"/>
      <c r="W685" s="787"/>
      <c r="X685" s="787"/>
      <c r="Y685" s="787"/>
      <c r="Z685" s="787"/>
      <c r="AA685" s="787"/>
      <c r="AB685" s="787"/>
      <c r="AC685" s="787"/>
      <c r="AD685" s="787"/>
      <c r="AE685" s="787"/>
      <c r="AF685" s="787"/>
      <c r="AG685" s="787"/>
      <c r="AH685" s="787"/>
      <c r="AI685" s="787"/>
      <c r="AJ685" s="787"/>
      <c r="AK685" s="787"/>
      <c r="AL685" s="787"/>
      <c r="AM685" s="787"/>
      <c r="AN685" s="787"/>
      <c r="AO685" s="787"/>
      <c r="AP685" s="787"/>
      <c r="AQ685" s="787"/>
      <c r="AR685" s="787"/>
      <c r="AS685" s="787"/>
      <c r="AT685" s="787"/>
      <c r="AU685" s="787"/>
      <c r="AV685" s="787"/>
      <c r="AW685" s="787"/>
      <c r="AX685" s="787"/>
      <c r="AY685" s="787"/>
      <c r="AZ685" s="787"/>
      <c r="BA685" s="787"/>
      <c r="BB685" s="787"/>
      <c r="BC685" s="787"/>
      <c r="BD685" s="787"/>
      <c r="BE685" s="787"/>
      <c r="BF685" s="787"/>
      <c r="BG685" s="787"/>
      <c r="BH685" s="787"/>
      <c r="BI685" s="787"/>
      <c r="BJ685" s="787"/>
      <c r="BK685" s="787"/>
      <c r="BL685" s="787"/>
      <c r="BM685" s="787"/>
      <c r="BN685" s="787"/>
      <c r="BO685" s="787"/>
      <c r="BP685" s="787"/>
      <c r="BQ685" s="787"/>
      <c r="BR685" s="787"/>
      <c r="BS685" s="787"/>
      <c r="BT685" s="787"/>
      <c r="BU685" s="787"/>
      <c r="BV685" s="787"/>
      <c r="BW685" s="787"/>
      <c r="BX685" s="787"/>
      <c r="BY685" s="787"/>
      <c r="BZ685" s="787"/>
      <c r="CA685" s="787"/>
      <c r="CB685" s="787"/>
      <c r="CC685" s="787"/>
      <c r="CD685" s="787"/>
      <c r="CE685" s="787"/>
      <c r="CF685" s="787"/>
      <c r="CG685" s="787"/>
      <c r="CH685" s="787"/>
      <c r="CI685" s="787"/>
      <c r="CJ685" s="787"/>
      <c r="CK685" s="787"/>
      <c r="CL685" s="787"/>
      <c r="CM685" s="787"/>
      <c r="CN685" s="787"/>
      <c r="CO685" s="787"/>
      <c r="CP685" s="787"/>
      <c r="CQ685" s="787"/>
      <c r="CR685" s="787"/>
      <c r="CS685" s="787"/>
      <c r="CT685" s="787"/>
      <c r="CU685" s="787"/>
      <c r="CV685" s="787"/>
      <c r="CW685" s="787"/>
      <c r="CX685" s="787"/>
      <c r="CY685" s="787"/>
      <c r="CZ685" s="787"/>
      <c r="DA685" s="787"/>
      <c r="DB685" s="787"/>
      <c r="DC685" s="787"/>
      <c r="DD685" s="787"/>
      <c r="DE685" s="787"/>
      <c r="DF685" s="787"/>
      <c r="DG685" s="787"/>
      <c r="DH685" s="787"/>
      <c r="DI685" s="787"/>
      <c r="DJ685" s="787"/>
      <c r="DK685" s="787"/>
      <c r="DL685" s="787"/>
      <c r="DM685" s="787"/>
      <c r="DN685" s="787"/>
      <c r="DO685" s="787"/>
      <c r="DP685" s="787"/>
      <c r="DQ685" s="787"/>
      <c r="DR685" s="787"/>
      <c r="DS685" s="787"/>
      <c r="DT685" s="787"/>
      <c r="DU685" s="787"/>
      <c r="DV685" s="787"/>
      <c r="DW685" s="787"/>
      <c r="DX685" s="787"/>
      <c r="DY685" s="787"/>
      <c r="DZ685" s="787"/>
      <c r="EA685" s="787"/>
      <c r="EB685" s="787"/>
      <c r="EC685" s="787"/>
      <c r="ED685" s="787"/>
      <c r="EE685" s="787"/>
      <c r="EF685" s="787"/>
      <c r="EG685" s="787"/>
      <c r="EH685" s="787"/>
      <c r="EI685" s="787"/>
      <c r="EJ685" s="787"/>
      <c r="EK685" s="787"/>
      <c r="EL685" s="787"/>
      <c r="EM685" s="787"/>
      <c r="EN685" s="787"/>
      <c r="EO685" s="787"/>
      <c r="EP685" s="787"/>
      <c r="EQ685" s="787"/>
      <c r="ER685" s="787"/>
      <c r="ES685" s="787"/>
      <c r="ET685" s="787"/>
      <c r="EU685" s="787"/>
      <c r="EV685" s="787"/>
      <c r="EW685" s="787"/>
      <c r="EX685" s="787"/>
      <c r="EY685" s="787"/>
      <c r="EZ685" s="787"/>
      <c r="FA685" s="787"/>
      <c r="FB685" s="787"/>
      <c r="FC685" s="787"/>
      <c r="FD685" s="787"/>
      <c r="FE685" s="787"/>
      <c r="FF685" s="787"/>
      <c r="FG685" s="787"/>
      <c r="FH685" s="787"/>
      <c r="FI685" s="787"/>
      <c r="FJ685" s="787"/>
      <c r="FK685" s="787"/>
      <c r="FL685" s="787"/>
      <c r="FM685" s="787"/>
      <c r="FN685" s="787"/>
      <c r="FO685" s="787"/>
      <c r="FP685" s="787"/>
      <c r="FQ685" s="787"/>
      <c r="FR685" s="787"/>
      <c r="FS685" s="787"/>
      <c r="FT685" s="787"/>
      <c r="FU685" s="787"/>
      <c r="FV685" s="787"/>
      <c r="FW685" s="787"/>
      <c r="FX685" s="787"/>
      <c r="FY685" s="787"/>
      <c r="FZ685" s="787"/>
      <c r="GA685" s="787"/>
      <c r="GB685" s="787"/>
      <c r="GC685" s="787"/>
      <c r="GD685" s="787"/>
      <c r="GE685" s="787"/>
      <c r="GF685" s="787"/>
      <c r="GG685" s="787"/>
      <c r="GH685" s="787"/>
      <c r="GI685" s="787"/>
      <c r="GJ685" s="787"/>
      <c r="GK685" s="787"/>
      <c r="GL685" s="787"/>
      <c r="GM685" s="787"/>
      <c r="GN685" s="787"/>
      <c r="GO685" s="787"/>
      <c r="GP685" s="787"/>
      <c r="GQ685" s="787"/>
      <c r="GR685" s="787"/>
      <c r="GS685" s="787"/>
      <c r="GT685" s="787"/>
      <c r="GU685" s="787"/>
      <c r="GV685" s="787"/>
      <c r="GW685" s="787"/>
      <c r="GX685" s="787"/>
      <c r="GY685" s="787"/>
      <c r="GZ685" s="787"/>
      <c r="HA685" s="787"/>
      <c r="HB685" s="787"/>
      <c r="HC685" s="787"/>
      <c r="HD685" s="787"/>
      <c r="HE685" s="787"/>
      <c r="HF685" s="787"/>
      <c r="HG685" s="787"/>
      <c r="HH685" s="787"/>
      <c r="HI685" s="787"/>
      <c r="HJ685" s="787"/>
      <c r="HK685" s="787"/>
      <c r="HL685" s="787"/>
      <c r="HM685" s="787"/>
    </row>
    <row r="686" spans="1:221" ht="12" customHeight="1">
      <c r="A686" s="2180"/>
      <c r="B686" s="2180"/>
      <c r="C686" s="2180"/>
      <c r="D686" s="2180"/>
      <c r="E686" s="2180"/>
      <c r="F686" s="2180"/>
      <c r="G686" s="2180"/>
      <c r="H686" s="2180"/>
      <c r="I686" s="2180"/>
      <c r="J686" s="2180"/>
      <c r="K686" s="2180"/>
      <c r="L686" s="2180"/>
      <c r="M686" s="2180"/>
      <c r="N686" s="2180"/>
      <c r="O686" s="2180"/>
      <c r="P686" s="2180"/>
      <c r="Q686" s="583"/>
      <c r="R686" s="583"/>
      <c r="S686" s="583"/>
      <c r="T686" s="583"/>
      <c r="U686" s="787"/>
      <c r="V686" s="787"/>
      <c r="W686" s="787"/>
      <c r="X686" s="787"/>
      <c r="Y686" s="787"/>
      <c r="Z686" s="787"/>
      <c r="AA686" s="787"/>
      <c r="AB686" s="787"/>
      <c r="AC686" s="787"/>
      <c r="AD686" s="787"/>
      <c r="AE686" s="787"/>
      <c r="AF686" s="787"/>
      <c r="AG686" s="787"/>
      <c r="AH686" s="787"/>
      <c r="AI686" s="787"/>
      <c r="AJ686" s="787"/>
      <c r="AK686" s="787"/>
      <c r="AL686" s="787"/>
      <c r="AM686" s="787"/>
      <c r="AN686" s="787"/>
      <c r="AO686" s="787"/>
      <c r="AP686" s="787"/>
      <c r="AQ686" s="787"/>
      <c r="AR686" s="787"/>
      <c r="AS686" s="787"/>
      <c r="AT686" s="787"/>
      <c r="AU686" s="787"/>
      <c r="AV686" s="787"/>
      <c r="AW686" s="787"/>
      <c r="AX686" s="787"/>
      <c r="AY686" s="787"/>
      <c r="AZ686" s="787"/>
      <c r="BA686" s="787"/>
      <c r="BB686" s="787"/>
      <c r="BC686" s="787"/>
      <c r="BD686" s="787"/>
      <c r="BE686" s="787"/>
      <c r="BF686" s="787"/>
      <c r="BG686" s="787"/>
      <c r="BH686" s="787"/>
      <c r="BI686" s="787"/>
      <c r="BJ686" s="787"/>
      <c r="BK686" s="787"/>
      <c r="BL686" s="787"/>
      <c r="BM686" s="787"/>
      <c r="BN686" s="787"/>
      <c r="BO686" s="787"/>
      <c r="BP686" s="787"/>
      <c r="BQ686" s="787"/>
      <c r="BR686" s="787"/>
      <c r="BS686" s="787"/>
      <c r="BT686" s="787"/>
      <c r="BU686" s="787"/>
      <c r="BV686" s="787"/>
      <c r="BW686" s="787"/>
      <c r="BX686" s="787"/>
      <c r="BY686" s="787"/>
      <c r="BZ686" s="787"/>
      <c r="CA686" s="787"/>
      <c r="CB686" s="787"/>
      <c r="CC686" s="787"/>
      <c r="CD686" s="787"/>
      <c r="CE686" s="787"/>
      <c r="CF686" s="787"/>
      <c r="CG686" s="787"/>
      <c r="CH686" s="787"/>
      <c r="CI686" s="787"/>
      <c r="CJ686" s="787"/>
      <c r="CK686" s="787"/>
      <c r="CL686" s="787"/>
      <c r="CM686" s="787"/>
      <c r="CN686" s="787"/>
      <c r="CO686" s="787"/>
      <c r="CP686" s="787"/>
      <c r="CQ686" s="787"/>
      <c r="CR686" s="787"/>
      <c r="CS686" s="787"/>
      <c r="CT686" s="787"/>
      <c r="CU686" s="787"/>
      <c r="CV686" s="787"/>
      <c r="CW686" s="787"/>
      <c r="CX686" s="787"/>
      <c r="CY686" s="787"/>
      <c r="CZ686" s="787"/>
      <c r="DA686" s="787"/>
      <c r="DB686" s="787"/>
      <c r="DC686" s="787"/>
      <c r="DD686" s="787"/>
      <c r="DE686" s="787"/>
      <c r="DF686" s="787"/>
      <c r="DG686" s="787"/>
      <c r="DH686" s="787"/>
      <c r="DI686" s="787"/>
      <c r="DJ686" s="787"/>
      <c r="DK686" s="787"/>
      <c r="DL686" s="787"/>
      <c r="DM686" s="787"/>
      <c r="DN686" s="787"/>
      <c r="DO686" s="787"/>
      <c r="DP686" s="787"/>
      <c r="DQ686" s="787"/>
      <c r="DR686" s="787"/>
      <c r="DS686" s="787"/>
      <c r="DT686" s="787"/>
      <c r="DU686" s="787"/>
      <c r="DV686" s="787"/>
      <c r="DW686" s="787"/>
      <c r="DX686" s="787"/>
      <c r="DY686" s="787"/>
      <c r="DZ686" s="787"/>
      <c r="EA686" s="787"/>
      <c r="EB686" s="787"/>
      <c r="EC686" s="787"/>
      <c r="ED686" s="787"/>
      <c r="EE686" s="787"/>
      <c r="EF686" s="787"/>
      <c r="EG686" s="787"/>
      <c r="EH686" s="787"/>
      <c r="EI686" s="787"/>
      <c r="EJ686" s="787"/>
      <c r="EK686" s="787"/>
      <c r="EL686" s="787"/>
      <c r="EM686" s="787"/>
      <c r="EN686" s="787"/>
      <c r="EO686" s="787"/>
      <c r="EP686" s="787"/>
      <c r="EQ686" s="787"/>
      <c r="ER686" s="787"/>
      <c r="ES686" s="787"/>
      <c r="ET686" s="787"/>
      <c r="EU686" s="787"/>
      <c r="EV686" s="787"/>
      <c r="EW686" s="787"/>
      <c r="EX686" s="787"/>
      <c r="EY686" s="787"/>
      <c r="EZ686" s="787"/>
      <c r="FA686" s="787"/>
      <c r="FB686" s="787"/>
      <c r="FC686" s="787"/>
      <c r="FD686" s="787"/>
      <c r="FE686" s="787"/>
      <c r="FF686" s="787"/>
      <c r="FG686" s="787"/>
      <c r="FH686" s="787"/>
      <c r="FI686" s="787"/>
      <c r="FJ686" s="787"/>
      <c r="FK686" s="787"/>
      <c r="FL686" s="787"/>
      <c r="FM686" s="787"/>
      <c r="FN686" s="787"/>
      <c r="FO686" s="787"/>
      <c r="FP686" s="787"/>
      <c r="FQ686" s="787"/>
      <c r="FR686" s="787"/>
      <c r="FS686" s="787"/>
      <c r="FT686" s="787"/>
      <c r="FU686" s="787"/>
      <c r="FV686" s="787"/>
      <c r="FW686" s="787"/>
      <c r="FX686" s="787"/>
      <c r="FY686" s="787"/>
      <c r="FZ686" s="787"/>
      <c r="GA686" s="787"/>
      <c r="GB686" s="787"/>
      <c r="GC686" s="787"/>
      <c r="GD686" s="787"/>
      <c r="GE686" s="787"/>
      <c r="GF686" s="787"/>
      <c r="GG686" s="787"/>
      <c r="GH686" s="787"/>
      <c r="GI686" s="787"/>
      <c r="GJ686" s="787"/>
      <c r="GK686" s="787"/>
      <c r="GL686" s="787"/>
      <c r="GM686" s="787"/>
      <c r="GN686" s="787"/>
      <c r="GO686" s="787"/>
      <c r="GP686" s="787"/>
      <c r="GQ686" s="787"/>
      <c r="GR686" s="787"/>
      <c r="GS686" s="787"/>
      <c r="GT686" s="787"/>
      <c r="GU686" s="787"/>
      <c r="GV686" s="787"/>
      <c r="GW686" s="787"/>
      <c r="GX686" s="787"/>
      <c r="GY686" s="787"/>
      <c r="GZ686" s="787"/>
      <c r="HA686" s="787"/>
      <c r="HB686" s="787"/>
      <c r="HC686" s="787"/>
      <c r="HD686" s="787"/>
      <c r="HE686" s="787"/>
      <c r="HF686" s="787"/>
      <c r="HG686" s="787"/>
      <c r="HH686" s="787"/>
      <c r="HI686" s="787"/>
      <c r="HJ686" s="787"/>
      <c r="HK686" s="787"/>
      <c r="HL686" s="787"/>
      <c r="HM686" s="787"/>
    </row>
    <row r="687" spans="1:221" ht="14.45" customHeight="1">
      <c r="A687" s="788" t="s">
        <v>784</v>
      </c>
      <c r="B687" s="788" t="s">
        <v>562</v>
      </c>
      <c r="Q687" s="2181" t="str">
        <f>IF(SUM(Q690:Q734)&gt;0,"ERROR Between Rent Schedule &amp; Unit Summary:", "")</f>
        <v>ERROR Between Rent Schedule &amp; Unit Summary:</v>
      </c>
      <c r="R687" s="898"/>
      <c r="S687" s="898"/>
      <c r="T687" s="586" t="str">
        <f>B687</f>
        <v>UNIT SUMMARY</v>
      </c>
      <c r="U687" s="788" t="s">
        <v>562</v>
      </c>
      <c r="AH687" s="583"/>
      <c r="FY687" s="784"/>
      <c r="FZ687" s="784"/>
      <c r="GA687" s="784"/>
      <c r="GB687" s="784"/>
      <c r="GC687" s="784"/>
      <c r="GD687" s="784"/>
      <c r="GE687" s="784"/>
      <c r="GF687" s="784"/>
      <c r="GG687" s="784"/>
      <c r="GH687" s="784"/>
      <c r="GI687" s="784"/>
      <c r="GJ687" s="784"/>
      <c r="GK687" s="784"/>
      <c r="GL687" s="784"/>
      <c r="GM687" s="784"/>
      <c r="GN687" s="784"/>
      <c r="GO687" s="784"/>
      <c r="GV687" s="788"/>
      <c r="GW687" s="788"/>
      <c r="HM687" s="788"/>
    </row>
    <row r="688" spans="1:221" ht="3" customHeight="1">
      <c r="A688" s="788"/>
      <c r="B688" s="788"/>
      <c r="Q688" s="2182"/>
      <c r="R688" s="899"/>
      <c r="S688" s="899"/>
      <c r="T688" s="788"/>
      <c r="U688" s="788"/>
      <c r="AH688" s="583"/>
      <c r="FY688" s="784"/>
      <c r="FZ688" s="784"/>
      <c r="GA688" s="784"/>
      <c r="GB688" s="784"/>
      <c r="GC688" s="784"/>
      <c r="GD688" s="784"/>
      <c r="GE688" s="784"/>
      <c r="GF688" s="784"/>
      <c r="GG688" s="784"/>
      <c r="GH688" s="784"/>
      <c r="GI688" s="784"/>
      <c r="GJ688" s="784"/>
      <c r="GK688" s="784"/>
      <c r="GL688" s="784"/>
      <c r="GM688" s="784"/>
      <c r="GN688" s="784"/>
      <c r="GO688" s="784"/>
      <c r="GV688" s="788"/>
      <c r="GW688" s="788"/>
      <c r="HM688" s="788"/>
    </row>
    <row r="689" spans="1:221" ht="14.45" customHeight="1">
      <c r="A689" s="788"/>
      <c r="B689" s="788" t="s">
        <v>1198</v>
      </c>
      <c r="H689" s="582" t="s">
        <v>596</v>
      </c>
      <c r="I689" s="582" t="s">
        <v>563</v>
      </c>
      <c r="J689" s="582" t="s">
        <v>564</v>
      </c>
      <c r="K689" s="582" t="s">
        <v>565</v>
      </c>
      <c r="L689" s="582" t="s">
        <v>566</v>
      </c>
      <c r="M689" s="582" t="s">
        <v>567</v>
      </c>
      <c r="Q689" s="2182"/>
      <c r="R689" s="899"/>
      <c r="S689" s="899"/>
      <c r="T689" s="2183" t="s">
        <v>1966</v>
      </c>
      <c r="U689" s="2183"/>
      <c r="AA689" s="582"/>
      <c r="AB689" s="582"/>
      <c r="AC689" s="582"/>
      <c r="AD689" s="582"/>
      <c r="AE689" s="582"/>
      <c r="AF689" s="582"/>
      <c r="AH689" s="583"/>
      <c r="FY689" s="784"/>
      <c r="FZ689" s="784"/>
      <c r="GA689" s="784"/>
      <c r="GB689" s="784"/>
      <c r="GC689" s="784"/>
      <c r="GD689" s="784"/>
      <c r="GE689" s="784"/>
      <c r="GF689" s="784"/>
      <c r="GG689" s="784"/>
      <c r="GH689" s="784"/>
      <c r="GI689" s="784"/>
      <c r="GJ689" s="784"/>
      <c r="GK689" s="784"/>
      <c r="GL689" s="784"/>
      <c r="GM689" s="784"/>
      <c r="GN689" s="784"/>
      <c r="GO689" s="784"/>
      <c r="GV689" s="788"/>
      <c r="GW689" s="788"/>
      <c r="HM689" s="788"/>
    </row>
    <row r="690" spans="1:221" ht="12" customHeight="1">
      <c r="C690" s="583" t="s">
        <v>1200</v>
      </c>
      <c r="D690" s="583"/>
      <c r="E690" s="583"/>
      <c r="F690" s="583"/>
      <c r="G690" s="584" t="s">
        <v>1212</v>
      </c>
      <c r="H690" s="900">
        <f>V682</f>
        <v>0</v>
      </c>
      <c r="I690" s="900">
        <f>W682</f>
        <v>10</v>
      </c>
      <c r="J690" s="900">
        <f>X682</f>
        <v>47</v>
      </c>
      <c r="K690" s="900">
        <f>Y682</f>
        <v>0</v>
      </c>
      <c r="L690" s="900">
        <f>Z682</f>
        <v>0</v>
      </c>
      <c r="M690" s="900">
        <f t="shared" ref="M690:M696" si="210">SUM(H690:L690)</f>
        <v>57</v>
      </c>
      <c r="N690" s="2138" t="s">
        <v>940</v>
      </c>
      <c r="O690" s="2138"/>
      <c r="P690" s="901"/>
      <c r="Q690" s="902">
        <f t="shared" ref="Q690:Q696" si="211">ABS(M690-AF690)</f>
        <v>57</v>
      </c>
      <c r="R690" s="902"/>
      <c r="S690" s="902"/>
      <c r="T690" s="2130"/>
      <c r="U690" s="2130"/>
      <c r="V690" s="583"/>
      <c r="W690" s="583"/>
      <c r="X690" s="583"/>
      <c r="Y690" s="583"/>
      <c r="Z690" s="584"/>
      <c r="AA690" s="585"/>
      <c r="AB690" s="585"/>
      <c r="AC690" s="585"/>
      <c r="AD690" s="585"/>
      <c r="AE690" s="585"/>
      <c r="AF690" s="585"/>
      <c r="AG690" s="584"/>
      <c r="AH690" s="583"/>
      <c r="FY690" s="784"/>
      <c r="FZ690" s="784"/>
      <c r="GA690" s="784"/>
      <c r="GB690" s="784"/>
      <c r="GC690" s="784"/>
      <c r="GD690" s="784"/>
      <c r="GE690" s="784"/>
      <c r="GF690" s="784"/>
      <c r="GG690" s="784"/>
      <c r="GH690" s="784"/>
      <c r="GI690" s="784"/>
      <c r="GJ690" s="784"/>
      <c r="GK690" s="784"/>
      <c r="GL690" s="784"/>
      <c r="GM690" s="784"/>
      <c r="GN690" s="784"/>
      <c r="GO690" s="784"/>
      <c r="GV690" s="788"/>
      <c r="GW690" s="788"/>
      <c r="HM690" s="788"/>
    </row>
    <row r="691" spans="1:221" ht="12" customHeight="1">
      <c r="A691" s="2184" t="s">
        <v>462</v>
      </c>
      <c r="B691" s="2184"/>
      <c r="C691" s="586"/>
      <c r="D691" s="583"/>
      <c r="E691" s="583"/>
      <c r="F691" s="583"/>
      <c r="G691" s="584" t="s">
        <v>121</v>
      </c>
      <c r="H691" s="900">
        <f>AA682</f>
        <v>0</v>
      </c>
      <c r="I691" s="900">
        <f>AB682</f>
        <v>13</v>
      </c>
      <c r="J691" s="900">
        <f>AC682</f>
        <v>9</v>
      </c>
      <c r="K691" s="900">
        <f>AD682</f>
        <v>0</v>
      </c>
      <c r="L691" s="900">
        <f>AE682</f>
        <v>0</v>
      </c>
      <c r="M691" s="900">
        <f t="shared" si="210"/>
        <v>22</v>
      </c>
      <c r="N691" s="2138"/>
      <c r="O691" s="2138"/>
      <c r="P691" s="901"/>
      <c r="Q691" s="902">
        <f t="shared" si="211"/>
        <v>22</v>
      </c>
      <c r="R691" s="902"/>
      <c r="S691" s="902"/>
      <c r="T691" s="2130"/>
      <c r="U691" s="2130"/>
      <c r="V691" s="586"/>
      <c r="W691" s="583"/>
      <c r="X691" s="583"/>
      <c r="Y691" s="583"/>
      <c r="Z691" s="584"/>
      <c r="AA691" s="585"/>
      <c r="AB691" s="585"/>
      <c r="AC691" s="585"/>
      <c r="AD691" s="585"/>
      <c r="AE691" s="585"/>
      <c r="AF691" s="585"/>
      <c r="AG691" s="584"/>
      <c r="AH691" s="583"/>
      <c r="FY691" s="784"/>
      <c r="FZ691" s="784"/>
      <c r="GA691" s="784"/>
      <c r="GB691" s="784"/>
      <c r="GC691" s="784"/>
      <c r="GD691" s="784"/>
      <c r="GE691" s="784"/>
      <c r="GF691" s="784"/>
      <c r="GG691" s="784"/>
      <c r="GH691" s="784"/>
      <c r="GI691" s="784"/>
      <c r="GJ691" s="784"/>
      <c r="GK691" s="784"/>
      <c r="GL691" s="784"/>
      <c r="GM691" s="784"/>
      <c r="GN691" s="784"/>
      <c r="GO691" s="784"/>
      <c r="GV691" s="788"/>
      <c r="GW691" s="788"/>
      <c r="HM691" s="788"/>
    </row>
    <row r="692" spans="1:221" ht="12" customHeight="1">
      <c r="A692" s="2184"/>
      <c r="B692" s="2184"/>
      <c r="C692" s="586"/>
      <c r="D692" s="583"/>
      <c r="E692" s="583"/>
      <c r="F692" s="583"/>
      <c r="G692" s="584" t="s">
        <v>567</v>
      </c>
      <c r="H692" s="900">
        <f>SUM(H690:H691)</f>
        <v>0</v>
      </c>
      <c r="I692" s="900">
        <f>SUM(I690:I691)</f>
        <v>23</v>
      </c>
      <c r="J692" s="900">
        <f>SUM(J690:J691)</f>
        <v>56</v>
      </c>
      <c r="K692" s="900">
        <f>SUM(K690:K691)</f>
        <v>0</v>
      </c>
      <c r="L692" s="900">
        <f>SUM(L690:L691)</f>
        <v>0</v>
      </c>
      <c r="M692" s="900">
        <f t="shared" si="210"/>
        <v>79</v>
      </c>
      <c r="N692" s="903"/>
      <c r="Q692" s="902">
        <f t="shared" si="211"/>
        <v>79</v>
      </c>
      <c r="R692" s="902"/>
      <c r="S692" s="902"/>
      <c r="T692" s="2130"/>
      <c r="U692" s="2130"/>
      <c r="V692" s="586"/>
      <c r="W692" s="583"/>
      <c r="X692" s="583"/>
      <c r="Y692" s="583"/>
      <c r="Z692" s="584"/>
      <c r="AA692" s="585"/>
      <c r="AB692" s="585"/>
      <c r="AC692" s="585"/>
      <c r="AD692" s="585"/>
      <c r="AE692" s="585"/>
      <c r="AF692" s="585"/>
      <c r="AG692" s="584"/>
      <c r="AH692" s="583"/>
      <c r="FY692" s="784"/>
      <c r="FZ692" s="784"/>
      <c r="GA692" s="784"/>
      <c r="GB692" s="784"/>
      <c r="GC692" s="784"/>
      <c r="GD692" s="784"/>
      <c r="GE692" s="784"/>
      <c r="GF692" s="784"/>
      <c r="GG692" s="784"/>
      <c r="GH692" s="784"/>
      <c r="GI692" s="784"/>
      <c r="GJ692" s="784"/>
      <c r="GK692" s="784"/>
      <c r="GL692" s="784"/>
      <c r="GM692" s="784"/>
      <c r="GN692" s="784"/>
      <c r="GO692" s="784"/>
      <c r="GV692" s="788"/>
      <c r="GW692" s="788"/>
      <c r="HM692" s="788"/>
    </row>
    <row r="693" spans="1:221" ht="12" customHeight="1">
      <c r="A693" s="2184"/>
      <c r="B693" s="2184"/>
      <c r="C693" s="583" t="s">
        <v>319</v>
      </c>
      <c r="D693" s="583"/>
      <c r="E693" s="583"/>
      <c r="F693" s="583"/>
      <c r="G693" s="584"/>
      <c r="H693" s="900">
        <f>AK682</f>
        <v>0</v>
      </c>
      <c r="I693" s="900">
        <f>AL682</f>
        <v>1</v>
      </c>
      <c r="J693" s="900">
        <f>AM682</f>
        <v>4</v>
      </c>
      <c r="K693" s="900">
        <f>AN682</f>
        <v>0</v>
      </c>
      <c r="L693" s="900">
        <f>AO682</f>
        <v>0</v>
      </c>
      <c r="M693" s="900">
        <f t="shared" si="210"/>
        <v>5</v>
      </c>
      <c r="N693" s="566"/>
      <c r="Q693" s="902">
        <f t="shared" si="211"/>
        <v>5</v>
      </c>
      <c r="R693" s="902"/>
      <c r="S693" s="902"/>
      <c r="T693" s="2130"/>
      <c r="U693" s="2130"/>
      <c r="V693" s="583"/>
      <c r="W693" s="583"/>
      <c r="X693" s="583"/>
      <c r="Y693" s="583"/>
      <c r="Z693" s="584"/>
      <c r="AA693" s="585"/>
      <c r="AB693" s="585"/>
      <c r="AC693" s="585"/>
      <c r="AD693" s="585"/>
      <c r="AE693" s="585"/>
      <c r="AF693" s="585"/>
      <c r="AG693" s="566"/>
      <c r="AH693" s="583"/>
      <c r="FY693" s="784"/>
      <c r="FZ693" s="784"/>
      <c r="GA693" s="784"/>
      <c r="GB693" s="784"/>
      <c r="GC693" s="784"/>
      <c r="GD693" s="784"/>
      <c r="GE693" s="784"/>
      <c r="GF693" s="784"/>
      <c r="GG693" s="784"/>
      <c r="GH693" s="784"/>
      <c r="GI693" s="784"/>
      <c r="GJ693" s="784"/>
      <c r="GK693" s="784"/>
      <c r="GL693" s="784"/>
      <c r="GM693" s="784"/>
      <c r="GN693" s="784"/>
      <c r="GO693" s="784"/>
      <c r="GV693" s="788"/>
      <c r="GW693" s="788"/>
      <c r="HM693" s="788"/>
    </row>
    <row r="694" spans="1:221" ht="12" customHeight="1">
      <c r="A694" s="2184"/>
      <c r="B694" s="2184"/>
      <c r="C694" s="583" t="s">
        <v>1201</v>
      </c>
      <c r="D694" s="583"/>
      <c r="E694" s="583"/>
      <c r="F694" s="583"/>
      <c r="G694" s="584"/>
      <c r="H694" s="900">
        <f>SUM(H692:H693)</f>
        <v>0</v>
      </c>
      <c r="I694" s="900">
        <f>SUM(I692:I693)</f>
        <v>24</v>
      </c>
      <c r="J694" s="900">
        <f>SUM(J692:J693)</f>
        <v>60</v>
      </c>
      <c r="K694" s="900">
        <f>SUM(K692:K693)</f>
        <v>0</v>
      </c>
      <c r="L694" s="900">
        <f>SUM(L692:L693)</f>
        <v>0</v>
      </c>
      <c r="M694" s="900">
        <f t="shared" si="210"/>
        <v>84</v>
      </c>
      <c r="N694" s="566"/>
      <c r="Q694" s="902">
        <f t="shared" si="211"/>
        <v>84</v>
      </c>
      <c r="R694" s="902"/>
      <c r="S694" s="902"/>
      <c r="T694" s="2130"/>
      <c r="U694" s="2130"/>
      <c r="V694" s="583"/>
      <c r="W694" s="583"/>
      <c r="X694" s="583"/>
      <c r="Y694" s="583"/>
      <c r="Z694" s="584"/>
      <c r="AA694" s="585"/>
      <c r="AB694" s="585"/>
      <c r="AC694" s="585"/>
      <c r="AD694" s="585"/>
      <c r="AE694" s="585"/>
      <c r="AF694" s="585"/>
      <c r="AG694" s="566"/>
      <c r="AH694" s="583"/>
      <c r="FY694" s="784"/>
      <c r="FZ694" s="784"/>
      <c r="GA694" s="784"/>
      <c r="GB694" s="784"/>
      <c r="GC694" s="784"/>
      <c r="GD694" s="784"/>
      <c r="GE694" s="784"/>
      <c r="GF694" s="784"/>
      <c r="GG694" s="784"/>
      <c r="GH694" s="784"/>
      <c r="GI694" s="784"/>
      <c r="GJ694" s="784"/>
      <c r="GK694" s="784"/>
      <c r="GL694" s="784"/>
      <c r="GM694" s="784"/>
      <c r="GN694" s="784"/>
      <c r="GO694" s="784"/>
      <c r="GV694" s="788"/>
      <c r="GW694" s="788"/>
      <c r="HM694" s="788"/>
    </row>
    <row r="695" spans="1:221" ht="12" customHeight="1">
      <c r="A695" s="2184"/>
      <c r="B695" s="2184"/>
      <c r="C695" s="583" t="s">
        <v>2673</v>
      </c>
      <c r="D695" s="583"/>
      <c r="E695" s="583"/>
      <c r="F695" s="583"/>
      <c r="G695" s="584"/>
      <c r="H695" s="900">
        <f>BT682</f>
        <v>0</v>
      </c>
      <c r="I695" s="900">
        <f>BU682</f>
        <v>0</v>
      </c>
      <c r="J695" s="900">
        <f>BV682</f>
        <v>0</v>
      </c>
      <c r="K695" s="900">
        <f>BW682</f>
        <v>0</v>
      </c>
      <c r="L695" s="900">
        <f>BX682</f>
        <v>0</v>
      </c>
      <c r="M695" s="900">
        <f t="shared" si="210"/>
        <v>0</v>
      </c>
      <c r="N695" s="584" t="s">
        <v>2349</v>
      </c>
      <c r="Q695" s="902">
        <f t="shared" si="211"/>
        <v>0</v>
      </c>
      <c r="R695" s="902"/>
      <c r="S695" s="902"/>
      <c r="T695" s="2130"/>
      <c r="U695" s="2130"/>
      <c r="V695" s="583"/>
      <c r="W695" s="583"/>
      <c r="X695" s="583"/>
      <c r="Y695" s="583"/>
      <c r="Z695" s="584"/>
      <c r="AA695" s="585"/>
      <c r="AB695" s="585"/>
      <c r="AC695" s="585"/>
      <c r="AD695" s="585"/>
      <c r="AE695" s="585"/>
      <c r="AF695" s="585"/>
      <c r="AG695" s="584"/>
      <c r="AH695" s="583"/>
      <c r="FY695" s="784"/>
      <c r="FZ695" s="784"/>
      <c r="GA695" s="784"/>
      <c r="GB695" s="784"/>
      <c r="GC695" s="784"/>
      <c r="GD695" s="784"/>
      <c r="GE695" s="784"/>
      <c r="GF695" s="784"/>
      <c r="GG695" s="784"/>
      <c r="GH695" s="784"/>
      <c r="GI695" s="784"/>
      <c r="GJ695" s="784"/>
      <c r="GK695" s="784"/>
      <c r="GL695" s="784"/>
      <c r="GM695" s="784"/>
      <c r="GN695" s="784"/>
      <c r="GO695" s="784"/>
      <c r="GV695" s="788"/>
      <c r="GW695" s="788"/>
      <c r="HM695" s="788"/>
    </row>
    <row r="696" spans="1:221" ht="12" customHeight="1">
      <c r="A696" s="2184"/>
      <c r="B696" s="2184"/>
      <c r="C696" s="583" t="s">
        <v>567</v>
      </c>
      <c r="D696" s="583"/>
      <c r="E696" s="583"/>
      <c r="F696" s="583"/>
      <c r="G696" s="584"/>
      <c r="H696" s="900">
        <f>SUM(H694:H695)</f>
        <v>0</v>
      </c>
      <c r="I696" s="900">
        <f>SUM(I694:I695)</f>
        <v>24</v>
      </c>
      <c r="J696" s="900">
        <f>SUM(J694:J695)</f>
        <v>60</v>
      </c>
      <c r="K696" s="900">
        <f>SUM(K694:K695)</f>
        <v>0</v>
      </c>
      <c r="L696" s="900">
        <f>SUM(L694:L695)</f>
        <v>0</v>
      </c>
      <c r="M696" s="900">
        <f t="shared" si="210"/>
        <v>84</v>
      </c>
      <c r="Q696" s="902">
        <f t="shared" si="211"/>
        <v>84</v>
      </c>
      <c r="R696" s="902"/>
      <c r="S696" s="902"/>
      <c r="T696" s="2130"/>
      <c r="U696" s="2130"/>
      <c r="V696" s="583"/>
      <c r="W696" s="583"/>
      <c r="X696" s="583"/>
      <c r="Y696" s="583"/>
      <c r="Z696" s="584"/>
      <c r="AA696" s="585"/>
      <c r="AB696" s="585"/>
      <c r="AC696" s="585"/>
      <c r="AD696" s="585"/>
      <c r="AE696" s="585"/>
      <c r="AF696" s="585"/>
      <c r="AH696" s="583"/>
      <c r="FY696" s="784"/>
      <c r="FZ696" s="784"/>
      <c r="GA696" s="784"/>
      <c r="GB696" s="784"/>
      <c r="GC696" s="784"/>
      <c r="GD696" s="784"/>
      <c r="GE696" s="784"/>
      <c r="GF696" s="784"/>
      <c r="GG696" s="784"/>
      <c r="GH696" s="784"/>
      <c r="GI696" s="784"/>
      <c r="GJ696" s="784"/>
      <c r="GK696" s="784"/>
      <c r="GL696" s="784"/>
      <c r="GM696" s="784"/>
      <c r="GN696" s="784"/>
      <c r="GO696" s="784"/>
      <c r="GV696" s="788"/>
      <c r="GW696" s="788"/>
      <c r="HM696" s="788"/>
    </row>
    <row r="697" spans="1:221" ht="12" customHeight="1">
      <c r="A697" s="2184"/>
      <c r="B697" s="2184"/>
      <c r="C697" s="583"/>
      <c r="D697" s="583"/>
      <c r="E697" s="583"/>
      <c r="F697" s="583"/>
      <c r="G697" s="584"/>
      <c r="H697" s="897"/>
      <c r="I697" s="897"/>
      <c r="J697" s="897"/>
      <c r="K697" s="897"/>
      <c r="L697" s="897"/>
      <c r="M697" s="897"/>
      <c r="Q697" s="902"/>
      <c r="R697" s="902"/>
      <c r="S697" s="902"/>
      <c r="T697" s="795" t="str">
        <f>C698</f>
        <v>PBRA-Assisted</v>
      </c>
      <c r="V697" s="583"/>
      <c r="W697" s="583"/>
      <c r="X697" s="583"/>
      <c r="Y697" s="583"/>
      <c r="Z697" s="584"/>
      <c r="AA697" s="583"/>
      <c r="AB697" s="583"/>
      <c r="AC697" s="583"/>
      <c r="AD697" s="583"/>
      <c r="AE697" s="583"/>
      <c r="AF697" s="583"/>
      <c r="AH697" s="583"/>
      <c r="FY697" s="784"/>
      <c r="FZ697" s="784"/>
      <c r="GA697" s="784"/>
      <c r="GB697" s="784"/>
      <c r="GC697" s="784"/>
      <c r="GD697" s="784"/>
      <c r="GE697" s="784"/>
      <c r="GF697" s="784"/>
      <c r="GG697" s="784"/>
      <c r="GH697" s="784"/>
      <c r="GI697" s="784"/>
      <c r="GJ697" s="784"/>
      <c r="GK697" s="784"/>
      <c r="GL697" s="784"/>
      <c r="GM697" s="784"/>
      <c r="GN697" s="784"/>
      <c r="GO697" s="784"/>
      <c r="GV697" s="788"/>
      <c r="GW697" s="788"/>
      <c r="HM697" s="788"/>
    </row>
    <row r="698" spans="1:221" ht="12" customHeight="1">
      <c r="A698" s="2184"/>
      <c r="B698" s="2184"/>
      <c r="C698" s="583" t="s">
        <v>984</v>
      </c>
      <c r="D698" s="583"/>
      <c r="E698" s="587"/>
      <c r="F698" s="583"/>
      <c r="G698" s="584" t="s">
        <v>1212</v>
      </c>
      <c r="H698" s="900">
        <f>AZ682</f>
        <v>0</v>
      </c>
      <c r="I698" s="900">
        <f>BA682</f>
        <v>0</v>
      </c>
      <c r="J698" s="900">
        <f>BB682</f>
        <v>0</v>
      </c>
      <c r="K698" s="900">
        <f>BC682</f>
        <v>0</v>
      </c>
      <c r="L698" s="900">
        <f>BD682</f>
        <v>0</v>
      </c>
      <c r="M698" s="900">
        <f>SUM(H698:L698)</f>
        <v>0</v>
      </c>
      <c r="N698" s="584"/>
      <c r="Q698" s="902">
        <f>ABS(M698-AF698)</f>
        <v>0</v>
      </c>
      <c r="R698" s="902"/>
      <c r="S698" s="902"/>
      <c r="T698" s="2130"/>
      <c r="U698" s="2130"/>
      <c r="V698" s="583"/>
      <c r="W698" s="583"/>
      <c r="X698" s="587"/>
      <c r="Y698" s="583"/>
      <c r="Z698" s="584"/>
      <c r="AA698" s="585"/>
      <c r="AB698" s="585"/>
      <c r="AC698" s="585"/>
      <c r="AD698" s="585"/>
      <c r="AE698" s="585"/>
      <c r="AF698" s="585"/>
      <c r="AG698" s="584"/>
      <c r="AH698" s="583"/>
      <c r="FY698" s="784"/>
      <c r="FZ698" s="784"/>
      <c r="GA698" s="784"/>
      <c r="GB698" s="784"/>
      <c r="GC698" s="784"/>
      <c r="GD698" s="784"/>
      <c r="GE698" s="784"/>
      <c r="GF698" s="784"/>
      <c r="GG698" s="784"/>
      <c r="GH698" s="784"/>
      <c r="GI698" s="784"/>
      <c r="GJ698" s="784"/>
      <c r="GK698" s="784"/>
      <c r="GL698" s="784"/>
      <c r="GM698" s="784"/>
      <c r="GN698" s="784"/>
      <c r="GO698" s="784"/>
      <c r="GV698" s="788"/>
      <c r="GW698" s="788"/>
      <c r="HM698" s="788"/>
    </row>
    <row r="699" spans="1:221" ht="12" customHeight="1">
      <c r="A699" s="2184"/>
      <c r="B699" s="2184"/>
      <c r="C699" s="584" t="s">
        <v>2674</v>
      </c>
      <c r="D699" s="583"/>
      <c r="E699" s="587"/>
      <c r="F699" s="583"/>
      <c r="G699" s="584" t="s">
        <v>121</v>
      </c>
      <c r="H699" s="900">
        <f>AU682</f>
        <v>0</v>
      </c>
      <c r="I699" s="900">
        <f>AV682</f>
        <v>0</v>
      </c>
      <c r="J699" s="900">
        <f>AW682</f>
        <v>0</v>
      </c>
      <c r="K699" s="900">
        <f>AX682</f>
        <v>0</v>
      </c>
      <c r="L699" s="900">
        <f>AY682</f>
        <v>0</v>
      </c>
      <c r="M699" s="900">
        <f>SUM(H699:L699)</f>
        <v>0</v>
      </c>
      <c r="N699" s="584"/>
      <c r="Q699" s="902">
        <f>ABS(M699-AF699)</f>
        <v>0</v>
      </c>
      <c r="R699" s="902"/>
      <c r="S699" s="902"/>
      <c r="T699" s="2130"/>
      <c r="U699" s="2130"/>
      <c r="V699" s="584"/>
      <c r="W699" s="583"/>
      <c r="X699" s="587"/>
      <c r="Y699" s="583"/>
      <c r="Z699" s="584"/>
      <c r="AA699" s="585"/>
      <c r="AB699" s="585"/>
      <c r="AC699" s="585"/>
      <c r="AD699" s="585"/>
      <c r="AE699" s="585"/>
      <c r="AF699" s="585"/>
      <c r="AG699" s="584"/>
      <c r="AH699" s="583"/>
      <c r="FY699" s="784"/>
      <c r="FZ699" s="784"/>
      <c r="GA699" s="784"/>
      <c r="GB699" s="784"/>
      <c r="GC699" s="784"/>
      <c r="GD699" s="784"/>
      <c r="GE699" s="784"/>
      <c r="GF699" s="784"/>
      <c r="GG699" s="784"/>
      <c r="GH699" s="784"/>
      <c r="GI699" s="784"/>
      <c r="GJ699" s="784"/>
      <c r="GK699" s="784"/>
      <c r="GL699" s="784"/>
      <c r="GM699" s="784"/>
      <c r="GN699" s="784"/>
      <c r="GO699" s="784"/>
      <c r="GV699" s="788"/>
      <c r="GW699" s="788"/>
      <c r="HM699" s="788"/>
    </row>
    <row r="700" spans="1:221" ht="12" customHeight="1">
      <c r="A700" s="2184"/>
      <c r="B700" s="2184"/>
      <c r="C700" s="586"/>
      <c r="D700" s="583"/>
      <c r="E700" s="587"/>
      <c r="F700" s="583"/>
      <c r="G700" s="584" t="s">
        <v>567</v>
      </c>
      <c r="H700" s="900">
        <f>SUM(H698:H699)</f>
        <v>0</v>
      </c>
      <c r="I700" s="900">
        <f>SUM(I698:I699)</f>
        <v>0</v>
      </c>
      <c r="J700" s="900">
        <f>SUM(J698:J699)</f>
        <v>0</v>
      </c>
      <c r="K700" s="900">
        <f>SUM(K698:K699)</f>
        <v>0</v>
      </c>
      <c r="L700" s="900">
        <f>SUM(L698:L699)</f>
        <v>0</v>
      </c>
      <c r="M700" s="900">
        <f>SUM(H700:L700)</f>
        <v>0</v>
      </c>
      <c r="N700" s="584"/>
      <c r="Q700" s="902">
        <f>ABS(M700-AF700)</f>
        <v>0</v>
      </c>
      <c r="R700" s="902"/>
      <c r="S700" s="902"/>
      <c r="T700" s="2130"/>
      <c r="U700" s="2130"/>
      <c r="V700" s="586"/>
      <c r="W700" s="583"/>
      <c r="X700" s="587"/>
      <c r="Y700" s="583"/>
      <c r="Z700" s="584"/>
      <c r="AA700" s="585"/>
      <c r="AB700" s="585"/>
      <c r="AC700" s="585"/>
      <c r="AD700" s="585"/>
      <c r="AE700" s="585"/>
      <c r="AF700" s="585"/>
      <c r="AG700" s="584"/>
      <c r="AH700" s="583"/>
      <c r="FY700" s="784"/>
      <c r="FZ700" s="784"/>
      <c r="GA700" s="784"/>
      <c r="GB700" s="784"/>
      <c r="GC700" s="784"/>
      <c r="GD700" s="784"/>
      <c r="GE700" s="784"/>
      <c r="GF700" s="784"/>
      <c r="GG700" s="784"/>
      <c r="GH700" s="784"/>
      <c r="GI700" s="784"/>
      <c r="GJ700" s="784"/>
      <c r="GK700" s="784"/>
      <c r="GL700" s="784"/>
      <c r="GM700" s="784"/>
      <c r="GN700" s="784"/>
      <c r="GO700" s="784"/>
      <c r="GV700" s="788"/>
      <c r="GW700" s="788"/>
      <c r="HM700" s="788"/>
    </row>
    <row r="701" spans="1:221" ht="12" customHeight="1">
      <c r="A701" s="2184"/>
      <c r="B701" s="2184"/>
      <c r="C701" s="583"/>
      <c r="D701" s="583"/>
      <c r="E701" s="583"/>
      <c r="F701" s="583"/>
      <c r="G701" s="584"/>
      <c r="H701" s="897"/>
      <c r="I701" s="897"/>
      <c r="J701" s="897"/>
      <c r="K701" s="897"/>
      <c r="L701" s="897"/>
      <c r="M701" s="897"/>
      <c r="Q701" s="902"/>
      <c r="R701" s="902"/>
      <c r="S701" s="902"/>
      <c r="T701" s="795" t="str">
        <f>C702</f>
        <v>PHA Operating Subsidy-Assisted</v>
      </c>
      <c r="V701" s="583"/>
      <c r="W701" s="583"/>
      <c r="X701" s="583"/>
      <c r="Y701" s="583"/>
      <c r="Z701" s="584"/>
      <c r="AA701" s="583"/>
      <c r="AB701" s="583"/>
      <c r="AC701" s="583"/>
      <c r="AD701" s="583"/>
      <c r="AE701" s="583"/>
      <c r="AF701" s="583"/>
      <c r="AH701" s="583"/>
      <c r="FY701" s="784"/>
      <c r="FZ701" s="784"/>
      <c r="GA701" s="784"/>
      <c r="GB701" s="784"/>
      <c r="GC701" s="784"/>
      <c r="GD701" s="784"/>
      <c r="GE701" s="784"/>
      <c r="GF701" s="784"/>
      <c r="GG701" s="784"/>
      <c r="GH701" s="784"/>
      <c r="GI701" s="784"/>
      <c r="GJ701" s="784"/>
      <c r="GK701" s="784"/>
      <c r="GL701" s="784"/>
      <c r="GM701" s="784"/>
      <c r="GN701" s="784"/>
      <c r="GO701" s="784"/>
      <c r="GV701" s="788"/>
      <c r="GW701" s="788"/>
      <c r="HM701" s="788"/>
    </row>
    <row r="702" spans="1:221" ht="12" customHeight="1">
      <c r="A702" s="2184"/>
      <c r="B702" s="2184"/>
      <c r="C702" s="583" t="s">
        <v>939</v>
      </c>
      <c r="D702" s="583"/>
      <c r="E702" s="587"/>
      <c r="F702" s="583"/>
      <c r="G702" s="584" t="s">
        <v>1212</v>
      </c>
      <c r="H702" s="900">
        <f>BO682</f>
        <v>0</v>
      </c>
      <c r="I702" s="900">
        <f>BP682</f>
        <v>0</v>
      </c>
      <c r="J702" s="900">
        <f>BQ682</f>
        <v>0</v>
      </c>
      <c r="K702" s="900">
        <f>BR682</f>
        <v>0</v>
      </c>
      <c r="L702" s="900">
        <f>BS682</f>
        <v>0</v>
      </c>
      <c r="M702" s="900">
        <f>SUM(H702:L702)</f>
        <v>0</v>
      </c>
      <c r="N702" s="584"/>
      <c r="Q702" s="902">
        <f>ABS(M702-AF702)</f>
        <v>0</v>
      </c>
      <c r="R702" s="902"/>
      <c r="S702" s="902"/>
      <c r="T702" s="2130"/>
      <c r="U702" s="2130"/>
      <c r="V702" s="583"/>
      <c r="W702" s="583"/>
      <c r="X702" s="587"/>
      <c r="Y702" s="583"/>
      <c r="Z702" s="584"/>
      <c r="AA702" s="585"/>
      <c r="AB702" s="585"/>
      <c r="AC702" s="585"/>
      <c r="AD702" s="585"/>
      <c r="AE702" s="585"/>
      <c r="AF702" s="585"/>
      <c r="AG702" s="584"/>
      <c r="AH702" s="583"/>
      <c r="FY702" s="784"/>
      <c r="FZ702" s="784"/>
      <c r="GA702" s="784"/>
      <c r="GB702" s="784"/>
      <c r="GC702" s="784"/>
      <c r="GD702" s="784"/>
      <c r="GE702" s="784"/>
      <c r="GF702" s="784"/>
      <c r="GG702" s="784"/>
      <c r="GH702" s="784"/>
      <c r="GI702" s="784"/>
      <c r="GJ702" s="784"/>
      <c r="GK702" s="784"/>
      <c r="GL702" s="784"/>
      <c r="GM702" s="784"/>
      <c r="GN702" s="784"/>
      <c r="GO702" s="784"/>
      <c r="GV702" s="788"/>
      <c r="GW702" s="788"/>
      <c r="HM702" s="788"/>
    </row>
    <row r="703" spans="1:221" ht="12" customHeight="1">
      <c r="A703" s="2184"/>
      <c r="B703" s="2184"/>
      <c r="C703" s="584" t="s">
        <v>2674</v>
      </c>
      <c r="D703" s="583"/>
      <c r="E703" s="587"/>
      <c r="F703" s="583"/>
      <c r="G703" s="584" t="s">
        <v>121</v>
      </c>
      <c r="H703" s="900">
        <f>BJ682</f>
        <v>0</v>
      </c>
      <c r="I703" s="900">
        <f>BK682</f>
        <v>0</v>
      </c>
      <c r="J703" s="900">
        <f>BL682</f>
        <v>0</v>
      </c>
      <c r="K703" s="900">
        <f>BM682</f>
        <v>0</v>
      </c>
      <c r="L703" s="900">
        <f>BN682</f>
        <v>0</v>
      </c>
      <c r="M703" s="900">
        <f>SUM(H703:L703)</f>
        <v>0</v>
      </c>
      <c r="N703" s="584"/>
      <c r="Q703" s="902">
        <f>ABS(M703-AF703)</f>
        <v>0</v>
      </c>
      <c r="R703" s="902"/>
      <c r="S703" s="902"/>
      <c r="T703" s="2130"/>
      <c r="U703" s="2130"/>
      <c r="V703" s="584"/>
      <c r="W703" s="583"/>
      <c r="X703" s="587"/>
      <c r="Y703" s="583"/>
      <c r="Z703" s="584"/>
      <c r="AA703" s="585"/>
      <c r="AB703" s="585"/>
      <c r="AC703" s="585"/>
      <c r="AD703" s="585"/>
      <c r="AE703" s="585"/>
      <c r="AF703" s="585"/>
      <c r="AG703" s="584"/>
      <c r="AH703" s="583"/>
      <c r="FY703" s="784"/>
      <c r="FZ703" s="784"/>
      <c r="GA703" s="784"/>
      <c r="GB703" s="784"/>
      <c r="GC703" s="784"/>
      <c r="GD703" s="784"/>
      <c r="GE703" s="784"/>
      <c r="GF703" s="784"/>
      <c r="GG703" s="784"/>
      <c r="GH703" s="784"/>
      <c r="GI703" s="784"/>
      <c r="GJ703" s="784"/>
      <c r="GK703" s="784"/>
      <c r="GL703" s="784"/>
      <c r="GM703" s="784"/>
      <c r="GN703" s="784"/>
      <c r="GO703" s="784"/>
      <c r="GV703" s="788"/>
      <c r="GW703" s="788"/>
      <c r="HM703" s="788"/>
    </row>
    <row r="704" spans="1:221" ht="12" customHeight="1">
      <c r="A704" s="2184"/>
      <c r="B704" s="2184"/>
      <c r="C704" s="586"/>
      <c r="D704" s="583"/>
      <c r="E704" s="587"/>
      <c r="F704" s="583"/>
      <c r="G704" s="584" t="s">
        <v>567</v>
      </c>
      <c r="H704" s="900">
        <f>SUM(H702:H703)</f>
        <v>0</v>
      </c>
      <c r="I704" s="900">
        <f>SUM(I702:I703)</f>
        <v>0</v>
      </c>
      <c r="J704" s="900">
        <f>SUM(J702:J703)</f>
        <v>0</v>
      </c>
      <c r="K704" s="900">
        <f>SUM(K702:K703)</f>
        <v>0</v>
      </c>
      <c r="L704" s="900">
        <f>SUM(L702:L703)</f>
        <v>0</v>
      </c>
      <c r="M704" s="900">
        <f>SUM(H704:L704)</f>
        <v>0</v>
      </c>
      <c r="N704" s="584"/>
      <c r="Q704" s="902">
        <f>ABS(M704-AF704)</f>
        <v>0</v>
      </c>
      <c r="R704" s="902"/>
      <c r="S704" s="902"/>
      <c r="T704" s="2130"/>
      <c r="U704" s="2130"/>
      <c r="V704" s="586"/>
      <c r="W704" s="583"/>
      <c r="X704" s="587"/>
      <c r="Y704" s="583"/>
      <c r="Z704" s="584"/>
      <c r="AA704" s="585"/>
      <c r="AB704" s="585"/>
      <c r="AC704" s="585"/>
      <c r="AD704" s="585"/>
      <c r="AE704" s="585"/>
      <c r="AF704" s="585"/>
      <c r="AG704" s="584"/>
      <c r="AH704" s="583"/>
      <c r="FY704" s="784"/>
      <c r="FZ704" s="784"/>
      <c r="GA704" s="784"/>
      <c r="GB704" s="784"/>
      <c r="GC704" s="784"/>
      <c r="GD704" s="784"/>
      <c r="GE704" s="784"/>
      <c r="GF704" s="784"/>
      <c r="GG704" s="784"/>
      <c r="GH704" s="784"/>
      <c r="GI704" s="784"/>
      <c r="GJ704" s="784"/>
      <c r="GK704" s="784"/>
      <c r="GL704" s="784"/>
      <c r="GM704" s="784"/>
      <c r="GN704" s="784"/>
      <c r="GO704" s="784"/>
      <c r="GV704" s="788"/>
      <c r="GW704" s="788"/>
      <c r="HM704" s="788"/>
    </row>
    <row r="705" spans="1:221" ht="12" customHeight="1">
      <c r="A705" s="2184"/>
      <c r="B705" s="2184"/>
      <c r="C705" s="583" t="s">
        <v>40</v>
      </c>
      <c r="D705" s="583"/>
      <c r="E705" s="587"/>
      <c r="F705" s="583"/>
      <c r="G705" s="584"/>
      <c r="H705" s="897"/>
      <c r="I705" s="897"/>
      <c r="J705" s="897"/>
      <c r="K705" s="897"/>
      <c r="L705" s="897"/>
      <c r="M705" s="897"/>
      <c r="Q705" s="902"/>
      <c r="R705" s="902"/>
      <c r="S705" s="902"/>
      <c r="T705" s="795" t="str">
        <f>C705</f>
        <v>Type of Construction Activity</v>
      </c>
      <c r="V705" s="583"/>
      <c r="W705" s="583"/>
      <c r="X705" s="587"/>
      <c r="Y705" s="583"/>
      <c r="Z705" s="584"/>
      <c r="AA705" s="583"/>
      <c r="AB705" s="583"/>
      <c r="AC705" s="583"/>
      <c r="AD705" s="583"/>
      <c r="AE705" s="583"/>
      <c r="AF705" s="583"/>
      <c r="AH705" s="583"/>
      <c r="FY705" s="784"/>
      <c r="FZ705" s="784"/>
      <c r="GA705" s="784"/>
      <c r="GB705" s="784"/>
      <c r="GC705" s="784"/>
      <c r="GD705" s="784"/>
      <c r="GE705" s="784"/>
      <c r="GF705" s="784"/>
      <c r="GG705" s="784"/>
      <c r="GH705" s="784"/>
      <c r="GI705" s="784"/>
      <c r="GJ705" s="784"/>
      <c r="GK705" s="784"/>
      <c r="GL705" s="784"/>
      <c r="GM705" s="784"/>
      <c r="GN705" s="784"/>
      <c r="GO705" s="784"/>
      <c r="GV705" s="788"/>
      <c r="GW705" s="788"/>
      <c r="HM705" s="788"/>
    </row>
    <row r="706" spans="1:221" ht="12" customHeight="1">
      <c r="A706" s="2184"/>
      <c r="B706" s="2184"/>
      <c r="C706" s="583"/>
      <c r="D706" s="583"/>
      <c r="E706" s="587" t="s">
        <v>2436</v>
      </c>
      <c r="F706" s="583"/>
      <c r="G706" s="584" t="s">
        <v>1519</v>
      </c>
      <c r="H706" s="900">
        <f>DC682</f>
        <v>0</v>
      </c>
      <c r="I706" s="900">
        <f>DD682</f>
        <v>23</v>
      </c>
      <c r="J706" s="900">
        <f>DE682</f>
        <v>56</v>
      </c>
      <c r="K706" s="900">
        <f>DF682</f>
        <v>0</v>
      </c>
      <c r="L706" s="900">
        <f>DG682</f>
        <v>0</v>
      </c>
      <c r="M706" s="900">
        <f t="shared" ref="M706:M716" si="212">SUM(H706:L706)</f>
        <v>79</v>
      </c>
      <c r="Q706" s="902">
        <f t="shared" ref="Q706:Q714" si="213">ABS(M706-AF706)</f>
        <v>79</v>
      </c>
      <c r="R706" s="902"/>
      <c r="S706" s="902"/>
      <c r="T706" s="2130"/>
      <c r="U706" s="2130"/>
      <c r="V706" s="583"/>
      <c r="W706" s="583"/>
      <c r="X706" s="587"/>
      <c r="Y706" s="583"/>
      <c r="Z706" s="584"/>
      <c r="AA706" s="585"/>
      <c r="AB706" s="585"/>
      <c r="AC706" s="585"/>
      <c r="AD706" s="585"/>
      <c r="AE706" s="585"/>
      <c r="AF706" s="585"/>
      <c r="GV706" s="788"/>
      <c r="GW706" s="788"/>
      <c r="HM706" s="788"/>
    </row>
    <row r="707" spans="1:221" ht="12" customHeight="1">
      <c r="A707" s="2184"/>
      <c r="B707" s="2184"/>
      <c r="C707" s="583"/>
      <c r="D707" s="583"/>
      <c r="E707" s="587"/>
      <c r="F707" s="583"/>
      <c r="G707" s="584" t="s">
        <v>319</v>
      </c>
      <c r="H707" s="900">
        <f>DH682</f>
        <v>0</v>
      </c>
      <c r="I707" s="900">
        <f>DI682</f>
        <v>1</v>
      </c>
      <c r="J707" s="900">
        <f>DJ682</f>
        <v>4</v>
      </c>
      <c r="K707" s="900">
        <f>DK682</f>
        <v>0</v>
      </c>
      <c r="L707" s="900">
        <f>DL682</f>
        <v>0</v>
      </c>
      <c r="M707" s="900">
        <f t="shared" si="212"/>
        <v>5</v>
      </c>
      <c r="N707" s="566"/>
      <c r="Q707" s="902">
        <f t="shared" si="213"/>
        <v>5</v>
      </c>
      <c r="R707" s="902"/>
      <c r="S707" s="902"/>
      <c r="T707" s="2130"/>
      <c r="U707" s="2130"/>
      <c r="V707" s="583"/>
      <c r="W707" s="583"/>
      <c r="X707" s="587"/>
      <c r="Y707" s="583"/>
      <c r="Z707" s="584"/>
      <c r="AA707" s="585"/>
      <c r="AB707" s="585"/>
      <c r="AC707" s="585"/>
      <c r="AD707" s="585"/>
      <c r="AE707" s="585"/>
      <c r="AF707" s="585"/>
      <c r="AG707" s="566"/>
      <c r="AH707" s="583"/>
      <c r="FY707" s="784"/>
      <c r="FZ707" s="784"/>
      <c r="GA707" s="784"/>
      <c r="GB707" s="784"/>
      <c r="GC707" s="784"/>
      <c r="GD707" s="784"/>
      <c r="GE707" s="784"/>
      <c r="GF707" s="784"/>
      <c r="GG707" s="784"/>
      <c r="GH707" s="784"/>
      <c r="GI707" s="784"/>
      <c r="GJ707" s="784"/>
      <c r="GK707" s="784"/>
      <c r="GL707" s="784"/>
      <c r="GM707" s="784"/>
      <c r="GN707" s="784"/>
      <c r="GO707" s="784"/>
      <c r="GV707" s="788"/>
      <c r="GW707" s="788"/>
      <c r="HM707" s="788"/>
    </row>
    <row r="708" spans="1:221" ht="12" customHeight="1">
      <c r="A708" s="2184"/>
      <c r="B708" s="2184"/>
      <c r="C708" s="586"/>
      <c r="D708" s="583"/>
      <c r="E708" s="587"/>
      <c r="F708" s="583"/>
      <c r="G708" s="584" t="s">
        <v>33</v>
      </c>
      <c r="H708" s="900">
        <f>SUM(H706:H707)+DM682</f>
        <v>0</v>
      </c>
      <c r="I708" s="900">
        <f>SUM(I706:I707)+DN682</f>
        <v>24</v>
      </c>
      <c r="J708" s="900">
        <f>SUM(J706:J707)+DO682</f>
        <v>60</v>
      </c>
      <c r="K708" s="900">
        <f>SUM(K706:K707)+DP682</f>
        <v>0</v>
      </c>
      <c r="L708" s="900">
        <f>SUM(L706:L707)+DQ682</f>
        <v>0</v>
      </c>
      <c r="M708" s="900">
        <f t="shared" si="212"/>
        <v>84</v>
      </c>
      <c r="N708" s="584"/>
      <c r="Q708" s="902">
        <f t="shared" si="213"/>
        <v>84</v>
      </c>
      <c r="R708" s="902"/>
      <c r="S708" s="902"/>
      <c r="T708" s="2130"/>
      <c r="U708" s="2130"/>
      <c r="V708" s="586"/>
      <c r="W708" s="583"/>
      <c r="X708" s="587"/>
      <c r="Y708" s="583"/>
      <c r="Z708" s="584"/>
      <c r="AA708" s="585"/>
      <c r="AB708" s="585"/>
      <c r="AC708" s="585"/>
      <c r="AD708" s="585"/>
      <c r="AE708" s="585"/>
      <c r="AF708" s="585"/>
      <c r="AG708" s="584"/>
      <c r="AH708" s="583"/>
      <c r="FY708" s="784"/>
      <c r="FZ708" s="784"/>
      <c r="GA708" s="784"/>
      <c r="GB708" s="784"/>
      <c r="GC708" s="784"/>
      <c r="GD708" s="784"/>
      <c r="GE708" s="784"/>
      <c r="GF708" s="784"/>
      <c r="GG708" s="784"/>
      <c r="GH708" s="784"/>
      <c r="GI708" s="784"/>
      <c r="GJ708" s="784"/>
      <c r="GK708" s="784"/>
      <c r="GL708" s="784"/>
      <c r="GM708" s="784"/>
      <c r="GN708" s="784"/>
      <c r="GO708" s="784"/>
      <c r="GV708" s="788"/>
      <c r="GW708" s="788"/>
      <c r="HM708" s="788"/>
    </row>
    <row r="709" spans="1:221" ht="12" customHeight="1">
      <c r="A709" s="2184"/>
      <c r="B709" s="2184"/>
      <c r="C709" s="583"/>
      <c r="D709" s="583"/>
      <c r="E709" s="587" t="s">
        <v>2268</v>
      </c>
      <c r="F709" s="583"/>
      <c r="G709" s="584" t="s">
        <v>1519</v>
      </c>
      <c r="H709" s="900">
        <f>DR682</f>
        <v>0</v>
      </c>
      <c r="I709" s="900">
        <f>DS682</f>
        <v>0</v>
      </c>
      <c r="J709" s="900">
        <f>DT682</f>
        <v>0</v>
      </c>
      <c r="K709" s="900">
        <f>DU682</f>
        <v>0</v>
      </c>
      <c r="L709" s="900">
        <f>DV682</f>
        <v>0</v>
      </c>
      <c r="M709" s="900">
        <f t="shared" si="212"/>
        <v>0</v>
      </c>
      <c r="Q709" s="902">
        <f t="shared" si="213"/>
        <v>0</v>
      </c>
      <c r="R709" s="902"/>
      <c r="S709" s="902"/>
      <c r="T709" s="2130"/>
      <c r="U709" s="2130"/>
      <c r="V709" s="583"/>
      <c r="W709" s="583"/>
      <c r="X709" s="587"/>
      <c r="Y709" s="583"/>
      <c r="Z709" s="584"/>
      <c r="AA709" s="585"/>
      <c r="AB709" s="585"/>
      <c r="AC709" s="585"/>
      <c r="AD709" s="585"/>
      <c r="AE709" s="585"/>
      <c r="AF709" s="585"/>
      <c r="GV709" s="788"/>
      <c r="GW709" s="788"/>
      <c r="HM709" s="788"/>
    </row>
    <row r="710" spans="1:221" ht="12" customHeight="1">
      <c r="C710" s="583"/>
      <c r="D710" s="583"/>
      <c r="E710" s="587"/>
      <c r="F710" s="583"/>
      <c r="G710" s="584" t="s">
        <v>319</v>
      </c>
      <c r="H710" s="900">
        <f>DW682</f>
        <v>0</v>
      </c>
      <c r="I710" s="900">
        <f>DX682</f>
        <v>0</v>
      </c>
      <c r="J710" s="900">
        <f>DY682</f>
        <v>0</v>
      </c>
      <c r="K710" s="900">
        <f>DZ682</f>
        <v>0</v>
      </c>
      <c r="L710" s="900">
        <f>EA682</f>
        <v>0</v>
      </c>
      <c r="M710" s="900">
        <f t="shared" si="212"/>
        <v>0</v>
      </c>
      <c r="N710" s="566"/>
      <c r="Q710" s="902">
        <f t="shared" si="213"/>
        <v>0</v>
      </c>
      <c r="R710" s="902"/>
      <c r="S710" s="902"/>
      <c r="T710" s="2130"/>
      <c r="U710" s="2130"/>
      <c r="V710" s="583"/>
      <c r="W710" s="583"/>
      <c r="X710" s="587"/>
      <c r="Y710" s="583"/>
      <c r="Z710" s="584"/>
      <c r="AA710" s="585"/>
      <c r="AB710" s="585"/>
      <c r="AC710" s="585"/>
      <c r="AD710" s="585"/>
      <c r="AE710" s="585"/>
      <c r="AF710" s="585"/>
      <c r="AG710" s="566"/>
      <c r="AH710" s="583"/>
      <c r="FY710" s="784"/>
      <c r="FZ710" s="784"/>
      <c r="GA710" s="784"/>
      <c r="GB710" s="784"/>
      <c r="GC710" s="784"/>
      <c r="GD710" s="784"/>
      <c r="GE710" s="784"/>
      <c r="GF710" s="784"/>
      <c r="GG710" s="784"/>
      <c r="GH710" s="784"/>
      <c r="GI710" s="784"/>
      <c r="GJ710" s="784"/>
      <c r="GK710" s="784"/>
      <c r="GL710" s="784"/>
      <c r="GM710" s="784"/>
      <c r="GN710" s="784"/>
      <c r="GO710" s="784"/>
      <c r="GV710" s="788"/>
      <c r="GW710" s="788"/>
      <c r="HM710" s="788"/>
    </row>
    <row r="711" spans="1:221" ht="12" customHeight="1">
      <c r="C711" s="586"/>
      <c r="D711" s="583"/>
      <c r="E711" s="587"/>
      <c r="F711" s="583"/>
      <c r="G711" s="584" t="s">
        <v>33</v>
      </c>
      <c r="H711" s="900">
        <f>SUM(H709:H710)+EB682</f>
        <v>0</v>
      </c>
      <c r="I711" s="900">
        <f>SUM(I709:I710)+EC682</f>
        <v>0</v>
      </c>
      <c r="J711" s="900">
        <f>SUM(J709:J710)+ED682</f>
        <v>0</v>
      </c>
      <c r="K711" s="900">
        <f>SUM(K709:K710)+EE682</f>
        <v>0</v>
      </c>
      <c r="L711" s="900">
        <f>SUM(L709:L710)+EF682</f>
        <v>0</v>
      </c>
      <c r="M711" s="900">
        <f t="shared" si="212"/>
        <v>0</v>
      </c>
      <c r="N711" s="584"/>
      <c r="Q711" s="902">
        <f t="shared" si="213"/>
        <v>0</v>
      </c>
      <c r="R711" s="902"/>
      <c r="S711" s="902"/>
      <c r="T711" s="2130"/>
      <c r="U711" s="2130"/>
      <c r="V711" s="586"/>
      <c r="W711" s="583"/>
      <c r="X711" s="587"/>
      <c r="Y711" s="583"/>
      <c r="Z711" s="584"/>
      <c r="AA711" s="585"/>
      <c r="AB711" s="585"/>
      <c r="AC711" s="585"/>
      <c r="AD711" s="585"/>
      <c r="AE711" s="585"/>
      <c r="AF711" s="585"/>
      <c r="AG711" s="584"/>
      <c r="AH711" s="583"/>
      <c r="FY711" s="784"/>
      <c r="FZ711" s="784"/>
      <c r="GA711" s="784"/>
      <c r="GB711" s="784"/>
      <c r="GC711" s="784"/>
      <c r="GD711" s="784"/>
      <c r="GE711" s="784"/>
      <c r="GF711" s="784"/>
      <c r="GG711" s="784"/>
      <c r="GH711" s="784"/>
      <c r="GI711" s="784"/>
      <c r="GJ711" s="784"/>
      <c r="GK711" s="784"/>
      <c r="GL711" s="784"/>
      <c r="GM711" s="784"/>
      <c r="GN711" s="784"/>
      <c r="GO711" s="784"/>
      <c r="GV711" s="788"/>
      <c r="GW711" s="788"/>
      <c r="HM711" s="788"/>
    </row>
    <row r="712" spans="1:221" ht="12" customHeight="1">
      <c r="C712" s="583"/>
      <c r="D712" s="583"/>
      <c r="E712" s="2176" t="s">
        <v>1506</v>
      </c>
      <c r="F712" s="2176"/>
      <c r="G712" s="584" t="s">
        <v>1519</v>
      </c>
      <c r="H712" s="900">
        <f>EG682</f>
        <v>0</v>
      </c>
      <c r="I712" s="900">
        <f>EH682</f>
        <v>0</v>
      </c>
      <c r="J712" s="900">
        <f>EI682</f>
        <v>0</v>
      </c>
      <c r="K712" s="900">
        <f>EJ682</f>
        <v>0</v>
      </c>
      <c r="L712" s="900">
        <f>EK682</f>
        <v>0</v>
      </c>
      <c r="M712" s="900">
        <f t="shared" si="212"/>
        <v>0</v>
      </c>
      <c r="Q712" s="902">
        <f t="shared" si="213"/>
        <v>0</v>
      </c>
      <c r="R712" s="902"/>
      <c r="S712" s="902"/>
      <c r="T712" s="2130"/>
      <c r="U712" s="2130"/>
      <c r="V712" s="583"/>
      <c r="W712" s="583"/>
      <c r="X712" s="587"/>
      <c r="Y712" s="583"/>
      <c r="Z712" s="584"/>
      <c r="AA712" s="585"/>
      <c r="AB712" s="585"/>
      <c r="AC712" s="585"/>
      <c r="AD712" s="585"/>
      <c r="AE712" s="585"/>
      <c r="AF712" s="585"/>
      <c r="GV712" s="788"/>
      <c r="GW712" s="788"/>
      <c r="HM712" s="788"/>
    </row>
    <row r="713" spans="1:221" ht="12" customHeight="1">
      <c r="C713" s="583"/>
      <c r="D713" s="583"/>
      <c r="E713" s="2176"/>
      <c r="F713" s="2176"/>
      <c r="G713" s="584" t="s">
        <v>319</v>
      </c>
      <c r="H713" s="900">
        <f>EL682</f>
        <v>0</v>
      </c>
      <c r="I713" s="900">
        <f>EM682</f>
        <v>0</v>
      </c>
      <c r="J713" s="900">
        <f>EN682</f>
        <v>0</v>
      </c>
      <c r="K713" s="900">
        <f>EO682</f>
        <v>0</v>
      </c>
      <c r="L713" s="900">
        <f>EP682</f>
        <v>0</v>
      </c>
      <c r="M713" s="900">
        <f t="shared" si="212"/>
        <v>0</v>
      </c>
      <c r="N713" s="566"/>
      <c r="Q713" s="902">
        <f t="shared" si="213"/>
        <v>0</v>
      </c>
      <c r="R713" s="902"/>
      <c r="S713" s="902"/>
      <c r="T713" s="2130"/>
      <c r="U713" s="2130"/>
      <c r="V713" s="583"/>
      <c r="W713" s="583"/>
      <c r="X713" s="583"/>
      <c r="Y713" s="583"/>
      <c r="Z713" s="584"/>
      <c r="AA713" s="585"/>
      <c r="AB713" s="585"/>
      <c r="AC713" s="585"/>
      <c r="AD713" s="585"/>
      <c r="AE713" s="585"/>
      <c r="AF713" s="585"/>
      <c r="AG713" s="566"/>
      <c r="AH713" s="583"/>
      <c r="FY713" s="784"/>
      <c r="FZ713" s="784"/>
      <c r="GA713" s="784"/>
      <c r="GB713" s="784"/>
      <c r="GC713" s="784"/>
      <c r="GD713" s="784"/>
      <c r="GE713" s="784"/>
      <c r="GF713" s="784"/>
      <c r="GG713" s="784"/>
      <c r="GH713" s="784"/>
      <c r="GI713" s="784"/>
      <c r="GJ713" s="784"/>
      <c r="GK713" s="784"/>
      <c r="GL713" s="784"/>
      <c r="GM713" s="784"/>
      <c r="GN713" s="784"/>
      <c r="GO713" s="784"/>
      <c r="GV713" s="788"/>
      <c r="GW713" s="788"/>
      <c r="HM713" s="788"/>
    </row>
    <row r="714" spans="1:221" ht="12" customHeight="1">
      <c r="C714" s="586"/>
      <c r="D714" s="583"/>
      <c r="E714" s="587"/>
      <c r="F714" s="583"/>
      <c r="G714" s="584" t="s">
        <v>33</v>
      </c>
      <c r="H714" s="900">
        <f>SUM(H712:H713)+EQ682</f>
        <v>0</v>
      </c>
      <c r="I714" s="900">
        <f>SUM(I712:I713)+ER682</f>
        <v>0</v>
      </c>
      <c r="J714" s="900">
        <f>SUM(J712:J713)+ES682</f>
        <v>0</v>
      </c>
      <c r="K714" s="900">
        <f>SUM(K712:K713)+ET682</f>
        <v>0</v>
      </c>
      <c r="L714" s="900">
        <f>SUM(L712:L713)+EU682</f>
        <v>0</v>
      </c>
      <c r="M714" s="900">
        <f t="shared" si="212"/>
        <v>0</v>
      </c>
      <c r="N714" s="584"/>
      <c r="Q714" s="902">
        <f t="shared" si="213"/>
        <v>0</v>
      </c>
      <c r="R714" s="902"/>
      <c r="S714" s="902"/>
      <c r="T714" s="2130"/>
      <c r="U714" s="2130"/>
      <c r="V714" s="586"/>
      <c r="W714" s="583"/>
      <c r="X714" s="587"/>
      <c r="Y714" s="583"/>
      <c r="Z714" s="584"/>
      <c r="AA714" s="585"/>
      <c r="AB714" s="585"/>
      <c r="AC714" s="585"/>
      <c r="AD714" s="585"/>
      <c r="AE714" s="585"/>
      <c r="AF714" s="585"/>
      <c r="AG714" s="584"/>
      <c r="AH714" s="583"/>
      <c r="FY714" s="784"/>
      <c r="FZ714" s="784"/>
      <c r="GA714" s="784"/>
      <c r="GB714" s="784"/>
      <c r="GC714" s="784"/>
      <c r="GD714" s="784"/>
      <c r="GE714" s="784"/>
      <c r="GF714" s="784"/>
      <c r="GG714" s="784"/>
      <c r="GH714" s="784"/>
      <c r="GI714" s="784"/>
      <c r="GJ714" s="784"/>
      <c r="GK714" s="784"/>
      <c r="GL714" s="784"/>
      <c r="GM714" s="784"/>
      <c r="GN714" s="784"/>
      <c r="GO714" s="784"/>
      <c r="GV714" s="788"/>
      <c r="GW714" s="788"/>
      <c r="HM714" s="788"/>
    </row>
    <row r="715" spans="1:221" ht="12" customHeight="1">
      <c r="C715" s="583"/>
      <c r="D715" s="583"/>
      <c r="E715" s="587" t="s">
        <v>384</v>
      </c>
      <c r="F715" s="583"/>
      <c r="G715" s="584"/>
      <c r="H715" s="900">
        <f>'Part VI-Revenues &amp; Expenses'!H81</f>
        <v>0</v>
      </c>
      <c r="I715" s="900">
        <f>'Part VI-Revenues &amp; Expenses'!I81</f>
        <v>0</v>
      </c>
      <c r="J715" s="900">
        <f>'Part VI-Revenues &amp; Expenses'!J81</f>
        <v>0</v>
      </c>
      <c r="K715" s="900">
        <f>'Part VI-Revenues &amp; Expenses'!K81</f>
        <v>0</v>
      </c>
      <c r="L715" s="900">
        <f>'Part VI-Revenues &amp; Expenses'!L81</f>
        <v>0</v>
      </c>
      <c r="M715" s="900">
        <f t="shared" si="212"/>
        <v>0</v>
      </c>
      <c r="T715" s="2130"/>
      <c r="U715" s="2130"/>
      <c r="V715" s="583"/>
      <c r="W715" s="583"/>
      <c r="X715" s="583"/>
      <c r="Y715" s="583"/>
      <c r="Z715" s="584"/>
      <c r="AA715" s="585"/>
      <c r="AB715" s="585"/>
      <c r="AC715" s="585"/>
      <c r="AD715" s="585"/>
      <c r="AE715" s="585"/>
      <c r="AF715" s="585"/>
      <c r="AG715" s="566"/>
      <c r="AH715" s="583"/>
      <c r="FY715" s="784"/>
      <c r="FZ715" s="784"/>
      <c r="GA715" s="784"/>
      <c r="GB715" s="784"/>
      <c r="GC715" s="784"/>
      <c r="GD715" s="784"/>
      <c r="GE715" s="784"/>
      <c r="GF715" s="784"/>
      <c r="GG715" s="784"/>
      <c r="GH715" s="784"/>
      <c r="GI715" s="784"/>
      <c r="GJ715" s="784"/>
      <c r="GK715" s="784"/>
      <c r="GL715" s="784"/>
      <c r="GM715" s="784"/>
      <c r="GN715" s="784"/>
      <c r="GO715" s="784"/>
      <c r="GV715" s="788"/>
      <c r="GW715" s="788"/>
      <c r="HM715" s="788"/>
    </row>
    <row r="716" spans="1:221" ht="12" customHeight="1">
      <c r="A716" s="2177" t="str">
        <f>IF(AND('Part IV-Uses of Funds'!$T$163="Yes",'Part IX A-Scoring Criteria'!$O$241&gt;0,M716&lt;1),"SHOW HISTORIC UNITS HERE &gt;&gt;&gt;&gt;","")</f>
        <v/>
      </c>
      <c r="B716" s="2177"/>
      <c r="C716" s="2177"/>
      <c r="D716" s="2177"/>
      <c r="E716" s="587" t="s">
        <v>385</v>
      </c>
      <c r="F716" s="583"/>
      <c r="G716" s="584"/>
      <c r="H716" s="900">
        <f>'Part VI-Revenues &amp; Expenses'!H82</f>
        <v>0</v>
      </c>
      <c r="I716" s="900">
        <f>'Part VI-Revenues &amp; Expenses'!I82</f>
        <v>0</v>
      </c>
      <c r="J716" s="900">
        <f>'Part VI-Revenues &amp; Expenses'!J82</f>
        <v>0</v>
      </c>
      <c r="K716" s="900">
        <f>'Part VI-Revenues &amp; Expenses'!K82</f>
        <v>0</v>
      </c>
      <c r="L716" s="900">
        <f>'Part VI-Revenues &amp; Expenses'!L82</f>
        <v>0</v>
      </c>
      <c r="M716" s="900">
        <f t="shared" si="212"/>
        <v>0</v>
      </c>
      <c r="N716" s="566"/>
      <c r="T716" s="2130"/>
      <c r="U716" s="2130"/>
      <c r="V716" s="583"/>
      <c r="W716" s="583"/>
      <c r="X716" s="583"/>
      <c r="Y716" s="583"/>
      <c r="Z716" s="584"/>
      <c r="AA716" s="585"/>
      <c r="AB716" s="585"/>
      <c r="AC716" s="585"/>
      <c r="AD716" s="585"/>
      <c r="AE716" s="585"/>
      <c r="AF716" s="585"/>
      <c r="AG716" s="566"/>
      <c r="AH716" s="583"/>
      <c r="FY716" s="784"/>
      <c r="FZ716" s="784"/>
      <c r="GA716" s="784"/>
      <c r="GB716" s="784"/>
      <c r="GC716" s="784"/>
      <c r="GD716" s="784"/>
      <c r="GE716" s="784"/>
      <c r="GF716" s="784"/>
      <c r="GG716" s="784"/>
      <c r="GH716" s="784"/>
      <c r="GI716" s="784"/>
      <c r="GJ716" s="784"/>
      <c r="GK716" s="784"/>
      <c r="GL716" s="784"/>
      <c r="GM716" s="784"/>
      <c r="GN716" s="784"/>
      <c r="GO716" s="784"/>
      <c r="GV716" s="788"/>
      <c r="GW716" s="788"/>
      <c r="HM716" s="788"/>
    </row>
    <row r="717" spans="1:221" ht="12" customHeight="1">
      <c r="C717" s="583" t="s">
        <v>41</v>
      </c>
      <c r="D717" s="583"/>
      <c r="E717" s="587"/>
      <c r="F717" s="583"/>
      <c r="G717" s="584"/>
      <c r="H717" s="897"/>
      <c r="I717" s="897"/>
      <c r="J717" s="897"/>
      <c r="K717" s="897"/>
      <c r="L717" s="897"/>
      <c r="M717" s="897"/>
      <c r="Q717" s="902"/>
      <c r="R717" s="902"/>
      <c r="S717" s="902"/>
      <c r="T717" s="795" t="str">
        <f>C717</f>
        <v>Building Type:</v>
      </c>
      <c r="V717" s="583"/>
      <c r="W717" s="583"/>
      <c r="X717" s="587"/>
      <c r="Y717" s="583"/>
      <c r="Z717" s="584"/>
      <c r="AA717" s="583"/>
      <c r="AB717" s="583"/>
      <c r="AC717" s="583"/>
      <c r="AD717" s="583"/>
      <c r="AE717" s="583"/>
      <c r="AF717" s="583"/>
      <c r="AH717" s="583"/>
      <c r="FY717" s="784"/>
      <c r="FZ717" s="784"/>
      <c r="GA717" s="784"/>
      <c r="GB717" s="784"/>
      <c r="GC717" s="784"/>
      <c r="GD717" s="784"/>
      <c r="GE717" s="784"/>
      <c r="GF717" s="784"/>
      <c r="GG717" s="784"/>
      <c r="GH717" s="784"/>
      <c r="GI717" s="784"/>
      <c r="GJ717" s="784"/>
      <c r="GK717" s="784"/>
      <c r="GL717" s="784"/>
      <c r="GM717" s="784"/>
      <c r="GN717" s="784"/>
      <c r="GO717" s="784"/>
      <c r="GV717" s="788"/>
      <c r="GW717" s="788"/>
      <c r="HM717" s="788"/>
    </row>
    <row r="718" spans="1:221" ht="12" customHeight="1">
      <c r="C718" s="583"/>
      <c r="D718" s="583"/>
      <c r="E718" s="587" t="s">
        <v>42</v>
      </c>
      <c r="F718" s="583"/>
      <c r="G718" s="584"/>
      <c r="H718" s="900">
        <f>SUM(H719:H722)</f>
        <v>0</v>
      </c>
      <c r="I718" s="900">
        <f>SUM(I719:I722)</f>
        <v>24</v>
      </c>
      <c r="J718" s="900">
        <f>SUM(J719:J722)</f>
        <v>60</v>
      </c>
      <c r="K718" s="900">
        <f>SUM(K719:K722)</f>
        <v>0</v>
      </c>
      <c r="L718" s="900">
        <f>SUM(L719:L722)</f>
        <v>0</v>
      </c>
      <c r="M718" s="900">
        <f t="shared" ref="M718:M726" si="214">SUM(H718:L718)</f>
        <v>84</v>
      </c>
      <c r="Q718" s="902">
        <f>ABS(M718-AF718)</f>
        <v>84</v>
      </c>
      <c r="R718" s="902"/>
      <c r="S718" s="902"/>
      <c r="T718" s="2130"/>
      <c r="U718" s="2130"/>
      <c r="V718" s="583"/>
      <c r="W718" s="583"/>
      <c r="X718" s="587"/>
      <c r="Y718" s="583"/>
      <c r="Z718" s="584"/>
      <c r="AA718" s="585"/>
      <c r="AB718" s="585"/>
      <c r="AC718" s="585"/>
      <c r="AD718" s="585"/>
      <c r="AE718" s="585"/>
      <c r="AF718" s="585"/>
      <c r="GV718" s="788"/>
      <c r="GW718" s="788"/>
      <c r="HM718" s="788"/>
    </row>
    <row r="719" spans="1:221" ht="12" customHeight="1">
      <c r="C719" s="583"/>
      <c r="D719" s="583"/>
      <c r="E719" s="587"/>
      <c r="F719" s="583"/>
      <c r="G719" s="584" t="s">
        <v>2778</v>
      </c>
      <c r="H719" s="900">
        <f>FU682</f>
        <v>0</v>
      </c>
      <c r="I719" s="900">
        <f>FV682</f>
        <v>0</v>
      </c>
      <c r="J719" s="900">
        <f>FW682</f>
        <v>30</v>
      </c>
      <c r="K719" s="900">
        <f>FX682</f>
        <v>0</v>
      </c>
      <c r="L719" s="900">
        <f>FY682</f>
        <v>0</v>
      </c>
      <c r="M719" s="900">
        <f t="shared" si="214"/>
        <v>30</v>
      </c>
      <c r="Q719" s="902"/>
      <c r="R719" s="902"/>
      <c r="S719" s="902"/>
      <c r="T719" s="2130"/>
      <c r="U719" s="2130"/>
      <c r="V719" s="583"/>
      <c r="W719" s="583"/>
      <c r="X719" s="587"/>
      <c r="Y719" s="583"/>
      <c r="Z719" s="584"/>
      <c r="AA719" s="585"/>
      <c r="AB719" s="585"/>
      <c r="AC719" s="585"/>
      <c r="AD719" s="585"/>
      <c r="AE719" s="585"/>
      <c r="AF719" s="585"/>
      <c r="GV719" s="788"/>
      <c r="GW719" s="788"/>
      <c r="HM719" s="788"/>
    </row>
    <row r="720" spans="1:221" ht="12" customHeight="1">
      <c r="C720" s="583"/>
      <c r="D720" s="583"/>
      <c r="E720" s="587"/>
      <c r="F720" s="583"/>
      <c r="G720" s="584" t="s">
        <v>2779</v>
      </c>
      <c r="H720" s="900">
        <f>FZ682</f>
        <v>0</v>
      </c>
      <c r="I720" s="900">
        <f>GA682</f>
        <v>0</v>
      </c>
      <c r="J720" s="900">
        <f>GB682</f>
        <v>0</v>
      </c>
      <c r="K720" s="900">
        <f>GC682</f>
        <v>0</v>
      </c>
      <c r="L720" s="900">
        <f>GD682</f>
        <v>0</v>
      </c>
      <c r="M720" s="900">
        <f t="shared" si="214"/>
        <v>0</v>
      </c>
      <c r="Q720" s="902"/>
      <c r="R720" s="902"/>
      <c r="S720" s="902"/>
      <c r="T720" s="2130"/>
      <c r="U720" s="2130"/>
      <c r="V720" s="583"/>
      <c r="W720" s="583"/>
      <c r="X720" s="587"/>
      <c r="Y720" s="583"/>
      <c r="Z720" s="584"/>
      <c r="AA720" s="585"/>
      <c r="AB720" s="585"/>
      <c r="AC720" s="585"/>
      <c r="AD720" s="585"/>
      <c r="AE720" s="585"/>
      <c r="AF720" s="585"/>
      <c r="GV720" s="788"/>
      <c r="GW720" s="788"/>
      <c r="HM720" s="788"/>
    </row>
    <row r="721" spans="1:222" ht="12" customHeight="1">
      <c r="C721" s="583"/>
      <c r="D721" s="583"/>
      <c r="E721" s="587"/>
      <c r="F721" s="583"/>
      <c r="G721" s="584" t="s">
        <v>2781</v>
      </c>
      <c r="H721" s="900">
        <f>GE682</f>
        <v>0</v>
      </c>
      <c r="I721" s="900">
        <f>GF682</f>
        <v>0</v>
      </c>
      <c r="J721" s="900">
        <f>GG682</f>
        <v>0</v>
      </c>
      <c r="K721" s="900">
        <f>GH682</f>
        <v>0</v>
      </c>
      <c r="L721" s="900">
        <f>GI682</f>
        <v>0</v>
      </c>
      <c r="M721" s="900">
        <f t="shared" si="214"/>
        <v>0</v>
      </c>
      <c r="Q721" s="902"/>
      <c r="R721" s="902"/>
      <c r="S721" s="902"/>
      <c r="T721" s="2130"/>
      <c r="U721" s="2130"/>
      <c r="V721" s="583"/>
      <c r="W721" s="583"/>
      <c r="X721" s="587"/>
      <c r="Y721" s="583"/>
      <c r="Z721" s="584"/>
      <c r="AA721" s="585"/>
      <c r="AB721" s="585"/>
      <c r="AC721" s="585"/>
      <c r="AD721" s="585"/>
      <c r="AE721" s="585"/>
      <c r="AF721" s="585"/>
      <c r="GV721" s="788"/>
      <c r="GW721" s="788"/>
      <c r="HM721" s="788"/>
    </row>
    <row r="722" spans="1:222" ht="12" customHeight="1">
      <c r="C722" s="583"/>
      <c r="D722" s="583"/>
      <c r="E722" s="587"/>
      <c r="F722" s="583"/>
      <c r="G722" s="584" t="s">
        <v>2780</v>
      </c>
      <c r="H722" s="900">
        <f>GJ682</f>
        <v>0</v>
      </c>
      <c r="I722" s="900">
        <f>GK682</f>
        <v>24</v>
      </c>
      <c r="J722" s="900">
        <f>GL682</f>
        <v>30</v>
      </c>
      <c r="K722" s="900">
        <f>GM682</f>
        <v>0</v>
      </c>
      <c r="L722" s="900">
        <f>GN682</f>
        <v>0</v>
      </c>
      <c r="M722" s="900">
        <f t="shared" si="214"/>
        <v>54</v>
      </c>
      <c r="Q722" s="902"/>
      <c r="R722" s="902"/>
      <c r="S722" s="902"/>
      <c r="T722" s="2130"/>
      <c r="U722" s="2130"/>
      <c r="V722" s="583"/>
      <c r="W722" s="583"/>
      <c r="X722" s="587"/>
      <c r="Y722" s="583"/>
      <c r="Z722" s="584"/>
      <c r="AA722" s="585"/>
      <c r="AB722" s="585"/>
      <c r="AC722" s="585"/>
      <c r="AD722" s="585"/>
      <c r="AE722" s="585"/>
      <c r="AF722" s="585"/>
      <c r="GV722" s="788"/>
      <c r="GW722" s="788"/>
      <c r="HM722" s="788"/>
    </row>
    <row r="723" spans="1:222" ht="12" customHeight="1">
      <c r="C723" s="583"/>
      <c r="D723" s="583"/>
      <c r="E723" s="587" t="s">
        <v>43</v>
      </c>
      <c r="F723" s="583"/>
      <c r="G723" s="584"/>
      <c r="H723" s="900">
        <f>FA682</f>
        <v>0</v>
      </c>
      <c r="I723" s="900">
        <f>FB682</f>
        <v>0</v>
      </c>
      <c r="J723" s="900">
        <f>FC682</f>
        <v>0</v>
      </c>
      <c r="K723" s="900">
        <f>FD682</f>
        <v>0</v>
      </c>
      <c r="L723" s="900">
        <f>FE682</f>
        <v>0</v>
      </c>
      <c r="M723" s="900">
        <f t="shared" si="214"/>
        <v>0</v>
      </c>
      <c r="N723" s="566"/>
      <c r="Q723" s="902">
        <f>ABS(M723-AF723)</f>
        <v>0</v>
      </c>
      <c r="R723" s="902"/>
      <c r="S723" s="902"/>
      <c r="T723" s="2130"/>
      <c r="U723" s="2130"/>
      <c r="V723" s="583"/>
      <c r="W723" s="583"/>
      <c r="X723" s="587"/>
      <c r="Y723" s="583"/>
      <c r="Z723" s="584"/>
      <c r="AA723" s="585"/>
      <c r="AB723" s="585"/>
      <c r="AC723" s="585"/>
      <c r="AD723" s="585"/>
      <c r="AE723" s="585"/>
      <c r="AF723" s="585"/>
      <c r="AG723" s="566"/>
      <c r="AH723" s="583"/>
      <c r="FY723" s="784"/>
      <c r="FZ723" s="784"/>
      <c r="GA723" s="784"/>
      <c r="GB723" s="784"/>
      <c r="GC723" s="784"/>
      <c r="GD723" s="784"/>
      <c r="GE723" s="784"/>
      <c r="GF723" s="784"/>
      <c r="GG723" s="784"/>
      <c r="GH723" s="784"/>
      <c r="GI723" s="784"/>
      <c r="GJ723" s="784"/>
      <c r="GK723" s="784"/>
      <c r="GL723" s="784"/>
      <c r="GM723" s="784"/>
      <c r="GN723" s="784"/>
      <c r="GO723" s="784"/>
      <c r="GV723" s="788"/>
      <c r="GW723" s="788"/>
      <c r="HM723" s="788"/>
    </row>
    <row r="724" spans="1:222" ht="12" customHeight="1">
      <c r="C724" s="583"/>
      <c r="D724" s="583"/>
      <c r="E724" s="587" t="s">
        <v>44</v>
      </c>
      <c r="F724" s="583"/>
      <c r="G724" s="584"/>
      <c r="H724" s="900">
        <f>FP682</f>
        <v>0</v>
      </c>
      <c r="I724" s="900">
        <f>FQ682</f>
        <v>0</v>
      </c>
      <c r="J724" s="900">
        <f>FR682</f>
        <v>0</v>
      </c>
      <c r="K724" s="900">
        <f>FS682</f>
        <v>0</v>
      </c>
      <c r="L724" s="900">
        <f>FT682</f>
        <v>0</v>
      </c>
      <c r="M724" s="900">
        <f t="shared" si="214"/>
        <v>0</v>
      </c>
      <c r="Q724" s="902">
        <f>ABS(M724-AF724)</f>
        <v>0</v>
      </c>
      <c r="R724" s="902"/>
      <c r="S724" s="902"/>
      <c r="T724" s="2130"/>
      <c r="U724" s="2130"/>
      <c r="V724" s="583"/>
      <c r="W724" s="583"/>
      <c r="X724" s="587"/>
      <c r="Y724" s="583"/>
      <c r="Z724" s="584"/>
      <c r="AA724" s="585"/>
      <c r="AB724" s="585"/>
      <c r="AC724" s="585"/>
      <c r="AD724" s="585"/>
      <c r="AE724" s="585"/>
      <c r="AF724" s="585"/>
      <c r="GV724" s="788"/>
      <c r="GW724" s="788"/>
      <c r="HM724" s="788"/>
    </row>
    <row r="725" spans="1:222" ht="12" customHeight="1">
      <c r="C725" s="583"/>
      <c r="D725" s="583"/>
      <c r="E725" s="587" t="s">
        <v>593</v>
      </c>
      <c r="F725" s="583"/>
      <c r="G725" s="584"/>
      <c r="H725" s="900">
        <f>FK682</f>
        <v>0</v>
      </c>
      <c r="I725" s="900">
        <f>FL682</f>
        <v>0</v>
      </c>
      <c r="J725" s="900">
        <f>FM682</f>
        <v>0</v>
      </c>
      <c r="K725" s="900">
        <f>FN682</f>
        <v>0</v>
      </c>
      <c r="L725" s="900">
        <f>FO682</f>
        <v>0</v>
      </c>
      <c r="M725" s="900">
        <f t="shared" si="214"/>
        <v>0</v>
      </c>
      <c r="N725" s="566"/>
      <c r="Q725" s="902">
        <f>ABS(M725-AF725)</f>
        <v>0</v>
      </c>
      <c r="R725" s="902"/>
      <c r="S725" s="902"/>
      <c r="T725" s="2130"/>
      <c r="U725" s="2130"/>
      <c r="V725" s="583"/>
      <c r="W725" s="583"/>
      <c r="X725" s="587"/>
      <c r="Y725" s="583"/>
      <c r="Z725" s="584"/>
      <c r="AA725" s="585"/>
      <c r="AB725" s="585"/>
      <c r="AC725" s="585"/>
      <c r="AD725" s="585"/>
      <c r="AE725" s="585"/>
      <c r="AF725" s="585"/>
      <c r="AG725" s="566"/>
      <c r="AH725" s="583"/>
      <c r="FY725" s="784"/>
      <c r="FZ725" s="784"/>
      <c r="GA725" s="784"/>
      <c r="GB725" s="784"/>
      <c r="GC725" s="784"/>
      <c r="GD725" s="784"/>
      <c r="GE725" s="784"/>
      <c r="GF725" s="784"/>
      <c r="GG725" s="784"/>
      <c r="GH725" s="784"/>
      <c r="GI725" s="784"/>
      <c r="GJ725" s="784"/>
      <c r="GK725" s="784"/>
      <c r="GL725" s="784"/>
      <c r="GM725" s="784"/>
      <c r="GN725" s="784"/>
      <c r="GO725" s="784"/>
      <c r="GV725" s="788"/>
      <c r="GW725" s="788"/>
      <c r="HM725" s="788"/>
    </row>
    <row r="726" spans="1:222" ht="12" customHeight="1">
      <c r="C726" s="583"/>
      <c r="D726" s="583"/>
      <c r="E726" s="781" t="s">
        <v>594</v>
      </c>
      <c r="F726" s="583"/>
      <c r="G726" s="584"/>
      <c r="H726" s="900">
        <f>FF682</f>
        <v>0</v>
      </c>
      <c r="I726" s="900">
        <f>FG682</f>
        <v>0</v>
      </c>
      <c r="J726" s="900">
        <f>FH682</f>
        <v>0</v>
      </c>
      <c r="K726" s="900">
        <f>FI682</f>
        <v>0</v>
      </c>
      <c r="L726" s="900">
        <f>FJ682</f>
        <v>0</v>
      </c>
      <c r="M726" s="900">
        <f t="shared" si="214"/>
        <v>0</v>
      </c>
      <c r="Q726" s="902">
        <f>ABS(M726-AF726)</f>
        <v>0</v>
      </c>
      <c r="R726" s="902"/>
      <c r="S726" s="902"/>
      <c r="T726" s="2130"/>
      <c r="U726" s="2130"/>
      <c r="V726" s="583"/>
      <c r="W726" s="583"/>
      <c r="X726" s="781"/>
      <c r="Y726" s="583"/>
      <c r="Z726" s="584"/>
      <c r="AA726" s="585"/>
      <c r="AB726" s="585"/>
      <c r="AC726" s="585"/>
      <c r="AD726" s="585"/>
      <c r="AE726" s="585"/>
      <c r="AF726" s="585"/>
      <c r="GV726" s="788"/>
      <c r="GW726" s="788"/>
      <c r="HM726" s="788"/>
    </row>
    <row r="727" spans="1:222" ht="12" customHeight="1">
      <c r="A727" s="788"/>
      <c r="B727" s="788" t="s">
        <v>2297</v>
      </c>
      <c r="C727" s="583"/>
      <c r="D727" s="583"/>
      <c r="E727" s="583"/>
      <c r="F727" s="583"/>
      <c r="G727" s="584"/>
      <c r="H727" s="583"/>
      <c r="I727" s="583"/>
      <c r="J727" s="583"/>
      <c r="K727" s="583"/>
      <c r="L727" s="583"/>
      <c r="M727" s="583"/>
      <c r="Q727" s="902"/>
      <c r="R727" s="902"/>
      <c r="S727" s="902"/>
      <c r="T727" s="795" t="str">
        <f>B727</f>
        <v>Unit Square Footage:</v>
      </c>
      <c r="U727" s="788" t="s">
        <v>1199</v>
      </c>
      <c r="V727" s="583"/>
      <c r="W727" s="583"/>
      <c r="X727" s="583"/>
      <c r="Y727" s="583"/>
      <c r="Z727" s="584"/>
      <c r="AA727" s="583"/>
      <c r="AB727" s="583"/>
      <c r="AC727" s="583"/>
      <c r="AD727" s="583"/>
      <c r="AE727" s="583"/>
      <c r="AF727" s="583"/>
      <c r="AH727" s="583"/>
      <c r="FY727" s="784"/>
      <c r="FZ727" s="784"/>
      <c r="GA727" s="784"/>
      <c r="GB727" s="784"/>
      <c r="GC727" s="784"/>
      <c r="GD727" s="784"/>
      <c r="GE727" s="784"/>
      <c r="GF727" s="784"/>
      <c r="GG727" s="784"/>
      <c r="GH727" s="784"/>
      <c r="GI727" s="784"/>
      <c r="GJ727" s="784"/>
      <c r="GK727" s="784"/>
      <c r="GL727" s="784"/>
      <c r="GM727" s="784"/>
      <c r="GN727" s="784"/>
      <c r="GO727" s="784"/>
      <c r="GV727" s="788"/>
      <c r="GW727" s="788"/>
      <c r="HM727" s="788"/>
    </row>
    <row r="728" spans="1:222" ht="12" customHeight="1">
      <c r="C728" s="583" t="s">
        <v>2267</v>
      </c>
      <c r="D728" s="583"/>
      <c r="E728" s="583"/>
      <c r="F728" s="583"/>
      <c r="G728" s="584" t="s">
        <v>1212</v>
      </c>
      <c r="H728" s="585">
        <f>BY682</f>
        <v>0</v>
      </c>
      <c r="I728" s="585">
        <f>BZ682</f>
        <v>6500</v>
      </c>
      <c r="J728" s="585">
        <f>CA682</f>
        <v>42300</v>
      </c>
      <c r="K728" s="585">
        <f>CB682</f>
        <v>0</v>
      </c>
      <c r="L728" s="585">
        <f>CC682</f>
        <v>0</v>
      </c>
      <c r="M728" s="585">
        <f t="shared" ref="M728:M734" si="215">SUM(H728:L728)</f>
        <v>48800</v>
      </c>
      <c r="Q728" s="902">
        <f t="shared" ref="Q728:Q734" si="216">ABS(M728-AF728)</f>
        <v>48800</v>
      </c>
      <c r="R728" s="902"/>
      <c r="S728" s="902"/>
      <c r="T728" s="2130"/>
      <c r="U728" s="2130"/>
      <c r="V728" s="583"/>
      <c r="W728" s="583"/>
      <c r="X728" s="583"/>
      <c r="Y728" s="583"/>
      <c r="Z728" s="584"/>
      <c r="AA728" s="585"/>
      <c r="AB728" s="585"/>
      <c r="AC728" s="585"/>
      <c r="AD728" s="585"/>
      <c r="AE728" s="585"/>
      <c r="AF728" s="585"/>
      <c r="AH728" s="583"/>
      <c r="FY728" s="784"/>
      <c r="FZ728" s="784"/>
      <c r="GA728" s="784"/>
      <c r="GB728" s="784"/>
      <c r="GC728" s="784"/>
      <c r="GD728" s="784"/>
      <c r="GE728" s="784"/>
      <c r="GF728" s="784"/>
      <c r="GG728" s="784"/>
      <c r="GH728" s="784"/>
      <c r="GI728" s="784"/>
      <c r="GJ728" s="784"/>
      <c r="GK728" s="784"/>
      <c r="GL728" s="784"/>
      <c r="GM728" s="784"/>
      <c r="GN728" s="784"/>
      <c r="GO728" s="784"/>
      <c r="GV728" s="788"/>
      <c r="GW728" s="788"/>
      <c r="HM728" s="788"/>
    </row>
    <row r="729" spans="1:222" ht="12" customHeight="1">
      <c r="C729" s="586"/>
      <c r="D729" s="583"/>
      <c r="E729" s="583"/>
      <c r="F729" s="583"/>
      <c r="G729" s="584" t="s">
        <v>121</v>
      </c>
      <c r="H729" s="585">
        <f>CD682</f>
        <v>0</v>
      </c>
      <c r="I729" s="585">
        <f>CE682</f>
        <v>8450</v>
      </c>
      <c r="J729" s="585">
        <f>CF682</f>
        <v>8100</v>
      </c>
      <c r="K729" s="585">
        <f>CG682</f>
        <v>0</v>
      </c>
      <c r="L729" s="585">
        <f>CH682</f>
        <v>0</v>
      </c>
      <c r="M729" s="585">
        <f t="shared" si="215"/>
        <v>16550</v>
      </c>
      <c r="N729" s="583"/>
      <c r="Q729" s="902">
        <f t="shared" si="216"/>
        <v>16550</v>
      </c>
      <c r="R729" s="902"/>
      <c r="S729" s="902"/>
      <c r="T729" s="2130"/>
      <c r="U729" s="2130"/>
      <c r="V729" s="586"/>
      <c r="W729" s="583"/>
      <c r="X729" s="583"/>
      <c r="Y729" s="583"/>
      <c r="Z729" s="584"/>
      <c r="AA729" s="585"/>
      <c r="AB729" s="585"/>
      <c r="AC729" s="585"/>
      <c r="AD729" s="585"/>
      <c r="AE729" s="585"/>
      <c r="AF729" s="585"/>
      <c r="AG729" s="583"/>
      <c r="AH729" s="583"/>
      <c r="FY729" s="784"/>
      <c r="FZ729" s="784"/>
      <c r="GA729" s="784"/>
      <c r="GB729" s="784"/>
      <c r="GC729" s="784"/>
      <c r="GD729" s="784"/>
      <c r="GE729" s="784"/>
      <c r="GF729" s="784"/>
      <c r="GG729" s="784"/>
      <c r="GH729" s="784"/>
      <c r="GI729" s="784"/>
      <c r="GJ729" s="784"/>
      <c r="GK729" s="784"/>
      <c r="GL729" s="784"/>
      <c r="GM729" s="784"/>
      <c r="GN729" s="784"/>
      <c r="GO729" s="784"/>
      <c r="GV729" s="788"/>
      <c r="GW729" s="788"/>
      <c r="HM729" s="788"/>
    </row>
    <row r="730" spans="1:222" ht="12" customHeight="1">
      <c r="C730" s="586"/>
      <c r="D730" s="583"/>
      <c r="E730" s="583"/>
      <c r="F730" s="583"/>
      <c r="G730" s="584" t="s">
        <v>567</v>
      </c>
      <c r="H730" s="585">
        <f>SUM(H728:H729)</f>
        <v>0</v>
      </c>
      <c r="I730" s="585">
        <f>SUM(I728:I729)</f>
        <v>14950</v>
      </c>
      <c r="J730" s="585">
        <f>SUM(J728:J729)</f>
        <v>50400</v>
      </c>
      <c r="K730" s="585">
        <f>SUM(K728:K729)</f>
        <v>0</v>
      </c>
      <c r="L730" s="585">
        <f>SUM(L728:L729)</f>
        <v>0</v>
      </c>
      <c r="M730" s="585">
        <f t="shared" si="215"/>
        <v>65350</v>
      </c>
      <c r="N730" s="583"/>
      <c r="Q730" s="902">
        <f t="shared" si="216"/>
        <v>65350</v>
      </c>
      <c r="R730" s="902"/>
      <c r="S730" s="902"/>
      <c r="T730" s="2130"/>
      <c r="U730" s="2130"/>
      <c r="V730" s="586"/>
      <c r="W730" s="583"/>
      <c r="X730" s="583"/>
      <c r="Y730" s="583"/>
      <c r="Z730" s="584"/>
      <c r="AA730" s="585"/>
      <c r="AB730" s="585"/>
      <c r="AC730" s="585"/>
      <c r="AD730" s="585"/>
      <c r="AE730" s="585"/>
      <c r="AF730" s="585"/>
      <c r="AG730" s="583"/>
      <c r="AH730" s="583"/>
      <c r="FY730" s="784"/>
      <c r="FZ730" s="784"/>
      <c r="GA730" s="784"/>
      <c r="GB730" s="784"/>
      <c r="GC730" s="784"/>
      <c r="GD730" s="784"/>
      <c r="GE730" s="784"/>
      <c r="GF730" s="784"/>
      <c r="GG730" s="784"/>
      <c r="GH730" s="784"/>
      <c r="GI730" s="784"/>
      <c r="GJ730" s="784"/>
      <c r="GK730" s="784"/>
      <c r="GL730" s="784"/>
      <c r="GM730" s="784"/>
      <c r="GN730" s="784"/>
      <c r="GO730" s="784"/>
      <c r="GV730" s="788"/>
      <c r="GW730" s="788"/>
      <c r="HM730" s="788"/>
    </row>
    <row r="731" spans="1:222" ht="12" customHeight="1">
      <c r="C731" s="583" t="s">
        <v>319</v>
      </c>
      <c r="D731" s="583"/>
      <c r="E731" s="583"/>
      <c r="F731" s="583"/>
      <c r="G731" s="583"/>
      <c r="H731" s="585">
        <f>CN682</f>
        <v>0</v>
      </c>
      <c r="I731" s="585">
        <f>CO682</f>
        <v>650</v>
      </c>
      <c r="J731" s="585">
        <f>CP682</f>
        <v>3600</v>
      </c>
      <c r="K731" s="585">
        <f>CQ682</f>
        <v>0</v>
      </c>
      <c r="L731" s="585">
        <f>CR682</f>
        <v>0</v>
      </c>
      <c r="M731" s="585">
        <f t="shared" si="215"/>
        <v>4250</v>
      </c>
      <c r="Q731" s="902">
        <f t="shared" si="216"/>
        <v>4250</v>
      </c>
      <c r="R731" s="902"/>
      <c r="S731" s="902"/>
      <c r="T731" s="2130"/>
      <c r="U731" s="2130"/>
      <c r="V731" s="583"/>
      <c r="W731" s="583"/>
      <c r="X731" s="583"/>
      <c r="Y731" s="583"/>
      <c r="Z731" s="583"/>
      <c r="AA731" s="585"/>
      <c r="AB731" s="585"/>
      <c r="AC731" s="585"/>
      <c r="AD731" s="585"/>
      <c r="AE731" s="585"/>
      <c r="AF731" s="585"/>
      <c r="AH731" s="583"/>
      <c r="FY731" s="784"/>
      <c r="FZ731" s="784"/>
      <c r="GA731" s="784"/>
      <c r="GB731" s="784"/>
      <c r="GC731" s="784"/>
      <c r="GD731" s="784"/>
      <c r="GE731" s="784"/>
      <c r="GF731" s="784"/>
      <c r="GG731" s="784"/>
      <c r="GH731" s="784"/>
      <c r="GI731" s="784"/>
      <c r="GJ731" s="784"/>
      <c r="GK731" s="784"/>
      <c r="GL731" s="784"/>
      <c r="GM731" s="784"/>
      <c r="GN731" s="784"/>
      <c r="GO731" s="784"/>
      <c r="GV731" s="788"/>
      <c r="GW731" s="788"/>
      <c r="HM731" s="788"/>
    </row>
    <row r="732" spans="1:222" ht="12" customHeight="1">
      <c r="C732" s="583" t="s">
        <v>1201</v>
      </c>
      <c r="D732" s="583"/>
      <c r="E732" s="583"/>
      <c r="F732" s="583"/>
      <c r="G732" s="583"/>
      <c r="H732" s="585">
        <f>SUM(H730:H731)</f>
        <v>0</v>
      </c>
      <c r="I732" s="585">
        <f>SUM(I730:I731)</f>
        <v>15600</v>
      </c>
      <c r="J732" s="585">
        <f>SUM(J730:J731)</f>
        <v>54000</v>
      </c>
      <c r="K732" s="585">
        <f>SUM(K730:K731)</f>
        <v>0</v>
      </c>
      <c r="L732" s="585">
        <f>SUM(L730:L731)</f>
        <v>0</v>
      </c>
      <c r="M732" s="585">
        <f t="shared" si="215"/>
        <v>69600</v>
      </c>
      <c r="Q732" s="902">
        <f t="shared" si="216"/>
        <v>69600</v>
      </c>
      <c r="R732" s="902"/>
      <c r="S732" s="902"/>
      <c r="T732" s="2130"/>
      <c r="U732" s="2130"/>
      <c r="V732" s="583"/>
      <c r="W732" s="583"/>
      <c r="X732" s="583"/>
      <c r="Y732" s="583"/>
      <c r="Z732" s="583"/>
      <c r="AA732" s="585"/>
      <c r="AB732" s="585"/>
      <c r="AC732" s="585"/>
      <c r="AD732" s="585"/>
      <c r="AE732" s="585"/>
      <c r="AF732" s="585"/>
      <c r="AH732" s="583"/>
      <c r="FY732" s="784"/>
      <c r="FZ732" s="784"/>
      <c r="GA732" s="784"/>
      <c r="GB732" s="784"/>
      <c r="GC732" s="784"/>
      <c r="GD732" s="784"/>
      <c r="GE732" s="784"/>
      <c r="GF732" s="784"/>
      <c r="GG732" s="784"/>
      <c r="GH732" s="784"/>
      <c r="GI732" s="784"/>
      <c r="GJ732" s="784"/>
      <c r="GK732" s="784"/>
      <c r="GL732" s="784"/>
      <c r="GM732" s="784"/>
      <c r="GN732" s="784"/>
      <c r="GO732" s="784"/>
      <c r="GV732" s="788"/>
      <c r="GW732" s="788"/>
      <c r="HM732" s="788"/>
    </row>
    <row r="733" spans="1:222" ht="12" customHeight="1">
      <c r="C733" s="583" t="s">
        <v>2673</v>
      </c>
      <c r="D733" s="583"/>
      <c r="E733" s="583"/>
      <c r="F733" s="583"/>
      <c r="G733" s="583"/>
      <c r="H733" s="585">
        <f>CX682</f>
        <v>0</v>
      </c>
      <c r="I733" s="585">
        <f>CY682</f>
        <v>0</v>
      </c>
      <c r="J733" s="585">
        <f>CZ682</f>
        <v>0</v>
      </c>
      <c r="K733" s="585">
        <f>DA682</f>
        <v>0</v>
      </c>
      <c r="L733" s="585">
        <f>DB682</f>
        <v>0</v>
      </c>
      <c r="M733" s="585">
        <f t="shared" si="215"/>
        <v>0</v>
      </c>
      <c r="Q733" s="902">
        <f t="shared" si="216"/>
        <v>0</v>
      </c>
      <c r="R733" s="902"/>
      <c r="S733" s="902"/>
      <c r="T733" s="2130"/>
      <c r="U733" s="2130"/>
      <c r="V733" s="583"/>
      <c r="W733" s="583"/>
      <c r="X733" s="583"/>
      <c r="Y733" s="583"/>
      <c r="Z733" s="583"/>
      <c r="AA733" s="585"/>
      <c r="AB733" s="585"/>
      <c r="AC733" s="585"/>
      <c r="AD733" s="585"/>
      <c r="AE733" s="585"/>
      <c r="AF733" s="585"/>
      <c r="AH733" s="583"/>
      <c r="FY733" s="784"/>
      <c r="FZ733" s="784"/>
      <c r="GA733" s="784"/>
      <c r="GB733" s="784"/>
      <c r="GC733" s="784"/>
      <c r="GD733" s="784"/>
      <c r="GE733" s="784"/>
      <c r="GF733" s="784"/>
      <c r="GG733" s="784"/>
      <c r="GH733" s="784"/>
      <c r="GI733" s="784"/>
      <c r="GJ733" s="784"/>
      <c r="GK733" s="784"/>
      <c r="GL733" s="784"/>
      <c r="GM733" s="784"/>
      <c r="GN733" s="784"/>
      <c r="GO733" s="784"/>
      <c r="GV733" s="788"/>
      <c r="GW733" s="788"/>
      <c r="HM733" s="788"/>
    </row>
    <row r="734" spans="1:222" ht="12" customHeight="1">
      <c r="C734" s="583" t="s">
        <v>567</v>
      </c>
      <c r="D734" s="583"/>
      <c r="E734" s="583"/>
      <c r="F734" s="583"/>
      <c r="G734" s="583"/>
      <c r="H734" s="585">
        <f>SUM(H732:H733)</f>
        <v>0</v>
      </c>
      <c r="I734" s="585">
        <f>SUM(I732:I733)</f>
        <v>15600</v>
      </c>
      <c r="J734" s="585">
        <f>SUM(J732:J733)</f>
        <v>54000</v>
      </c>
      <c r="K734" s="585">
        <f>SUM(K732:K733)</f>
        <v>0</v>
      </c>
      <c r="L734" s="585">
        <f>SUM(L732:L733)</f>
        <v>0</v>
      </c>
      <c r="M734" s="585">
        <f t="shared" si="215"/>
        <v>69600</v>
      </c>
      <c r="Q734" s="902">
        <f t="shared" si="216"/>
        <v>69600</v>
      </c>
      <c r="R734" s="902"/>
      <c r="S734" s="902"/>
      <c r="T734" s="2130"/>
      <c r="U734" s="2130"/>
      <c r="V734" s="583"/>
      <c r="W734" s="583"/>
      <c r="X734" s="583"/>
      <c r="Y734" s="583"/>
      <c r="Z734" s="583"/>
      <c r="AA734" s="585"/>
      <c r="AB734" s="585"/>
      <c r="AC734" s="585"/>
      <c r="AD734" s="585"/>
      <c r="AE734" s="585"/>
      <c r="AF734" s="585"/>
      <c r="AH734" s="583"/>
      <c r="FY734" s="784"/>
      <c r="FZ734" s="784"/>
      <c r="GA734" s="784"/>
      <c r="GB734" s="784"/>
      <c r="GC734" s="784"/>
      <c r="GD734" s="784"/>
      <c r="GE734" s="784"/>
      <c r="GF734" s="784"/>
      <c r="GG734" s="784"/>
      <c r="GH734" s="784"/>
      <c r="GI734" s="784"/>
      <c r="GJ734" s="784"/>
      <c r="GK734" s="784"/>
      <c r="GL734" s="784"/>
      <c r="GM734" s="784"/>
      <c r="GN734" s="784"/>
      <c r="GO734" s="784"/>
      <c r="GV734" s="788"/>
      <c r="GW734" s="788"/>
      <c r="HM734" s="788"/>
    </row>
    <row r="735" spans="1:222" ht="4.9000000000000004" customHeight="1">
      <c r="B735" s="788"/>
      <c r="O735" s="583"/>
      <c r="P735" s="583"/>
      <c r="FY735" s="784"/>
      <c r="FZ735" s="784"/>
      <c r="GA735" s="784"/>
      <c r="GB735" s="784"/>
      <c r="GC735" s="784"/>
      <c r="GD735" s="784"/>
      <c r="GE735" s="784"/>
      <c r="GF735" s="784"/>
      <c r="GG735" s="784"/>
      <c r="GH735" s="784"/>
      <c r="GI735" s="784"/>
      <c r="GJ735" s="784"/>
      <c r="GK735" s="784"/>
      <c r="GL735" s="784"/>
      <c r="GM735" s="784"/>
      <c r="GN735" s="784"/>
      <c r="GO735" s="784"/>
      <c r="GV735" s="788"/>
      <c r="GW735" s="788"/>
      <c r="HM735" s="788"/>
    </row>
    <row r="736" spans="1:222" ht="13.9" customHeight="1">
      <c r="A736" s="788" t="s">
        <v>786</v>
      </c>
      <c r="B736" s="788" t="s">
        <v>3395</v>
      </c>
      <c r="Q736" s="583"/>
      <c r="R736" s="583"/>
      <c r="S736" s="583"/>
      <c r="T736" s="788" t="s">
        <v>1966</v>
      </c>
      <c r="FZ736" s="784"/>
      <c r="GA736" s="784"/>
      <c r="GB736" s="784"/>
      <c r="GC736" s="784"/>
      <c r="GD736" s="784"/>
      <c r="GE736" s="784"/>
      <c r="GF736" s="784"/>
      <c r="GG736" s="784"/>
      <c r="GH736" s="784"/>
      <c r="GI736" s="784"/>
      <c r="GJ736" s="784"/>
      <c r="GK736" s="784"/>
      <c r="GL736" s="784"/>
      <c r="GM736" s="784"/>
      <c r="GN736" s="784"/>
      <c r="GO736" s="784"/>
      <c r="GP736" s="784"/>
      <c r="GW736" s="788"/>
      <c r="HM736" s="788"/>
      <c r="HN736" s="788"/>
    </row>
    <row r="737" spans="2:221" ht="9" customHeight="1">
      <c r="P737" s="583"/>
      <c r="FY737" s="784"/>
      <c r="FZ737" s="784"/>
      <c r="GA737" s="784"/>
      <c r="GB737" s="784"/>
      <c r="GC737" s="784"/>
      <c r="GD737" s="784"/>
      <c r="GE737" s="784"/>
      <c r="GF737" s="784"/>
      <c r="GG737" s="784"/>
      <c r="GH737" s="784"/>
      <c r="GI737" s="784"/>
      <c r="GJ737" s="784"/>
      <c r="GK737" s="784"/>
      <c r="GL737" s="784"/>
      <c r="GM737" s="784"/>
      <c r="GN737" s="784"/>
      <c r="GO737" s="784"/>
      <c r="GV737" s="788"/>
      <c r="HL737" s="788"/>
      <c r="HM737" s="788"/>
    </row>
    <row r="738" spans="2:221" ht="12.6" customHeight="1">
      <c r="B738" s="788" t="s">
        <v>1072</v>
      </c>
      <c r="D738" s="587"/>
      <c r="H738" s="2178">
        <f>'Part VI-Revenues &amp; Expenses'!H104</f>
        <v>10123.92</v>
      </c>
      <c r="I738" s="2178"/>
      <c r="K738" s="904" t="s">
        <v>3396</v>
      </c>
      <c r="O738" s="905">
        <f>H738/L683</f>
        <v>0.02</v>
      </c>
      <c r="P738" s="587"/>
      <c r="T738" s="586" t="str">
        <f>B738</f>
        <v>Ancillary Income</v>
      </c>
      <c r="FY738" s="784"/>
      <c r="FZ738" s="784"/>
      <c r="GA738" s="784"/>
      <c r="GB738" s="784"/>
      <c r="GC738" s="784"/>
      <c r="GD738" s="784"/>
      <c r="GE738" s="784"/>
      <c r="GF738" s="784"/>
      <c r="GG738" s="784"/>
      <c r="GH738" s="784"/>
      <c r="GI738" s="784"/>
      <c r="GJ738" s="784"/>
      <c r="GK738" s="784"/>
      <c r="GL738" s="784"/>
      <c r="GM738" s="784"/>
      <c r="GN738" s="784"/>
      <c r="GO738" s="784"/>
      <c r="GV738" s="788"/>
      <c r="HL738" s="788"/>
      <c r="HM738" s="788"/>
    </row>
    <row r="739" spans="2:221" ht="15" customHeight="1">
      <c r="B739" s="788"/>
      <c r="D739" s="587"/>
      <c r="E739" s="906"/>
      <c r="I739" s="907"/>
      <c r="P739" s="587"/>
      <c r="FY739" s="784"/>
      <c r="FZ739" s="784"/>
      <c r="GA739" s="784"/>
      <c r="GB739" s="784"/>
      <c r="GC739" s="784"/>
      <c r="GD739" s="784"/>
      <c r="GE739" s="784"/>
      <c r="GF739" s="784"/>
      <c r="GG739" s="784"/>
      <c r="GH739" s="784"/>
      <c r="GI739" s="784"/>
      <c r="GJ739" s="784"/>
      <c r="GK739" s="784"/>
      <c r="GL739" s="784"/>
      <c r="GM739" s="784"/>
      <c r="GN739" s="784"/>
      <c r="GO739" s="784"/>
      <c r="GV739" s="788"/>
      <c r="HL739" s="788"/>
      <c r="HM739" s="788"/>
    </row>
    <row r="740" spans="2:221" ht="13.9" customHeight="1">
      <c r="B740" s="788" t="s">
        <v>1534</v>
      </c>
      <c r="I740" s="788"/>
      <c r="K740" s="908"/>
      <c r="T740" s="586" t="str">
        <f>B740</f>
        <v>Other Income (OI) by Year:</v>
      </c>
      <c r="FY740" s="784"/>
      <c r="FZ740" s="784"/>
      <c r="GA740" s="784"/>
      <c r="GB740" s="784"/>
      <c r="GC740" s="784"/>
      <c r="GD740" s="784"/>
      <c r="GE740" s="784"/>
      <c r="GF740" s="784"/>
      <c r="GG740" s="784"/>
      <c r="GH740" s="784"/>
      <c r="GI740" s="784"/>
      <c r="GJ740" s="784"/>
      <c r="GK740" s="784"/>
      <c r="GL740" s="784"/>
      <c r="GM740" s="784"/>
      <c r="GN740" s="784"/>
      <c r="GO740" s="784"/>
      <c r="GV740" s="788"/>
      <c r="HL740" s="788"/>
      <c r="HM740" s="788"/>
    </row>
    <row r="741" spans="2:221" ht="15" customHeight="1">
      <c r="B741" s="788"/>
      <c r="I741" s="788"/>
      <c r="K741" s="908"/>
      <c r="FY741" s="784"/>
      <c r="FZ741" s="784"/>
      <c r="GA741" s="784"/>
      <c r="GB741" s="784"/>
      <c r="GC741" s="784"/>
      <c r="GD741" s="784"/>
      <c r="GE741" s="784"/>
      <c r="GF741" s="784"/>
      <c r="GG741" s="784"/>
      <c r="GH741" s="784"/>
      <c r="GI741" s="784"/>
      <c r="GJ741" s="784"/>
      <c r="GK741" s="784"/>
      <c r="GL741" s="784"/>
      <c r="GM741" s="784"/>
      <c r="GN741" s="784"/>
      <c r="GO741" s="784"/>
      <c r="GV741" s="788"/>
      <c r="HL741" s="788"/>
      <c r="HM741" s="788"/>
    </row>
    <row r="742" spans="2:221" ht="13.9" customHeight="1">
      <c r="B742" s="909" t="s">
        <v>2426</v>
      </c>
      <c r="G742" s="910">
        <v>1</v>
      </c>
      <c r="H742" s="910">
        <v>2</v>
      </c>
      <c r="I742" s="910">
        <v>3</v>
      </c>
      <c r="J742" s="910">
        <v>4</v>
      </c>
      <c r="K742" s="910">
        <v>5</v>
      </c>
      <c r="L742" s="910">
        <v>6</v>
      </c>
      <c r="M742" s="910">
        <v>7</v>
      </c>
      <c r="N742" s="910">
        <v>8</v>
      </c>
      <c r="O742" s="910">
        <v>9</v>
      </c>
      <c r="P742" s="910">
        <v>10</v>
      </c>
      <c r="T742" s="583" t="str">
        <f>B742</f>
        <v>Included in Mgt Fee:</v>
      </c>
      <c r="FY742" s="784"/>
      <c r="FZ742" s="784"/>
      <c r="GA742" s="784"/>
      <c r="GB742" s="784"/>
      <c r="GC742" s="784"/>
      <c r="GD742" s="784"/>
      <c r="GE742" s="784"/>
      <c r="GF742" s="784"/>
      <c r="GG742" s="784"/>
      <c r="GH742" s="784"/>
      <c r="GI742" s="784"/>
      <c r="GJ742" s="784"/>
      <c r="GK742" s="784"/>
      <c r="GL742" s="784"/>
      <c r="GM742" s="784"/>
      <c r="GN742" s="784"/>
      <c r="GO742" s="784"/>
      <c r="GV742" s="788"/>
      <c r="HL742" s="788"/>
      <c r="HM742" s="788"/>
    </row>
    <row r="743" spans="2:221" ht="15" customHeight="1">
      <c r="B743" s="580" t="s">
        <v>1073</v>
      </c>
      <c r="G743" s="1058">
        <f>'Part VI-Revenues &amp; Expenses'!G109</f>
        <v>0</v>
      </c>
      <c r="H743" s="1058">
        <f>'Part VI-Revenues &amp; Expenses'!H109</f>
        <v>0</v>
      </c>
      <c r="I743" s="1058">
        <f>'Part VI-Revenues &amp; Expenses'!I109</f>
        <v>0</v>
      </c>
      <c r="J743" s="1058">
        <f>'Part VI-Revenues &amp; Expenses'!J109</f>
        <v>0</v>
      </c>
      <c r="K743" s="1058">
        <f>'Part VI-Revenues &amp; Expenses'!K109</f>
        <v>0</v>
      </c>
      <c r="L743" s="1058">
        <f>'Part VI-Revenues &amp; Expenses'!L109</f>
        <v>0</v>
      </c>
      <c r="M743" s="1058">
        <f>'Part VI-Revenues &amp; Expenses'!M109</f>
        <v>0</v>
      </c>
      <c r="N743" s="1058">
        <f>'Part VI-Revenues &amp; Expenses'!N109</f>
        <v>0</v>
      </c>
      <c r="O743" s="1058">
        <f>'Part VI-Revenues &amp; Expenses'!O109</f>
        <v>0</v>
      </c>
      <c r="P743" s="1058">
        <f>'Part VI-Revenues &amp; Expenses'!P109</f>
        <v>0</v>
      </c>
      <c r="T743" s="2130"/>
      <c r="U743" s="2130"/>
      <c r="FY743" s="784"/>
      <c r="FZ743" s="784"/>
      <c r="GA743" s="784"/>
      <c r="GB743" s="784"/>
      <c r="GC743" s="784"/>
      <c r="GD743" s="784"/>
      <c r="GE743" s="784"/>
      <c r="GF743" s="784"/>
      <c r="GG743" s="784"/>
      <c r="GH743" s="784"/>
      <c r="GI743" s="784"/>
      <c r="GJ743" s="784"/>
      <c r="GK743" s="784"/>
      <c r="GL743" s="784"/>
      <c r="GM743" s="784"/>
      <c r="GN743" s="784"/>
      <c r="GO743" s="784"/>
      <c r="GV743" s="788"/>
      <c r="HL743" s="788"/>
      <c r="HM743" s="788"/>
    </row>
    <row r="744" spans="2:221" ht="15" customHeight="1">
      <c r="B744" s="580" t="s">
        <v>785</v>
      </c>
      <c r="C744" s="2175">
        <f>'Part VI-Revenues &amp; Expenses'!C110</f>
        <v>0</v>
      </c>
      <c r="D744" s="2175"/>
      <c r="E744" s="2175"/>
      <c r="F744" s="2175"/>
      <c r="G744" s="1058">
        <f>'Part VI-Revenues &amp; Expenses'!G110</f>
        <v>0</v>
      </c>
      <c r="H744" s="1058">
        <f>'Part VI-Revenues &amp; Expenses'!H110</f>
        <v>0</v>
      </c>
      <c r="I744" s="1058">
        <f>'Part VI-Revenues &amp; Expenses'!I110</f>
        <v>0</v>
      </c>
      <c r="J744" s="1058">
        <f>'Part VI-Revenues &amp; Expenses'!J110</f>
        <v>0</v>
      </c>
      <c r="K744" s="1058">
        <f>'Part VI-Revenues &amp; Expenses'!K110</f>
        <v>0</v>
      </c>
      <c r="L744" s="1058">
        <f>'Part VI-Revenues &amp; Expenses'!L110</f>
        <v>0</v>
      </c>
      <c r="M744" s="1058">
        <f>'Part VI-Revenues &amp; Expenses'!M110</f>
        <v>0</v>
      </c>
      <c r="N744" s="1058">
        <f>'Part VI-Revenues &amp; Expenses'!N110</f>
        <v>0</v>
      </c>
      <c r="O744" s="1058">
        <f>'Part VI-Revenues &amp; Expenses'!O110</f>
        <v>0</v>
      </c>
      <c r="P744" s="1058">
        <f>'Part VI-Revenues &amp; Expenses'!P110</f>
        <v>0</v>
      </c>
      <c r="T744" s="2130"/>
      <c r="U744" s="2130"/>
      <c r="FY744" s="784"/>
      <c r="FZ744" s="784"/>
      <c r="GA744" s="784"/>
      <c r="GB744" s="784"/>
      <c r="GC744" s="784"/>
      <c r="GD744" s="784"/>
      <c r="GE744" s="784"/>
      <c r="GF744" s="784"/>
      <c r="GG744" s="784"/>
      <c r="GH744" s="784"/>
      <c r="GI744" s="784"/>
      <c r="GJ744" s="784"/>
      <c r="GK744" s="784"/>
      <c r="GL744" s="784"/>
      <c r="GM744" s="784"/>
      <c r="GN744" s="784"/>
      <c r="GO744" s="784"/>
      <c r="GV744" s="788"/>
      <c r="HL744" s="788"/>
      <c r="HM744" s="788"/>
    </row>
    <row r="745" spans="2:221" ht="15" customHeight="1">
      <c r="C745" s="781" t="s">
        <v>978</v>
      </c>
      <c r="G745" s="911">
        <f t="shared" ref="G745:P745" si="217">SUM(G743:G744)</f>
        <v>0</v>
      </c>
      <c r="H745" s="911">
        <f t="shared" si="217"/>
        <v>0</v>
      </c>
      <c r="I745" s="911">
        <f t="shared" si="217"/>
        <v>0</v>
      </c>
      <c r="J745" s="911">
        <f t="shared" si="217"/>
        <v>0</v>
      </c>
      <c r="K745" s="911">
        <f t="shared" si="217"/>
        <v>0</v>
      </c>
      <c r="L745" s="911">
        <f t="shared" si="217"/>
        <v>0</v>
      </c>
      <c r="M745" s="911">
        <f t="shared" si="217"/>
        <v>0</v>
      </c>
      <c r="N745" s="911">
        <f t="shared" si="217"/>
        <v>0</v>
      </c>
      <c r="O745" s="911">
        <f t="shared" si="217"/>
        <v>0</v>
      </c>
      <c r="P745" s="911">
        <f t="shared" si="217"/>
        <v>0</v>
      </c>
      <c r="T745" s="2130"/>
      <c r="U745" s="2130"/>
      <c r="FY745" s="784"/>
      <c r="FZ745" s="784"/>
      <c r="GA745" s="784"/>
      <c r="GB745" s="784"/>
      <c r="GC745" s="784"/>
      <c r="GD745" s="784"/>
      <c r="GE745" s="784"/>
      <c r="GF745" s="784"/>
      <c r="GG745" s="784"/>
      <c r="GH745" s="784"/>
      <c r="GI745" s="784"/>
      <c r="GJ745" s="784"/>
      <c r="GK745" s="784"/>
      <c r="GL745" s="784"/>
      <c r="GM745" s="784"/>
      <c r="GN745" s="784"/>
      <c r="GO745" s="784"/>
      <c r="GV745" s="788"/>
      <c r="HL745" s="788"/>
      <c r="HM745" s="788"/>
    </row>
    <row r="746" spans="2:221" ht="6.6" customHeight="1">
      <c r="C746" s="781"/>
      <c r="G746" s="911"/>
      <c r="H746" s="911"/>
      <c r="I746" s="911"/>
      <c r="J746" s="911"/>
      <c r="K746" s="911"/>
      <c r="L746" s="911"/>
      <c r="M746" s="911"/>
      <c r="N746" s="911"/>
      <c r="O746" s="911"/>
      <c r="P746" s="911"/>
      <c r="FY746" s="784"/>
      <c r="FZ746" s="784"/>
      <c r="GA746" s="784"/>
      <c r="GB746" s="784"/>
      <c r="GC746" s="784"/>
      <c r="GD746" s="784"/>
      <c r="GE746" s="784"/>
      <c r="GF746" s="784"/>
      <c r="GG746" s="784"/>
      <c r="GH746" s="784"/>
      <c r="GI746" s="784"/>
      <c r="GJ746" s="784"/>
      <c r="GK746" s="784"/>
      <c r="GL746" s="784"/>
      <c r="GM746" s="784"/>
      <c r="GN746" s="784"/>
      <c r="GO746" s="784"/>
      <c r="GV746" s="788"/>
      <c r="HL746" s="788"/>
      <c r="HM746" s="788"/>
    </row>
    <row r="747" spans="2:221" ht="15.6" customHeight="1">
      <c r="B747" s="909" t="s">
        <v>3397</v>
      </c>
      <c r="G747" s="912"/>
      <c r="T747" s="583" t="str">
        <f>B747</f>
        <v>NOT Included in Mgt Fee:</v>
      </c>
      <c r="FY747" s="784"/>
      <c r="FZ747" s="784"/>
      <c r="GA747" s="784"/>
      <c r="GB747" s="784"/>
      <c r="GC747" s="784"/>
      <c r="GD747" s="784"/>
      <c r="GE747" s="784"/>
      <c r="GF747" s="784"/>
      <c r="GG747" s="784"/>
      <c r="GH747" s="784"/>
      <c r="GI747" s="784"/>
      <c r="GJ747" s="784"/>
      <c r="GK747" s="784"/>
      <c r="GL747" s="784"/>
      <c r="GM747" s="784"/>
      <c r="GN747" s="784"/>
      <c r="GO747" s="784"/>
      <c r="GV747" s="788"/>
      <c r="HL747" s="788"/>
      <c r="HM747" s="788"/>
    </row>
    <row r="748" spans="2:221" ht="15" customHeight="1">
      <c r="B748" s="580" t="s">
        <v>561</v>
      </c>
      <c r="G748" s="1058">
        <f>'Part VI-Revenues &amp; Expenses'!G114</f>
        <v>0</v>
      </c>
      <c r="H748" s="1058">
        <f>'Part VI-Revenues &amp; Expenses'!H114</f>
        <v>0</v>
      </c>
      <c r="I748" s="1058">
        <f>'Part VI-Revenues &amp; Expenses'!I114</f>
        <v>0</v>
      </c>
      <c r="J748" s="1058">
        <f>'Part VI-Revenues &amp; Expenses'!J114</f>
        <v>0</v>
      </c>
      <c r="K748" s="1058">
        <f>'Part VI-Revenues &amp; Expenses'!K114</f>
        <v>0</v>
      </c>
      <c r="L748" s="1058">
        <f>'Part VI-Revenues &amp; Expenses'!L114</f>
        <v>0</v>
      </c>
      <c r="M748" s="1058">
        <f>'Part VI-Revenues &amp; Expenses'!M114</f>
        <v>0</v>
      </c>
      <c r="N748" s="1058">
        <f>'Part VI-Revenues &amp; Expenses'!N114</f>
        <v>0</v>
      </c>
      <c r="O748" s="1058">
        <f>'Part VI-Revenues &amp; Expenses'!O114</f>
        <v>0</v>
      </c>
      <c r="P748" s="1058">
        <f>'Part VI-Revenues &amp; Expenses'!P114</f>
        <v>0</v>
      </c>
      <c r="T748" s="2130"/>
      <c r="U748" s="2130"/>
      <c r="FY748" s="784"/>
      <c r="FZ748" s="784"/>
      <c r="GA748" s="784"/>
      <c r="GB748" s="784"/>
      <c r="GC748" s="784"/>
      <c r="GD748" s="784"/>
      <c r="GE748" s="784"/>
      <c r="GF748" s="784"/>
      <c r="GG748" s="784"/>
      <c r="GH748" s="784"/>
      <c r="GI748" s="784"/>
      <c r="GJ748" s="784"/>
      <c r="GK748" s="784"/>
      <c r="GL748" s="784"/>
      <c r="GM748" s="784"/>
      <c r="GN748" s="784"/>
      <c r="GO748" s="784"/>
      <c r="GV748" s="788"/>
      <c r="HL748" s="788"/>
      <c r="HM748" s="788"/>
    </row>
    <row r="749" spans="2:221" ht="15" customHeight="1">
      <c r="B749" s="580" t="s">
        <v>785</v>
      </c>
      <c r="C749" s="2175">
        <f>'Part VI-Revenues &amp; Expenses'!C115</f>
        <v>0</v>
      </c>
      <c r="D749" s="2175"/>
      <c r="E749" s="2175"/>
      <c r="F749" s="2175"/>
      <c r="G749" s="1058">
        <f>'Part VI-Revenues &amp; Expenses'!G115</f>
        <v>0</v>
      </c>
      <c r="H749" s="1058">
        <f>'Part VI-Revenues &amp; Expenses'!H115</f>
        <v>0</v>
      </c>
      <c r="I749" s="1058">
        <f>'Part VI-Revenues &amp; Expenses'!I115</f>
        <v>0</v>
      </c>
      <c r="J749" s="1058">
        <f>'Part VI-Revenues &amp; Expenses'!J115</f>
        <v>0</v>
      </c>
      <c r="K749" s="1058">
        <f>'Part VI-Revenues &amp; Expenses'!K115</f>
        <v>0</v>
      </c>
      <c r="L749" s="1058">
        <f>'Part VI-Revenues &amp; Expenses'!L115</f>
        <v>0</v>
      </c>
      <c r="M749" s="1058">
        <f>'Part VI-Revenues &amp; Expenses'!M115</f>
        <v>0</v>
      </c>
      <c r="N749" s="1058">
        <f>'Part VI-Revenues &amp; Expenses'!N115</f>
        <v>0</v>
      </c>
      <c r="O749" s="1058">
        <f>'Part VI-Revenues &amp; Expenses'!O115</f>
        <v>0</v>
      </c>
      <c r="P749" s="1058">
        <f>'Part VI-Revenues &amp; Expenses'!P115</f>
        <v>0</v>
      </c>
      <c r="T749" s="2130"/>
      <c r="U749" s="2130"/>
      <c r="FY749" s="784"/>
      <c r="FZ749" s="784"/>
      <c r="GA749" s="784"/>
      <c r="GB749" s="784"/>
      <c r="GC749" s="784"/>
      <c r="GD749" s="784"/>
      <c r="GE749" s="784"/>
      <c r="GF749" s="784"/>
      <c r="GG749" s="784"/>
      <c r="GH749" s="784"/>
      <c r="GI749" s="784"/>
      <c r="GJ749" s="784"/>
      <c r="GK749" s="784"/>
      <c r="GL749" s="784"/>
      <c r="GM749" s="784"/>
      <c r="GN749" s="784"/>
      <c r="GO749" s="784"/>
      <c r="GV749" s="788"/>
      <c r="HL749" s="788"/>
      <c r="HM749" s="788"/>
    </row>
    <row r="750" spans="2:221" ht="15" customHeight="1">
      <c r="C750" s="781" t="s">
        <v>3398</v>
      </c>
      <c r="G750" s="911">
        <f t="shared" ref="G750:P750" si="218">SUM(G748:G749)</f>
        <v>0</v>
      </c>
      <c r="H750" s="911">
        <f t="shared" si="218"/>
        <v>0</v>
      </c>
      <c r="I750" s="911">
        <f t="shared" si="218"/>
        <v>0</v>
      </c>
      <c r="J750" s="911">
        <f t="shared" si="218"/>
        <v>0</v>
      </c>
      <c r="K750" s="911">
        <f t="shared" si="218"/>
        <v>0</v>
      </c>
      <c r="L750" s="911">
        <f t="shared" si="218"/>
        <v>0</v>
      </c>
      <c r="M750" s="911">
        <f t="shared" si="218"/>
        <v>0</v>
      </c>
      <c r="N750" s="911">
        <f t="shared" si="218"/>
        <v>0</v>
      </c>
      <c r="O750" s="911">
        <f t="shared" si="218"/>
        <v>0</v>
      </c>
      <c r="P750" s="911">
        <f t="shared" si="218"/>
        <v>0</v>
      </c>
      <c r="T750" s="2130"/>
      <c r="U750" s="2130"/>
      <c r="FY750" s="784"/>
      <c r="FZ750" s="784"/>
      <c r="GA750" s="784"/>
      <c r="GB750" s="784"/>
      <c r="GC750" s="784"/>
      <c r="GD750" s="784"/>
      <c r="GE750" s="784"/>
      <c r="GF750" s="784"/>
      <c r="GG750" s="784"/>
      <c r="GH750" s="784"/>
      <c r="GI750" s="784"/>
      <c r="GJ750" s="784"/>
      <c r="GK750" s="784"/>
      <c r="GL750" s="784"/>
      <c r="GM750" s="784"/>
      <c r="GN750" s="784"/>
      <c r="GO750" s="784"/>
      <c r="GV750" s="788"/>
      <c r="HL750" s="788"/>
      <c r="HM750" s="788"/>
    </row>
    <row r="751" spans="2:221" ht="42.6" customHeight="1">
      <c r="B751" s="788"/>
      <c r="G751" s="912"/>
      <c r="T751" s="887" t="s">
        <v>2796</v>
      </c>
      <c r="FY751" s="784"/>
      <c r="FZ751" s="784"/>
      <c r="GA751" s="784"/>
      <c r="GB751" s="784"/>
      <c r="GC751" s="784"/>
      <c r="GD751" s="784"/>
      <c r="GE751" s="784"/>
      <c r="GF751" s="784"/>
      <c r="GG751" s="784"/>
      <c r="GH751" s="784"/>
      <c r="GI751" s="784"/>
      <c r="GJ751" s="784"/>
      <c r="GK751" s="784"/>
      <c r="GL751" s="784"/>
      <c r="GM751" s="784"/>
      <c r="GN751" s="784"/>
      <c r="GO751" s="784"/>
      <c r="GV751" s="788"/>
      <c r="HL751" s="788"/>
      <c r="HM751" s="788"/>
    </row>
    <row r="752" spans="2:221" ht="13.9" customHeight="1">
      <c r="B752" s="909" t="s">
        <v>2426</v>
      </c>
      <c r="G752" s="910">
        <v>11</v>
      </c>
      <c r="H752" s="910">
        <v>12</v>
      </c>
      <c r="I752" s="910">
        <v>13</v>
      </c>
      <c r="J752" s="910">
        <v>14</v>
      </c>
      <c r="K752" s="910">
        <v>15</v>
      </c>
      <c r="L752" s="910">
        <v>16</v>
      </c>
      <c r="M752" s="910">
        <v>17</v>
      </c>
      <c r="N752" s="910">
        <v>18</v>
      </c>
      <c r="O752" s="910">
        <v>19</v>
      </c>
      <c r="P752" s="910">
        <v>20</v>
      </c>
      <c r="T752" s="583" t="str">
        <f>B752</f>
        <v>Included in Mgt Fee:</v>
      </c>
      <c r="FY752" s="784"/>
      <c r="FZ752" s="784"/>
      <c r="GA752" s="784"/>
      <c r="GB752" s="784"/>
      <c r="GC752" s="784"/>
      <c r="GD752" s="784"/>
      <c r="GE752" s="784"/>
      <c r="GF752" s="784"/>
      <c r="GG752" s="784"/>
      <c r="GH752" s="784"/>
      <c r="GI752" s="784"/>
      <c r="GJ752" s="784"/>
      <c r="GK752" s="784"/>
      <c r="GL752" s="784"/>
      <c r="GM752" s="784"/>
      <c r="GN752" s="784"/>
      <c r="GO752" s="784"/>
      <c r="GV752" s="788"/>
      <c r="HL752" s="788"/>
      <c r="HM752" s="788"/>
    </row>
    <row r="753" spans="2:221" ht="15" customHeight="1">
      <c r="B753" s="580" t="s">
        <v>1073</v>
      </c>
      <c r="G753" s="1058">
        <f>'Part VI-Revenues &amp; Expenses'!G119</f>
        <v>0</v>
      </c>
      <c r="H753" s="1058">
        <f>'Part VI-Revenues &amp; Expenses'!H119</f>
        <v>0</v>
      </c>
      <c r="I753" s="1058">
        <f>'Part VI-Revenues &amp; Expenses'!I119</f>
        <v>0</v>
      </c>
      <c r="J753" s="1058">
        <f>'Part VI-Revenues &amp; Expenses'!J119</f>
        <v>0</v>
      </c>
      <c r="K753" s="1058">
        <f>'Part VI-Revenues &amp; Expenses'!K119</f>
        <v>0</v>
      </c>
      <c r="L753" s="1058">
        <f>'Part VI-Revenues &amp; Expenses'!L119</f>
        <v>0</v>
      </c>
      <c r="M753" s="1058">
        <f>'Part VI-Revenues &amp; Expenses'!M119</f>
        <v>0</v>
      </c>
      <c r="N753" s="1058">
        <f>'Part VI-Revenues &amp; Expenses'!N119</f>
        <v>0</v>
      </c>
      <c r="O753" s="1058">
        <f>'Part VI-Revenues &amp; Expenses'!O119</f>
        <v>0</v>
      </c>
      <c r="P753" s="1058">
        <f>'Part VI-Revenues &amp; Expenses'!P119</f>
        <v>0</v>
      </c>
      <c r="T753" s="2130"/>
      <c r="U753" s="2130"/>
      <c r="FY753" s="784"/>
      <c r="FZ753" s="784"/>
      <c r="GA753" s="784"/>
      <c r="GB753" s="784"/>
      <c r="GC753" s="784"/>
      <c r="GD753" s="784"/>
      <c r="GE753" s="784"/>
      <c r="GF753" s="784"/>
      <c r="GG753" s="784"/>
      <c r="GH753" s="784"/>
      <c r="GI753" s="784"/>
      <c r="GJ753" s="784"/>
      <c r="GK753" s="784"/>
      <c r="GL753" s="784"/>
      <c r="GM753" s="784"/>
      <c r="GN753" s="784"/>
      <c r="GO753" s="784"/>
      <c r="GV753" s="788"/>
      <c r="HL753" s="788"/>
      <c r="HM753" s="788"/>
    </row>
    <row r="754" spans="2:221" ht="15" customHeight="1">
      <c r="B754" s="580" t="s">
        <v>785</v>
      </c>
      <c r="C754" s="2175">
        <f>'Part VI-Revenues &amp; Expenses'!C120</f>
        <v>0</v>
      </c>
      <c r="D754" s="2175"/>
      <c r="E754" s="2175"/>
      <c r="F754" s="2175"/>
      <c r="G754" s="1058">
        <f>'Part VI-Revenues &amp; Expenses'!G120</f>
        <v>0</v>
      </c>
      <c r="H754" s="1058">
        <f>'Part VI-Revenues &amp; Expenses'!H120</f>
        <v>0</v>
      </c>
      <c r="I754" s="1058">
        <f>'Part VI-Revenues &amp; Expenses'!I120</f>
        <v>0</v>
      </c>
      <c r="J754" s="1058">
        <f>'Part VI-Revenues &amp; Expenses'!J120</f>
        <v>0</v>
      </c>
      <c r="K754" s="1058">
        <f>'Part VI-Revenues &amp; Expenses'!K120</f>
        <v>0</v>
      </c>
      <c r="L754" s="1058">
        <f>'Part VI-Revenues &amp; Expenses'!L120</f>
        <v>0</v>
      </c>
      <c r="M754" s="1058">
        <f>'Part VI-Revenues &amp; Expenses'!M120</f>
        <v>0</v>
      </c>
      <c r="N754" s="1058">
        <f>'Part VI-Revenues &amp; Expenses'!N120</f>
        <v>0</v>
      </c>
      <c r="O754" s="1058">
        <f>'Part VI-Revenues &amp; Expenses'!O120</f>
        <v>0</v>
      </c>
      <c r="P754" s="1058">
        <f>'Part VI-Revenues &amp; Expenses'!P120</f>
        <v>0</v>
      </c>
      <c r="T754" s="2130"/>
      <c r="U754" s="2130"/>
      <c r="FY754" s="784"/>
      <c r="FZ754" s="784"/>
      <c r="GA754" s="784"/>
      <c r="GB754" s="784"/>
      <c r="GC754" s="784"/>
      <c r="GD754" s="784"/>
      <c r="GE754" s="784"/>
      <c r="GF754" s="784"/>
      <c r="GG754" s="784"/>
      <c r="GH754" s="784"/>
      <c r="GI754" s="784"/>
      <c r="GJ754" s="784"/>
      <c r="GK754" s="784"/>
      <c r="GL754" s="784"/>
      <c r="GM754" s="784"/>
      <c r="GN754" s="784"/>
      <c r="GO754" s="784"/>
      <c r="GV754" s="788"/>
      <c r="HL754" s="788"/>
      <c r="HM754" s="788"/>
    </row>
    <row r="755" spans="2:221" ht="15" customHeight="1">
      <c r="C755" s="781" t="s">
        <v>978</v>
      </c>
      <c r="G755" s="911">
        <f t="shared" ref="G755:P755" si="219">SUM(G753:G754)</f>
        <v>0</v>
      </c>
      <c r="H755" s="911">
        <f t="shared" si="219"/>
        <v>0</v>
      </c>
      <c r="I755" s="911">
        <f t="shared" si="219"/>
        <v>0</v>
      </c>
      <c r="J755" s="911">
        <f t="shared" si="219"/>
        <v>0</v>
      </c>
      <c r="K755" s="911">
        <f t="shared" si="219"/>
        <v>0</v>
      </c>
      <c r="L755" s="911">
        <f t="shared" si="219"/>
        <v>0</v>
      </c>
      <c r="M755" s="911">
        <f t="shared" si="219"/>
        <v>0</v>
      </c>
      <c r="N755" s="911">
        <f t="shared" si="219"/>
        <v>0</v>
      </c>
      <c r="O755" s="911">
        <f t="shared" si="219"/>
        <v>0</v>
      </c>
      <c r="P755" s="911">
        <f t="shared" si="219"/>
        <v>0</v>
      </c>
      <c r="T755" s="2130"/>
      <c r="U755" s="2130"/>
      <c r="FY755" s="784"/>
      <c r="FZ755" s="784"/>
      <c r="GA755" s="784"/>
      <c r="GB755" s="784"/>
      <c r="GC755" s="784"/>
      <c r="GD755" s="784"/>
      <c r="GE755" s="784"/>
      <c r="GF755" s="784"/>
      <c r="GG755" s="784"/>
      <c r="GH755" s="784"/>
      <c r="GI755" s="784"/>
      <c r="GJ755" s="784"/>
      <c r="GK755" s="784"/>
      <c r="GL755" s="784"/>
      <c r="GM755" s="784"/>
      <c r="GN755" s="784"/>
      <c r="GO755" s="784"/>
      <c r="GV755" s="788"/>
      <c r="HL755" s="788"/>
      <c r="HM755" s="788"/>
    </row>
    <row r="756" spans="2:221" ht="6.6" customHeight="1">
      <c r="C756" s="781"/>
      <c r="G756" s="911"/>
      <c r="H756" s="911"/>
      <c r="I756" s="911"/>
      <c r="J756" s="911"/>
      <c r="K756" s="911"/>
      <c r="L756" s="911"/>
      <c r="M756" s="911"/>
      <c r="N756" s="911"/>
      <c r="O756" s="911"/>
      <c r="P756" s="911"/>
      <c r="FY756" s="784"/>
      <c r="FZ756" s="784"/>
      <c r="GA756" s="784"/>
      <c r="GB756" s="784"/>
      <c r="GC756" s="784"/>
      <c r="GD756" s="784"/>
      <c r="GE756" s="784"/>
      <c r="GF756" s="784"/>
      <c r="GG756" s="784"/>
      <c r="GH756" s="784"/>
      <c r="GI756" s="784"/>
      <c r="GJ756" s="784"/>
      <c r="GK756" s="784"/>
      <c r="GL756" s="784"/>
      <c r="GM756" s="784"/>
      <c r="GN756" s="784"/>
      <c r="GO756" s="784"/>
      <c r="GV756" s="788"/>
      <c r="HL756" s="788"/>
      <c r="HM756" s="788"/>
    </row>
    <row r="757" spans="2:221" ht="15.6" customHeight="1">
      <c r="B757" s="909" t="s">
        <v>3397</v>
      </c>
      <c r="G757" s="912"/>
      <c r="T757" s="583" t="str">
        <f>B757</f>
        <v>NOT Included in Mgt Fee:</v>
      </c>
      <c r="FY757" s="784"/>
      <c r="FZ757" s="784"/>
      <c r="GA757" s="784"/>
      <c r="GB757" s="784"/>
      <c r="GC757" s="784"/>
      <c r="GD757" s="784"/>
      <c r="GE757" s="784"/>
      <c r="GF757" s="784"/>
      <c r="GG757" s="784"/>
      <c r="GH757" s="784"/>
      <c r="GI757" s="784"/>
      <c r="GJ757" s="784"/>
      <c r="GK757" s="784"/>
      <c r="GL757" s="784"/>
      <c r="GM757" s="784"/>
      <c r="GN757" s="784"/>
      <c r="GO757" s="784"/>
      <c r="GV757" s="788"/>
      <c r="HL757" s="788"/>
      <c r="HM757" s="788"/>
    </row>
    <row r="758" spans="2:221" ht="15" customHeight="1">
      <c r="B758" s="580" t="s">
        <v>561</v>
      </c>
      <c r="G758" s="1058">
        <f>'Part VI-Revenues &amp; Expenses'!G124</f>
        <v>0</v>
      </c>
      <c r="H758" s="1058">
        <f>'Part VI-Revenues &amp; Expenses'!H124</f>
        <v>0</v>
      </c>
      <c r="I758" s="1058">
        <f>'Part VI-Revenues &amp; Expenses'!I124</f>
        <v>0</v>
      </c>
      <c r="J758" s="1058">
        <f>'Part VI-Revenues &amp; Expenses'!J124</f>
        <v>0</v>
      </c>
      <c r="K758" s="1058">
        <f>'Part VI-Revenues &amp; Expenses'!K124</f>
        <v>0</v>
      </c>
      <c r="L758" s="1058">
        <f>'Part VI-Revenues &amp; Expenses'!L124</f>
        <v>0</v>
      </c>
      <c r="M758" s="1058">
        <f>'Part VI-Revenues &amp; Expenses'!M124</f>
        <v>0</v>
      </c>
      <c r="N758" s="1058">
        <f>'Part VI-Revenues &amp; Expenses'!N124</f>
        <v>0</v>
      </c>
      <c r="O758" s="1058">
        <f>'Part VI-Revenues &amp; Expenses'!O124</f>
        <v>0</v>
      </c>
      <c r="P758" s="1058">
        <f>'Part VI-Revenues &amp; Expenses'!P124</f>
        <v>0</v>
      </c>
      <c r="T758" s="2130"/>
      <c r="U758" s="2130"/>
      <c r="FY758" s="784"/>
      <c r="FZ758" s="784"/>
      <c r="GA758" s="784"/>
      <c r="GB758" s="784"/>
      <c r="GC758" s="784"/>
      <c r="GD758" s="784"/>
      <c r="GE758" s="784"/>
      <c r="GF758" s="784"/>
      <c r="GG758" s="784"/>
      <c r="GH758" s="784"/>
      <c r="GI758" s="784"/>
      <c r="GJ758" s="784"/>
      <c r="GK758" s="784"/>
      <c r="GL758" s="784"/>
      <c r="GM758" s="784"/>
      <c r="GN758" s="784"/>
      <c r="GO758" s="784"/>
      <c r="GV758" s="788"/>
      <c r="HL758" s="788"/>
      <c r="HM758" s="788"/>
    </row>
    <row r="759" spans="2:221" ht="15" customHeight="1">
      <c r="B759" s="580" t="s">
        <v>785</v>
      </c>
      <c r="C759" s="2175">
        <f>'Part VI-Revenues &amp; Expenses'!C125</f>
        <v>0</v>
      </c>
      <c r="D759" s="2175"/>
      <c r="E759" s="2175"/>
      <c r="F759" s="2175"/>
      <c r="G759" s="1058">
        <f>'Part VI-Revenues &amp; Expenses'!G125</f>
        <v>0</v>
      </c>
      <c r="H759" s="1058">
        <f>'Part VI-Revenues &amp; Expenses'!H125</f>
        <v>0</v>
      </c>
      <c r="I759" s="1058">
        <f>'Part VI-Revenues &amp; Expenses'!I125</f>
        <v>0</v>
      </c>
      <c r="J759" s="1058">
        <f>'Part VI-Revenues &amp; Expenses'!J125</f>
        <v>0</v>
      </c>
      <c r="K759" s="1058">
        <f>'Part VI-Revenues &amp; Expenses'!K125</f>
        <v>0</v>
      </c>
      <c r="L759" s="1058">
        <f>'Part VI-Revenues &amp; Expenses'!L125</f>
        <v>0</v>
      </c>
      <c r="M759" s="1058">
        <f>'Part VI-Revenues &amp; Expenses'!M125</f>
        <v>0</v>
      </c>
      <c r="N759" s="1058">
        <f>'Part VI-Revenues &amp; Expenses'!N125</f>
        <v>0</v>
      </c>
      <c r="O759" s="1058">
        <f>'Part VI-Revenues &amp; Expenses'!O125</f>
        <v>0</v>
      </c>
      <c r="P759" s="1058">
        <f>'Part VI-Revenues &amp; Expenses'!P125</f>
        <v>0</v>
      </c>
      <c r="T759" s="2130"/>
      <c r="U759" s="2130"/>
      <c r="FY759" s="784"/>
      <c r="FZ759" s="784"/>
      <c r="GA759" s="784"/>
      <c r="GB759" s="784"/>
      <c r="GC759" s="784"/>
      <c r="GD759" s="784"/>
      <c r="GE759" s="784"/>
      <c r="GF759" s="784"/>
      <c r="GG759" s="784"/>
      <c r="GH759" s="784"/>
      <c r="GI759" s="784"/>
      <c r="GJ759" s="784"/>
      <c r="GK759" s="784"/>
      <c r="GL759" s="784"/>
      <c r="GM759" s="784"/>
      <c r="GN759" s="784"/>
      <c r="GO759" s="784"/>
      <c r="GV759" s="788"/>
      <c r="HL759" s="788"/>
      <c r="HM759" s="788"/>
    </row>
    <row r="760" spans="2:221" ht="15" customHeight="1">
      <c r="C760" s="781" t="s">
        <v>3398</v>
      </c>
      <c r="G760" s="911">
        <f t="shared" ref="G760:P760" si="220">SUM(G758:G759)</f>
        <v>0</v>
      </c>
      <c r="H760" s="911">
        <f t="shared" si="220"/>
        <v>0</v>
      </c>
      <c r="I760" s="911">
        <f t="shared" si="220"/>
        <v>0</v>
      </c>
      <c r="J760" s="911">
        <f t="shared" si="220"/>
        <v>0</v>
      </c>
      <c r="K760" s="911">
        <f t="shared" si="220"/>
        <v>0</v>
      </c>
      <c r="L760" s="911">
        <f t="shared" si="220"/>
        <v>0</v>
      </c>
      <c r="M760" s="911">
        <f t="shared" si="220"/>
        <v>0</v>
      </c>
      <c r="N760" s="911">
        <f t="shared" si="220"/>
        <v>0</v>
      </c>
      <c r="O760" s="911">
        <f t="shared" si="220"/>
        <v>0</v>
      </c>
      <c r="P760" s="911">
        <f t="shared" si="220"/>
        <v>0</v>
      </c>
      <c r="T760" s="2130"/>
      <c r="U760" s="2130"/>
      <c r="FY760" s="784"/>
      <c r="FZ760" s="784"/>
      <c r="GA760" s="784"/>
      <c r="GB760" s="784"/>
      <c r="GC760" s="784"/>
      <c r="GD760" s="784"/>
      <c r="GE760" s="784"/>
      <c r="GF760" s="784"/>
      <c r="GG760" s="784"/>
      <c r="GH760" s="784"/>
      <c r="GI760" s="784"/>
      <c r="GJ760" s="784"/>
      <c r="GK760" s="784"/>
      <c r="GL760" s="784"/>
      <c r="GM760" s="784"/>
      <c r="GN760" s="784"/>
      <c r="GO760" s="784"/>
      <c r="GV760" s="788"/>
      <c r="HL760" s="788"/>
      <c r="HM760" s="788"/>
    </row>
    <row r="761" spans="2:221" ht="42.6" customHeight="1">
      <c r="B761" s="788"/>
      <c r="G761" s="912"/>
      <c r="T761" s="887" t="s">
        <v>2797</v>
      </c>
      <c r="FY761" s="784"/>
      <c r="FZ761" s="784"/>
      <c r="GA761" s="784"/>
      <c r="GB761" s="784"/>
      <c r="GC761" s="784"/>
      <c r="GD761" s="784"/>
      <c r="GE761" s="784"/>
      <c r="GF761" s="784"/>
      <c r="GG761" s="784"/>
      <c r="GH761" s="784"/>
      <c r="GI761" s="784"/>
      <c r="GJ761" s="784"/>
      <c r="GK761" s="784"/>
      <c r="GL761" s="784"/>
      <c r="GM761" s="784"/>
      <c r="GN761" s="784"/>
      <c r="GO761" s="784"/>
      <c r="GV761" s="788"/>
      <c r="HL761" s="788"/>
      <c r="HM761" s="788"/>
    </row>
    <row r="762" spans="2:221" ht="13.9" customHeight="1">
      <c r="B762" s="909" t="s">
        <v>2426</v>
      </c>
      <c r="G762" s="910">
        <v>21</v>
      </c>
      <c r="H762" s="910">
        <v>22</v>
      </c>
      <c r="I762" s="910">
        <v>23</v>
      </c>
      <c r="J762" s="910">
        <v>24</v>
      </c>
      <c r="K762" s="910">
        <v>25</v>
      </c>
      <c r="L762" s="910">
        <v>26</v>
      </c>
      <c r="M762" s="910">
        <v>27</v>
      </c>
      <c r="N762" s="910">
        <v>28</v>
      </c>
      <c r="O762" s="910">
        <v>29</v>
      </c>
      <c r="P762" s="910">
        <v>30</v>
      </c>
      <c r="T762" s="583" t="str">
        <f>B762</f>
        <v>Included in Mgt Fee:</v>
      </c>
      <c r="FY762" s="784"/>
      <c r="FZ762" s="784"/>
      <c r="GA762" s="784"/>
      <c r="GB762" s="784"/>
      <c r="GC762" s="784"/>
      <c r="GD762" s="784"/>
      <c r="GE762" s="784"/>
      <c r="GF762" s="784"/>
      <c r="GG762" s="784"/>
      <c r="GH762" s="784"/>
      <c r="GI762" s="784"/>
      <c r="GJ762" s="784"/>
      <c r="GK762" s="784"/>
      <c r="GL762" s="784"/>
      <c r="GM762" s="784"/>
      <c r="GN762" s="784"/>
      <c r="GO762" s="784"/>
      <c r="GV762" s="788"/>
      <c r="HL762" s="788"/>
      <c r="HM762" s="788"/>
    </row>
    <row r="763" spans="2:221" ht="15" customHeight="1">
      <c r="B763" s="580" t="s">
        <v>1073</v>
      </c>
      <c r="G763" s="1058">
        <f>'Part VI-Revenues &amp; Expenses'!G129</f>
        <v>0</v>
      </c>
      <c r="H763" s="1058">
        <f>'Part VI-Revenues &amp; Expenses'!H129</f>
        <v>0</v>
      </c>
      <c r="I763" s="1058">
        <f>'Part VI-Revenues &amp; Expenses'!I129</f>
        <v>0</v>
      </c>
      <c r="J763" s="1058">
        <f>'Part VI-Revenues &amp; Expenses'!J129</f>
        <v>0</v>
      </c>
      <c r="K763" s="1058">
        <f>'Part VI-Revenues &amp; Expenses'!K129</f>
        <v>0</v>
      </c>
      <c r="L763" s="1058">
        <f>'Part VI-Revenues &amp; Expenses'!L129</f>
        <v>0</v>
      </c>
      <c r="M763" s="1058">
        <f>'Part VI-Revenues &amp; Expenses'!M129</f>
        <v>0</v>
      </c>
      <c r="N763" s="1058">
        <f>'Part VI-Revenues &amp; Expenses'!N129</f>
        <v>0</v>
      </c>
      <c r="O763" s="1058">
        <f>'Part VI-Revenues &amp; Expenses'!O129</f>
        <v>0</v>
      </c>
      <c r="P763" s="1058">
        <f>'Part VI-Revenues &amp; Expenses'!P129</f>
        <v>0</v>
      </c>
      <c r="T763" s="2130"/>
      <c r="U763" s="2130"/>
      <c r="FY763" s="784"/>
      <c r="FZ763" s="784"/>
      <c r="GA763" s="784"/>
      <c r="GB763" s="784"/>
      <c r="GC763" s="784"/>
      <c r="GD763" s="784"/>
      <c r="GE763" s="784"/>
      <c r="GF763" s="784"/>
      <c r="GG763" s="784"/>
      <c r="GH763" s="784"/>
      <c r="GI763" s="784"/>
      <c r="GJ763" s="784"/>
      <c r="GK763" s="784"/>
      <c r="GL763" s="784"/>
      <c r="GM763" s="784"/>
      <c r="GN763" s="784"/>
      <c r="GO763" s="784"/>
      <c r="GV763" s="788"/>
      <c r="HL763" s="788"/>
      <c r="HM763" s="788"/>
    </row>
    <row r="764" spans="2:221" ht="15" customHeight="1">
      <c r="B764" s="580" t="s">
        <v>785</v>
      </c>
      <c r="C764" s="2175">
        <f>'Part VI-Revenues &amp; Expenses'!C130</f>
        <v>0</v>
      </c>
      <c r="D764" s="2175"/>
      <c r="E764" s="2175"/>
      <c r="F764" s="2175"/>
      <c r="G764" s="1058">
        <f>'Part VI-Revenues &amp; Expenses'!G130</f>
        <v>0</v>
      </c>
      <c r="H764" s="1058">
        <f>'Part VI-Revenues &amp; Expenses'!H130</f>
        <v>0</v>
      </c>
      <c r="I764" s="1058">
        <f>'Part VI-Revenues &amp; Expenses'!I130</f>
        <v>0</v>
      </c>
      <c r="J764" s="1058">
        <f>'Part VI-Revenues &amp; Expenses'!J130</f>
        <v>0</v>
      </c>
      <c r="K764" s="1058">
        <f>'Part VI-Revenues &amp; Expenses'!K130</f>
        <v>0</v>
      </c>
      <c r="L764" s="1058">
        <f>'Part VI-Revenues &amp; Expenses'!L130</f>
        <v>0</v>
      </c>
      <c r="M764" s="1058">
        <f>'Part VI-Revenues &amp; Expenses'!M130</f>
        <v>0</v>
      </c>
      <c r="N764" s="1058">
        <f>'Part VI-Revenues &amp; Expenses'!N130</f>
        <v>0</v>
      </c>
      <c r="O764" s="1058">
        <f>'Part VI-Revenues &amp; Expenses'!O130</f>
        <v>0</v>
      </c>
      <c r="P764" s="1058">
        <f>'Part VI-Revenues &amp; Expenses'!P130</f>
        <v>0</v>
      </c>
      <c r="T764" s="2130"/>
      <c r="U764" s="2130"/>
      <c r="FY764" s="784"/>
      <c r="FZ764" s="784"/>
      <c r="GA764" s="784"/>
      <c r="GB764" s="784"/>
      <c r="GC764" s="784"/>
      <c r="GD764" s="784"/>
      <c r="GE764" s="784"/>
      <c r="GF764" s="784"/>
      <c r="GG764" s="784"/>
      <c r="GH764" s="784"/>
      <c r="GI764" s="784"/>
      <c r="GJ764" s="784"/>
      <c r="GK764" s="784"/>
      <c r="GL764" s="784"/>
      <c r="GM764" s="784"/>
      <c r="GN764" s="784"/>
      <c r="GO764" s="784"/>
      <c r="GV764" s="788"/>
      <c r="HL764" s="788"/>
      <c r="HM764" s="788"/>
    </row>
    <row r="765" spans="2:221" ht="15" customHeight="1">
      <c r="C765" s="781" t="s">
        <v>978</v>
      </c>
      <c r="G765" s="911">
        <f t="shared" ref="G765:P765" si="221">SUM(G763:G764)</f>
        <v>0</v>
      </c>
      <c r="H765" s="911">
        <f t="shared" si="221"/>
        <v>0</v>
      </c>
      <c r="I765" s="911">
        <f t="shared" si="221"/>
        <v>0</v>
      </c>
      <c r="J765" s="911">
        <f t="shared" si="221"/>
        <v>0</v>
      </c>
      <c r="K765" s="911">
        <f t="shared" si="221"/>
        <v>0</v>
      </c>
      <c r="L765" s="911">
        <f t="shared" si="221"/>
        <v>0</v>
      </c>
      <c r="M765" s="911">
        <f t="shared" si="221"/>
        <v>0</v>
      </c>
      <c r="N765" s="911">
        <f t="shared" si="221"/>
        <v>0</v>
      </c>
      <c r="O765" s="911">
        <f t="shared" si="221"/>
        <v>0</v>
      </c>
      <c r="P765" s="911">
        <f t="shared" si="221"/>
        <v>0</v>
      </c>
      <c r="T765" s="2130"/>
      <c r="U765" s="2130"/>
      <c r="FY765" s="784"/>
      <c r="FZ765" s="784"/>
      <c r="GA765" s="784"/>
      <c r="GB765" s="784"/>
      <c r="GC765" s="784"/>
      <c r="GD765" s="784"/>
      <c r="GE765" s="784"/>
      <c r="GF765" s="784"/>
      <c r="GG765" s="784"/>
      <c r="GH765" s="784"/>
      <c r="GI765" s="784"/>
      <c r="GJ765" s="784"/>
      <c r="GK765" s="784"/>
      <c r="GL765" s="784"/>
      <c r="GM765" s="784"/>
      <c r="GN765" s="784"/>
      <c r="GO765" s="784"/>
      <c r="GV765" s="788"/>
      <c r="HL765" s="788"/>
      <c r="HM765" s="788"/>
    </row>
    <row r="766" spans="2:221" ht="6.6" customHeight="1">
      <c r="C766" s="781"/>
      <c r="G766" s="911"/>
      <c r="H766" s="911"/>
      <c r="I766" s="911"/>
      <c r="J766" s="911"/>
      <c r="K766" s="911"/>
      <c r="L766" s="911"/>
      <c r="M766" s="911"/>
      <c r="N766" s="911"/>
      <c r="O766" s="911"/>
      <c r="P766" s="911"/>
      <c r="FY766" s="784"/>
      <c r="FZ766" s="784"/>
      <c r="GA766" s="784"/>
      <c r="GB766" s="784"/>
      <c r="GC766" s="784"/>
      <c r="GD766" s="784"/>
      <c r="GE766" s="784"/>
      <c r="GF766" s="784"/>
      <c r="GG766" s="784"/>
      <c r="GH766" s="784"/>
      <c r="GI766" s="784"/>
      <c r="GJ766" s="784"/>
      <c r="GK766" s="784"/>
      <c r="GL766" s="784"/>
      <c r="GM766" s="784"/>
      <c r="GN766" s="784"/>
      <c r="GO766" s="784"/>
      <c r="GV766" s="788"/>
      <c r="HL766" s="788"/>
      <c r="HM766" s="788"/>
    </row>
    <row r="767" spans="2:221" ht="15" customHeight="1">
      <c r="B767" s="909" t="s">
        <v>3397</v>
      </c>
      <c r="G767" s="912"/>
      <c r="T767" s="583" t="str">
        <f>B767</f>
        <v>NOT Included in Mgt Fee:</v>
      </c>
      <c r="FY767" s="784"/>
      <c r="FZ767" s="784"/>
      <c r="GA767" s="784"/>
      <c r="GB767" s="784"/>
      <c r="GC767" s="784"/>
      <c r="GD767" s="784"/>
      <c r="GE767" s="784"/>
      <c r="GF767" s="784"/>
      <c r="GG767" s="784"/>
      <c r="GH767" s="784"/>
      <c r="GI767" s="784"/>
      <c r="GJ767" s="784"/>
      <c r="GK767" s="784"/>
      <c r="GL767" s="784"/>
      <c r="GM767" s="784"/>
      <c r="GN767" s="784"/>
      <c r="GO767" s="784"/>
      <c r="GV767" s="788"/>
      <c r="HL767" s="788"/>
      <c r="HM767" s="788"/>
    </row>
    <row r="768" spans="2:221" ht="15" customHeight="1">
      <c r="B768" s="580" t="s">
        <v>561</v>
      </c>
      <c r="G768" s="1058">
        <f>'Part VI-Revenues &amp; Expenses'!G134</f>
        <v>0</v>
      </c>
      <c r="H768" s="1058">
        <f>'Part VI-Revenues &amp; Expenses'!H134</f>
        <v>0</v>
      </c>
      <c r="I768" s="1058">
        <f>'Part VI-Revenues &amp; Expenses'!I134</f>
        <v>0</v>
      </c>
      <c r="J768" s="1058">
        <f>'Part VI-Revenues &amp; Expenses'!J134</f>
        <v>0</v>
      </c>
      <c r="K768" s="1058">
        <f>'Part VI-Revenues &amp; Expenses'!K134</f>
        <v>0</v>
      </c>
      <c r="L768" s="1058">
        <f>'Part VI-Revenues &amp; Expenses'!L134</f>
        <v>0</v>
      </c>
      <c r="M768" s="1058">
        <f>'Part VI-Revenues &amp; Expenses'!M134</f>
        <v>0</v>
      </c>
      <c r="N768" s="1058">
        <f>'Part VI-Revenues &amp; Expenses'!N134</f>
        <v>0</v>
      </c>
      <c r="O768" s="1058">
        <f>'Part VI-Revenues &amp; Expenses'!O134</f>
        <v>0</v>
      </c>
      <c r="P768" s="1058">
        <f>'Part VI-Revenues &amp; Expenses'!P134</f>
        <v>0</v>
      </c>
      <c r="T768" s="2130"/>
      <c r="U768" s="2130"/>
      <c r="FY768" s="784"/>
      <c r="FZ768" s="784"/>
      <c r="GA768" s="784"/>
      <c r="GB768" s="784"/>
      <c r="GC768" s="784"/>
      <c r="GD768" s="784"/>
      <c r="GE768" s="784"/>
      <c r="GF768" s="784"/>
      <c r="GG768" s="784"/>
      <c r="GH768" s="784"/>
      <c r="GI768" s="784"/>
      <c r="GJ768" s="784"/>
      <c r="GK768" s="784"/>
      <c r="GL768" s="784"/>
      <c r="GM768" s="784"/>
      <c r="GN768" s="784"/>
      <c r="GO768" s="784"/>
      <c r="GV768" s="788"/>
      <c r="HL768" s="788"/>
      <c r="HM768" s="788"/>
    </row>
    <row r="769" spans="1:221" ht="15" customHeight="1">
      <c r="B769" s="580" t="s">
        <v>785</v>
      </c>
      <c r="C769" s="2175">
        <f>'Part VI-Revenues &amp; Expenses'!C135</f>
        <v>0</v>
      </c>
      <c r="D769" s="2175"/>
      <c r="E769" s="2175"/>
      <c r="F769" s="2175"/>
      <c r="G769" s="1058">
        <f>'Part VI-Revenues &amp; Expenses'!G135</f>
        <v>0</v>
      </c>
      <c r="H769" s="1058">
        <f>'Part VI-Revenues &amp; Expenses'!H135</f>
        <v>0</v>
      </c>
      <c r="I769" s="1058">
        <f>'Part VI-Revenues &amp; Expenses'!I135</f>
        <v>0</v>
      </c>
      <c r="J769" s="1058">
        <f>'Part VI-Revenues &amp; Expenses'!J135</f>
        <v>0</v>
      </c>
      <c r="K769" s="1058">
        <f>'Part VI-Revenues &amp; Expenses'!K135</f>
        <v>0</v>
      </c>
      <c r="L769" s="1058">
        <f>'Part VI-Revenues &amp; Expenses'!L135</f>
        <v>0</v>
      </c>
      <c r="M769" s="1058">
        <f>'Part VI-Revenues &amp; Expenses'!M135</f>
        <v>0</v>
      </c>
      <c r="N769" s="1058">
        <f>'Part VI-Revenues &amp; Expenses'!N135</f>
        <v>0</v>
      </c>
      <c r="O769" s="1058">
        <f>'Part VI-Revenues &amp; Expenses'!O135</f>
        <v>0</v>
      </c>
      <c r="P769" s="1058">
        <f>'Part VI-Revenues &amp; Expenses'!P135</f>
        <v>0</v>
      </c>
      <c r="T769" s="2130"/>
      <c r="U769" s="2130"/>
      <c r="FY769" s="784"/>
      <c r="FZ769" s="784"/>
      <c r="GA769" s="784"/>
      <c r="GB769" s="784"/>
      <c r="GC769" s="784"/>
      <c r="GD769" s="784"/>
      <c r="GE769" s="784"/>
      <c r="GF769" s="784"/>
      <c r="GG769" s="784"/>
      <c r="GH769" s="784"/>
      <c r="GI769" s="784"/>
      <c r="GJ769" s="784"/>
      <c r="GK769" s="784"/>
      <c r="GL769" s="784"/>
      <c r="GM769" s="784"/>
      <c r="GN769" s="784"/>
      <c r="GO769" s="784"/>
      <c r="GV769" s="788"/>
      <c r="HL769" s="788"/>
      <c r="HM769" s="788"/>
    </row>
    <row r="770" spans="1:221" ht="15" customHeight="1">
      <c r="C770" s="781" t="s">
        <v>3398</v>
      </c>
      <c r="G770" s="911">
        <f t="shared" ref="G770:P770" si="222">SUM(G768:G769)</f>
        <v>0</v>
      </c>
      <c r="H770" s="911">
        <f t="shared" si="222"/>
        <v>0</v>
      </c>
      <c r="I770" s="911">
        <f t="shared" si="222"/>
        <v>0</v>
      </c>
      <c r="J770" s="911">
        <f t="shared" si="222"/>
        <v>0</v>
      </c>
      <c r="K770" s="911">
        <f t="shared" si="222"/>
        <v>0</v>
      </c>
      <c r="L770" s="911">
        <f t="shared" si="222"/>
        <v>0</v>
      </c>
      <c r="M770" s="911">
        <f t="shared" si="222"/>
        <v>0</v>
      </c>
      <c r="N770" s="911">
        <f t="shared" si="222"/>
        <v>0</v>
      </c>
      <c r="O770" s="911">
        <f t="shared" si="222"/>
        <v>0</v>
      </c>
      <c r="P770" s="911">
        <f t="shared" si="222"/>
        <v>0</v>
      </c>
      <c r="T770" s="2130"/>
      <c r="U770" s="2130"/>
      <c r="FY770" s="784"/>
      <c r="FZ770" s="784"/>
      <c r="GA770" s="784"/>
      <c r="GB770" s="784"/>
      <c r="GC770" s="784"/>
      <c r="GD770" s="784"/>
      <c r="GE770" s="784"/>
      <c r="GF770" s="784"/>
      <c r="GG770" s="784"/>
      <c r="GH770" s="784"/>
      <c r="GI770" s="784"/>
      <c r="GJ770" s="784"/>
      <c r="GK770" s="784"/>
      <c r="GL770" s="784"/>
      <c r="GM770" s="784"/>
      <c r="GN770" s="784"/>
      <c r="GO770" s="784"/>
      <c r="GV770" s="788"/>
      <c r="HL770" s="788"/>
      <c r="HM770" s="788"/>
    </row>
    <row r="771" spans="1:221" ht="9.6" customHeight="1">
      <c r="B771" s="788"/>
      <c r="F771" s="912"/>
      <c r="G771" s="912"/>
      <c r="FY771" s="784"/>
      <c r="FZ771" s="784"/>
      <c r="GA771" s="784"/>
      <c r="GB771" s="784"/>
      <c r="GC771" s="784"/>
      <c r="GD771" s="784"/>
      <c r="GE771" s="784"/>
      <c r="GF771" s="784"/>
      <c r="GG771" s="784"/>
      <c r="GH771" s="784"/>
      <c r="GI771" s="784"/>
      <c r="GJ771" s="784"/>
      <c r="GK771" s="784"/>
      <c r="GL771" s="784"/>
      <c r="GM771" s="784"/>
      <c r="GN771" s="784"/>
      <c r="GO771" s="784"/>
      <c r="GV771" s="788"/>
      <c r="HL771" s="788"/>
      <c r="HM771" s="788"/>
    </row>
    <row r="772" spans="1:221" s="583" customFormat="1" ht="11.25" customHeight="1">
      <c r="A772" s="586" t="s">
        <v>1907</v>
      </c>
      <c r="B772" s="885" t="s">
        <v>1075</v>
      </c>
      <c r="C772" s="885"/>
      <c r="D772" s="885"/>
      <c r="E772" s="885"/>
      <c r="F772" s="885"/>
      <c r="G772" s="885"/>
      <c r="H772" s="885"/>
      <c r="I772" s="885"/>
      <c r="J772" s="885"/>
      <c r="K772" s="885"/>
      <c r="M772" s="896"/>
      <c r="N772" s="780"/>
      <c r="O772" s="780"/>
      <c r="T772" s="586" t="str">
        <f>B772</f>
        <v>ANNUAL OPERATING EXPENSE BUDGET</v>
      </c>
      <c r="U772" s="580"/>
      <c r="V772" s="580"/>
      <c r="W772" s="580"/>
      <c r="X772" s="580"/>
      <c r="FY772" s="780"/>
      <c r="FZ772" s="780"/>
      <c r="GA772" s="780"/>
      <c r="GB772" s="780"/>
      <c r="GC772" s="780"/>
      <c r="GD772" s="780"/>
      <c r="GE772" s="780"/>
      <c r="GF772" s="780"/>
      <c r="GG772" s="780"/>
      <c r="GH772" s="780"/>
      <c r="GI772" s="780"/>
      <c r="GJ772" s="780"/>
      <c r="GK772" s="780"/>
      <c r="GL772" s="780"/>
      <c r="GM772" s="780"/>
      <c r="GN772" s="780"/>
      <c r="GO772" s="780"/>
      <c r="GV772" s="586"/>
      <c r="HL772" s="586"/>
      <c r="HM772" s="586"/>
    </row>
    <row r="773" spans="1:221" s="583" customFormat="1" ht="9" customHeight="1">
      <c r="B773" s="885"/>
      <c r="C773" s="885"/>
      <c r="D773" s="885"/>
      <c r="E773" s="885"/>
      <c r="F773" s="885"/>
      <c r="G773" s="885"/>
      <c r="H773" s="885"/>
      <c r="I773" s="885"/>
      <c r="J773" s="885"/>
      <c r="T773" s="2148" t="s">
        <v>1966</v>
      </c>
      <c r="U773" s="2148"/>
      <c r="FY773" s="780"/>
      <c r="FZ773" s="780"/>
      <c r="GA773" s="780"/>
      <c r="GB773" s="780"/>
      <c r="GC773" s="780"/>
      <c r="GD773" s="780"/>
      <c r="GE773" s="780"/>
      <c r="GF773" s="780"/>
      <c r="GG773" s="780"/>
      <c r="GH773" s="780"/>
      <c r="GI773" s="780"/>
      <c r="GJ773" s="780"/>
      <c r="GK773" s="780"/>
      <c r="GL773" s="780"/>
      <c r="GM773" s="780"/>
      <c r="GN773" s="780"/>
      <c r="GO773" s="780"/>
      <c r="GV773" s="586"/>
      <c r="HL773" s="586"/>
      <c r="HM773" s="586"/>
    </row>
    <row r="774" spans="1:221" s="583" customFormat="1" ht="13.15" customHeight="1">
      <c r="B774" s="586" t="s">
        <v>1370</v>
      </c>
      <c r="F774" s="580"/>
      <c r="G774" s="580"/>
      <c r="I774" s="586" t="s">
        <v>1458</v>
      </c>
      <c r="N774" s="586" t="s">
        <v>1457</v>
      </c>
      <c r="T774" s="2130"/>
      <c r="U774" s="2130"/>
      <c r="V774" s="580"/>
      <c r="W774" s="580"/>
      <c r="X774" s="580"/>
      <c r="FY774" s="780"/>
      <c r="FZ774" s="780"/>
      <c r="GA774" s="780"/>
      <c r="GB774" s="780"/>
      <c r="GC774" s="780"/>
      <c r="GD774" s="780"/>
      <c r="GE774" s="780"/>
      <c r="GF774" s="780"/>
      <c r="GG774" s="780"/>
      <c r="GH774" s="780"/>
      <c r="GI774" s="780"/>
      <c r="GJ774" s="780"/>
      <c r="GK774" s="780"/>
      <c r="GL774" s="780"/>
      <c r="GM774" s="780"/>
      <c r="GN774" s="780"/>
      <c r="GO774" s="780"/>
      <c r="GV774" s="586"/>
      <c r="HL774" s="586"/>
      <c r="HM774" s="586"/>
    </row>
    <row r="775" spans="1:221" s="583" customFormat="1" ht="15.6" customHeight="1">
      <c r="B775" s="583" t="s">
        <v>2329</v>
      </c>
      <c r="F775" s="2168">
        <f>'Part VI-Revenues &amp; Expenses'!F141</f>
        <v>51233</v>
      </c>
      <c r="G775" s="2168"/>
      <c r="I775" s="583" t="s">
        <v>1459</v>
      </c>
      <c r="K775" s="2168">
        <f>'Part VI-Revenues &amp; Expenses'!K141</f>
        <v>0</v>
      </c>
      <c r="L775" s="2168"/>
      <c r="N775" s="583" t="s">
        <v>979</v>
      </c>
      <c r="P775" s="914">
        <f>'Part VI-Revenues &amp; Expenses'!P141</f>
        <v>58800</v>
      </c>
      <c r="T775" s="2130"/>
      <c r="U775" s="2130"/>
      <c r="V775" s="580"/>
      <c r="W775" s="580"/>
      <c r="X775" s="580"/>
      <c r="FY775" s="780"/>
      <c r="FZ775" s="780"/>
      <c r="GA775" s="780"/>
      <c r="GB775" s="780"/>
      <c r="GC775" s="780"/>
      <c r="GD775" s="780"/>
      <c r="GE775" s="780"/>
      <c r="GF775" s="780"/>
      <c r="GG775" s="780"/>
      <c r="GH775" s="780"/>
      <c r="GI775" s="780"/>
      <c r="GJ775" s="780"/>
      <c r="GK775" s="780"/>
      <c r="GL775" s="780"/>
      <c r="GM775" s="780"/>
      <c r="GN775" s="780"/>
      <c r="GO775" s="780"/>
      <c r="GV775" s="586"/>
      <c r="HL775" s="586"/>
      <c r="HM775" s="586"/>
    </row>
    <row r="776" spans="1:221" s="583" customFormat="1" ht="15.6" customHeight="1">
      <c r="B776" s="583" t="s">
        <v>1448</v>
      </c>
      <c r="F776" s="2168">
        <f>'Part VI-Revenues &amp; Expenses'!F142</f>
        <v>44744</v>
      </c>
      <c r="G776" s="2168"/>
      <c r="I776" s="583" t="s">
        <v>1460</v>
      </c>
      <c r="K776" s="2168">
        <f>'Part VI-Revenues &amp; Expenses'!K142</f>
        <v>600</v>
      </c>
      <c r="L776" s="2168"/>
      <c r="N776" s="583" t="s">
        <v>153</v>
      </c>
      <c r="P776" s="914">
        <f>'Part VI-Revenues &amp; Expenses'!P142</f>
        <v>19193</v>
      </c>
      <c r="T776" s="2130"/>
      <c r="U776" s="2130"/>
      <c r="V776" s="580"/>
      <c r="W776" s="580"/>
      <c r="X776" s="580"/>
      <c r="FY776" s="780"/>
      <c r="FZ776" s="780"/>
      <c r="GA776" s="780"/>
      <c r="GB776" s="780"/>
      <c r="GC776" s="780"/>
      <c r="GD776" s="780"/>
      <c r="GE776" s="780"/>
      <c r="GF776" s="780"/>
      <c r="GG776" s="780"/>
      <c r="GH776" s="780"/>
      <c r="GI776" s="780"/>
      <c r="GJ776" s="780"/>
      <c r="GK776" s="780"/>
      <c r="GL776" s="780"/>
      <c r="GM776" s="780"/>
      <c r="GN776" s="780"/>
      <c r="GO776" s="780"/>
      <c r="GV776" s="586"/>
      <c r="HL776" s="586"/>
      <c r="HM776" s="586"/>
    </row>
    <row r="777" spans="1:221" s="583" customFormat="1" ht="15.6" customHeight="1">
      <c r="B777" s="583" t="s">
        <v>1311</v>
      </c>
      <c r="F777" s="2168">
        <f>'Part VI-Revenues &amp; Expenses'!F143</f>
        <v>0</v>
      </c>
      <c r="G777" s="2168"/>
      <c r="J777" s="913" t="s">
        <v>199</v>
      </c>
      <c r="K777" s="2168">
        <f>SUM(K775:L776)</f>
        <v>600</v>
      </c>
      <c r="L777" s="2168"/>
      <c r="N777" s="2173">
        <f>'Part VI-Revenues &amp; Expenses'!N143</f>
        <v>0</v>
      </c>
      <c r="O777" s="2173"/>
      <c r="P777" s="914">
        <f>'Part VI-Revenues &amp; Expenses'!P143</f>
        <v>0</v>
      </c>
      <c r="T777" s="2130"/>
      <c r="U777" s="2130"/>
      <c r="V777" s="580"/>
      <c r="W777" s="580"/>
      <c r="X777" s="580"/>
      <c r="FY777" s="780"/>
      <c r="FZ777" s="780"/>
      <c r="GA777" s="780"/>
      <c r="GB777" s="780"/>
      <c r="GC777" s="780"/>
      <c r="GD777" s="780"/>
      <c r="GE777" s="780"/>
      <c r="GF777" s="780"/>
      <c r="GG777" s="780"/>
      <c r="GH777" s="780"/>
      <c r="GI777" s="780"/>
      <c r="GJ777" s="780"/>
      <c r="GK777" s="780"/>
      <c r="GL777" s="780"/>
      <c r="GM777" s="780"/>
      <c r="GN777" s="780"/>
      <c r="GO777" s="780"/>
      <c r="GV777" s="586"/>
      <c r="HL777" s="586"/>
      <c r="HM777" s="586"/>
    </row>
    <row r="778" spans="1:221" s="583" customFormat="1" ht="15.6" customHeight="1">
      <c r="B778" s="2172" t="str">
        <f>'Part VI-Revenues &amp; Expenses'!B144</f>
        <v>Misc. Administrative Costs</v>
      </c>
      <c r="C778" s="2172"/>
      <c r="D778" s="2172"/>
      <c r="E778" s="2172"/>
      <c r="F778" s="2168">
        <f>'Part VI-Revenues &amp; Expenses'!F144</f>
        <v>5000</v>
      </c>
      <c r="G778" s="2168"/>
      <c r="N778" s="913" t="s">
        <v>199</v>
      </c>
      <c r="P778" s="914">
        <f>SUM(P775:P777)</f>
        <v>77993</v>
      </c>
      <c r="T778" s="2130"/>
      <c r="U778" s="2130"/>
      <c r="V778" s="580"/>
      <c r="W778" s="580"/>
      <c r="X778" s="580"/>
      <c r="FY778" s="780"/>
      <c r="FZ778" s="780"/>
      <c r="GA778" s="780"/>
      <c r="GB778" s="780"/>
      <c r="GC778" s="780"/>
      <c r="GD778" s="780"/>
      <c r="GE778" s="780"/>
      <c r="GF778" s="780"/>
      <c r="GG778" s="780"/>
      <c r="GH778" s="780"/>
      <c r="GI778" s="780"/>
      <c r="GJ778" s="780"/>
      <c r="GK778" s="780"/>
      <c r="GL778" s="780"/>
      <c r="GM778" s="780"/>
      <c r="GN778" s="780"/>
      <c r="GO778" s="780"/>
      <c r="GV778" s="586"/>
      <c r="HL778" s="586"/>
      <c r="HM778" s="586"/>
    </row>
    <row r="779" spans="1:221" s="583" customFormat="1" ht="15.6" customHeight="1">
      <c r="C779" s="913" t="s">
        <v>199</v>
      </c>
      <c r="F779" s="2168">
        <f>SUM(F775:G778)</f>
        <v>100977</v>
      </c>
      <c r="G779" s="2168"/>
      <c r="J779" s="915"/>
      <c r="T779" s="2130"/>
      <c r="U779" s="2130"/>
      <c r="V779" s="580"/>
      <c r="W779" s="580"/>
      <c r="X779" s="580"/>
      <c r="FY779" s="780"/>
      <c r="FZ779" s="780"/>
      <c r="GA779" s="780"/>
      <c r="GB779" s="780"/>
      <c r="GC779" s="780"/>
      <c r="GD779" s="780"/>
      <c r="GE779" s="780"/>
      <c r="GF779" s="780"/>
      <c r="GG779" s="780"/>
      <c r="GH779" s="780"/>
      <c r="GI779" s="780"/>
      <c r="GJ779" s="780"/>
      <c r="GK779" s="780"/>
      <c r="GL779" s="780"/>
      <c r="GM779" s="780"/>
      <c r="GN779" s="780"/>
      <c r="GO779" s="780"/>
      <c r="GV779" s="586"/>
      <c r="HL779" s="586"/>
      <c r="HM779" s="586"/>
    </row>
    <row r="780" spans="1:221" s="583" customFormat="1" ht="6" customHeight="1">
      <c r="C780" s="586"/>
      <c r="D780" s="913"/>
      <c r="F780" s="915"/>
      <c r="G780" s="915"/>
      <c r="J780" s="915"/>
      <c r="M780" s="586"/>
      <c r="O780" s="913"/>
      <c r="T780" s="2130"/>
      <c r="U780" s="2130"/>
      <c r="FY780" s="780"/>
      <c r="FZ780" s="780"/>
      <c r="GA780" s="780"/>
      <c r="GB780" s="780"/>
      <c r="GC780" s="780"/>
      <c r="GD780" s="780"/>
      <c r="GE780" s="780"/>
      <c r="GF780" s="780"/>
      <c r="GG780" s="780"/>
      <c r="GH780" s="780"/>
      <c r="GI780" s="780"/>
      <c r="GJ780" s="780"/>
      <c r="GK780" s="780"/>
      <c r="GL780" s="780"/>
      <c r="GM780" s="780"/>
      <c r="GN780" s="780"/>
      <c r="GO780" s="780"/>
      <c r="GV780" s="586"/>
      <c r="HL780" s="586"/>
      <c r="HM780" s="586"/>
    </row>
    <row r="781" spans="1:221" s="583" customFormat="1" ht="13.15" customHeight="1">
      <c r="B781" s="586" t="s">
        <v>1371</v>
      </c>
      <c r="D781" s="916"/>
      <c r="I781" s="586" t="s">
        <v>1372</v>
      </c>
      <c r="N781" s="586" t="s">
        <v>1461</v>
      </c>
      <c r="P781" s="917">
        <f>IF(OR('Part VII-Pro Forma'!$B$20 = "Choose Mgt Fee",'Part VII-Pro Forma'!$B$20 = "Choose One!"), 0,- 'Part VII-Pro Forma'!$B$20)</f>
        <v>40320</v>
      </c>
      <c r="T781" s="2130"/>
      <c r="U781" s="2130"/>
      <c r="V781" s="580"/>
      <c r="W781" s="580"/>
      <c r="X781" s="580"/>
      <c r="FY781" s="780"/>
      <c r="FZ781" s="780"/>
      <c r="GA781" s="780"/>
      <c r="GB781" s="780"/>
      <c r="GC781" s="780"/>
      <c r="GD781" s="780"/>
      <c r="GE781" s="780"/>
      <c r="GF781" s="780"/>
      <c r="GG781" s="780"/>
      <c r="GH781" s="780"/>
      <c r="GI781" s="780"/>
      <c r="GJ781" s="780"/>
      <c r="GK781" s="780"/>
      <c r="GL781" s="780"/>
      <c r="GM781" s="780"/>
      <c r="GN781" s="780"/>
      <c r="GO781" s="780"/>
      <c r="GV781" s="586"/>
      <c r="HL781" s="586"/>
      <c r="HM781" s="586"/>
    </row>
    <row r="782" spans="1:221" s="583" customFormat="1" ht="15.6" customHeight="1">
      <c r="B782" s="583" t="s">
        <v>1453</v>
      </c>
      <c r="D782" s="916"/>
      <c r="F782" s="2168">
        <f>'Part VI-Revenues &amp; Expenses'!F148</f>
        <v>1750</v>
      </c>
      <c r="G782" s="2168"/>
      <c r="I782" s="583" t="s">
        <v>1702</v>
      </c>
      <c r="K782" s="2168">
        <f>'Part VI-Revenues &amp; Expenses'!K148</f>
        <v>500</v>
      </c>
      <c r="L782" s="2168"/>
      <c r="N782" s="918">
        <f>+P781/(M696*0.93)</f>
        <v>516.12903225806451</v>
      </c>
      <c r="O782" s="919" t="s">
        <v>3019</v>
      </c>
      <c r="T782" s="2130"/>
      <c r="U782" s="2130"/>
      <c r="V782" s="580"/>
      <c r="W782" s="580"/>
      <c r="X782" s="580"/>
      <c r="FY782" s="780"/>
      <c r="FZ782" s="780"/>
      <c r="GA782" s="780"/>
      <c r="GB782" s="780"/>
      <c r="GC782" s="780"/>
      <c r="GD782" s="780"/>
      <c r="GE782" s="780"/>
      <c r="GF782" s="780"/>
      <c r="GG782" s="780"/>
      <c r="GH782" s="780"/>
      <c r="GI782" s="780"/>
      <c r="GJ782" s="780"/>
      <c r="GK782" s="780"/>
      <c r="GL782" s="780"/>
      <c r="GM782" s="780"/>
      <c r="GN782" s="780"/>
      <c r="GO782" s="780"/>
      <c r="GV782" s="586"/>
      <c r="HL782" s="586"/>
      <c r="HM782" s="586"/>
    </row>
    <row r="783" spans="1:221" s="583" customFormat="1" ht="15.6" customHeight="1">
      <c r="B783" s="583" t="s">
        <v>1454</v>
      </c>
      <c r="D783" s="916"/>
      <c r="F783" s="2168">
        <f>'Part VI-Revenues &amp; Expenses'!F149</f>
        <v>7600</v>
      </c>
      <c r="G783" s="2168"/>
      <c r="I783" s="583" t="s">
        <v>2179</v>
      </c>
      <c r="K783" s="2168">
        <f>'Part VI-Revenues &amp; Expenses'!K149</f>
        <v>7000</v>
      </c>
      <c r="L783" s="2168"/>
      <c r="N783" s="918">
        <f>+P781/(M696*0.93)/12</f>
        <v>43.01075268817204</v>
      </c>
      <c r="O783" s="919" t="s">
        <v>3021</v>
      </c>
      <c r="T783" s="2130"/>
      <c r="U783" s="2130"/>
      <c r="V783" s="580"/>
      <c r="W783" s="580"/>
      <c r="X783" s="580"/>
      <c r="FY783" s="780"/>
      <c r="FZ783" s="780"/>
      <c r="GA783" s="780"/>
      <c r="GB783" s="780"/>
      <c r="GC783" s="780"/>
      <c r="GD783" s="780"/>
      <c r="GE783" s="780"/>
      <c r="GF783" s="780"/>
      <c r="GG783" s="780"/>
      <c r="GH783" s="780"/>
      <c r="GI783" s="780"/>
      <c r="GJ783" s="780"/>
      <c r="GK783" s="780"/>
      <c r="GL783" s="780"/>
      <c r="GM783" s="780"/>
      <c r="GN783" s="780"/>
      <c r="GO783" s="780"/>
      <c r="GV783" s="586"/>
      <c r="HL783" s="586"/>
      <c r="HM783" s="586"/>
    </row>
    <row r="784" spans="1:221" s="583" customFormat="1" ht="15.6" customHeight="1">
      <c r="B784" s="583" t="s">
        <v>1455</v>
      </c>
      <c r="D784" s="916"/>
      <c r="F784" s="2168">
        <f>'Part VI-Revenues &amp; Expenses'!F150</f>
        <v>0</v>
      </c>
      <c r="G784" s="2168"/>
      <c r="I784" s="583" t="s">
        <v>1703</v>
      </c>
      <c r="K784" s="2168">
        <f>'Part VI-Revenues &amp; Expenses'!K150</f>
        <v>2100</v>
      </c>
      <c r="L784" s="2168"/>
      <c r="T784" s="2130"/>
      <c r="U784" s="2130"/>
      <c r="V784" s="580"/>
      <c r="W784" s="580"/>
      <c r="X784" s="580"/>
      <c r="FY784" s="780"/>
      <c r="FZ784" s="780"/>
      <c r="GA784" s="780"/>
      <c r="GB784" s="780"/>
      <c r="GC784" s="780"/>
      <c r="GD784" s="780"/>
      <c r="GE784" s="780"/>
      <c r="GF784" s="780"/>
      <c r="GG784" s="780"/>
      <c r="GH784" s="780"/>
      <c r="GI784" s="780"/>
      <c r="GJ784" s="780"/>
      <c r="GK784" s="780"/>
      <c r="GL784" s="780"/>
      <c r="GM784" s="780"/>
      <c r="GN784" s="780"/>
      <c r="GO784" s="780"/>
      <c r="GV784" s="586"/>
      <c r="HL784" s="586"/>
      <c r="HM784" s="586"/>
    </row>
    <row r="785" spans="2:221" s="583" customFormat="1" ht="15.6" customHeight="1">
      <c r="B785" s="583" t="s">
        <v>2483</v>
      </c>
      <c r="D785" s="916"/>
      <c r="F785" s="2168">
        <f>'Part VI-Revenues &amp; Expenses'!F151</f>
        <v>0</v>
      </c>
      <c r="G785" s="2168"/>
      <c r="I785" s="2173" t="str">
        <f>'Part VI-Revenues &amp; Expenses'!I151</f>
        <v>Social Services</v>
      </c>
      <c r="J785" s="2173"/>
      <c r="K785" s="2168">
        <f>'Part VI-Revenues &amp; Expenses'!K151</f>
        <v>5760</v>
      </c>
      <c r="L785" s="2168"/>
      <c r="N785" s="2150" t="s">
        <v>2619</v>
      </c>
      <c r="O785" s="2150"/>
      <c r="P785" s="2150"/>
      <c r="T785" s="2130"/>
      <c r="U785" s="2130"/>
      <c r="V785" s="580"/>
      <c r="W785" s="580"/>
      <c r="X785" s="580"/>
      <c r="FY785" s="780"/>
      <c r="FZ785" s="780"/>
      <c r="GA785" s="780"/>
      <c r="GB785" s="780"/>
      <c r="GC785" s="780"/>
      <c r="GD785" s="780"/>
      <c r="GE785" s="780"/>
      <c r="GF785" s="780"/>
      <c r="GG785" s="780"/>
      <c r="GH785" s="780"/>
      <c r="GI785" s="780"/>
      <c r="GJ785" s="780"/>
      <c r="GK785" s="780"/>
      <c r="GL785" s="780"/>
      <c r="GM785" s="780"/>
      <c r="GN785" s="780"/>
      <c r="GO785" s="780"/>
      <c r="GV785" s="586"/>
      <c r="HL785" s="586"/>
      <c r="HM785" s="586"/>
    </row>
    <row r="786" spans="2:221" s="583" customFormat="1" ht="15.6" customHeight="1">
      <c r="B786" s="583" t="s">
        <v>1700</v>
      </c>
      <c r="D786" s="916"/>
      <c r="F786" s="2168">
        <f>'Part VI-Revenues &amp; Expenses'!F152</f>
        <v>0</v>
      </c>
      <c r="G786" s="2168"/>
      <c r="I786" s="586"/>
      <c r="J786" s="913" t="s">
        <v>199</v>
      </c>
      <c r="K786" s="2174">
        <f>SUM(K782:K785)</f>
        <v>15360</v>
      </c>
      <c r="L786" s="2174"/>
      <c r="N786" s="2150"/>
      <c r="O786" s="2150"/>
      <c r="P786" s="2150"/>
      <c r="T786" s="2130"/>
      <c r="U786" s="2130"/>
      <c r="V786" s="580"/>
      <c r="W786" s="580"/>
      <c r="X786" s="580"/>
      <c r="FY786" s="780"/>
      <c r="FZ786" s="780"/>
      <c r="GA786" s="780"/>
      <c r="GB786" s="780"/>
      <c r="GC786" s="780"/>
      <c r="GD786" s="780"/>
      <c r="GE786" s="780"/>
      <c r="GF786" s="780"/>
      <c r="GG786" s="780"/>
      <c r="GH786" s="780"/>
      <c r="GI786" s="780"/>
      <c r="GJ786" s="780"/>
      <c r="GK786" s="780"/>
      <c r="GL786" s="780"/>
      <c r="GM786" s="780"/>
      <c r="GN786" s="780"/>
      <c r="GO786" s="780"/>
      <c r="GV786" s="586"/>
      <c r="HL786" s="586"/>
      <c r="HM786" s="586"/>
    </row>
    <row r="787" spans="2:221" s="583" customFormat="1" ht="15.6" customHeight="1">
      <c r="B787" s="2172" t="str">
        <f>'Part VI-Revenues &amp; Expenses'!B153</f>
        <v>Other (describe here)</v>
      </c>
      <c r="C787" s="2172"/>
      <c r="D787" s="2172"/>
      <c r="E787" s="2172"/>
      <c r="F787" s="2168">
        <f>'Part VI-Revenues &amp; Expenses'!F153</f>
        <v>0</v>
      </c>
      <c r="G787" s="2168"/>
      <c r="J787" s="915"/>
      <c r="T787" s="2130"/>
      <c r="U787" s="2130"/>
      <c r="V787" s="580"/>
      <c r="W787" s="580"/>
      <c r="X787" s="580"/>
      <c r="FY787" s="780"/>
      <c r="FZ787" s="780"/>
      <c r="GA787" s="780"/>
      <c r="GB787" s="780"/>
      <c r="GC787" s="780"/>
      <c r="GD787" s="780"/>
      <c r="GE787" s="780"/>
      <c r="GF787" s="780"/>
      <c r="GG787" s="780"/>
      <c r="GH787" s="780"/>
      <c r="GI787" s="780"/>
      <c r="GJ787" s="780"/>
      <c r="GK787" s="780"/>
      <c r="GL787" s="780"/>
      <c r="GM787" s="780"/>
      <c r="GN787" s="780"/>
      <c r="GO787" s="780"/>
      <c r="GV787" s="586"/>
      <c r="HL787" s="586"/>
      <c r="HM787" s="586"/>
    </row>
    <row r="788" spans="2:221" s="583" customFormat="1" ht="15.6" customHeight="1">
      <c r="C788" s="913" t="s">
        <v>199</v>
      </c>
      <c r="F788" s="2168">
        <f>SUM(F782:G787)</f>
        <v>9350</v>
      </c>
      <c r="G788" s="2168"/>
      <c r="J788" s="915"/>
      <c r="T788" s="2130"/>
      <c r="U788" s="2130"/>
      <c r="V788" s="580"/>
      <c r="W788" s="580"/>
      <c r="X788" s="580"/>
      <c r="FY788" s="780"/>
      <c r="FZ788" s="780"/>
      <c r="GA788" s="780"/>
      <c r="GB788" s="780"/>
      <c r="GC788" s="780"/>
      <c r="GD788" s="780"/>
      <c r="GE788" s="780"/>
      <c r="GF788" s="780"/>
      <c r="GG788" s="780"/>
      <c r="GH788" s="780"/>
      <c r="GI788" s="780"/>
      <c r="GJ788" s="780"/>
      <c r="GK788" s="780"/>
      <c r="GL788" s="780"/>
      <c r="GM788" s="780"/>
      <c r="GN788" s="780"/>
      <c r="GO788" s="780"/>
      <c r="GV788" s="586"/>
      <c r="HL788" s="586"/>
      <c r="HM788" s="586"/>
    </row>
    <row r="789" spans="2:221" s="583" customFormat="1" ht="6" customHeight="1">
      <c r="D789" s="913"/>
      <c r="F789" s="915"/>
      <c r="G789" s="915"/>
      <c r="J789" s="915"/>
      <c r="T789" s="2130"/>
      <c r="U789" s="2130"/>
      <c r="FY789" s="780"/>
      <c r="FZ789" s="780"/>
      <c r="GA789" s="780"/>
      <c r="GB789" s="780"/>
      <c r="GC789" s="780"/>
      <c r="GD789" s="780"/>
      <c r="GE789" s="780"/>
      <c r="GF789" s="780"/>
      <c r="GG789" s="780"/>
      <c r="GH789" s="780"/>
      <c r="GI789" s="780"/>
      <c r="GJ789" s="780"/>
      <c r="GK789" s="780"/>
      <c r="GL789" s="780"/>
      <c r="GM789" s="780"/>
      <c r="GN789" s="780"/>
      <c r="GO789" s="780"/>
      <c r="GV789" s="586"/>
      <c r="HL789" s="586"/>
      <c r="HM789" s="586"/>
    </row>
    <row r="790" spans="2:221" s="583" customFormat="1" ht="13.15" customHeight="1">
      <c r="B790" s="586" t="s">
        <v>1373</v>
      </c>
      <c r="D790" s="916"/>
      <c r="I790" s="586" t="s">
        <v>1456</v>
      </c>
      <c r="J790" s="794" t="s">
        <v>3018</v>
      </c>
      <c r="N790" s="586" t="s">
        <v>2319</v>
      </c>
      <c r="T790" s="2130"/>
      <c r="U790" s="2130"/>
      <c r="V790" s="580"/>
      <c r="W790" s="580"/>
      <c r="X790" s="580"/>
      <c r="FY790" s="780"/>
      <c r="FZ790" s="780"/>
      <c r="GA790" s="780"/>
      <c r="GB790" s="780"/>
      <c r="GC790" s="780"/>
      <c r="GD790" s="780"/>
      <c r="GE790" s="780"/>
      <c r="GF790" s="780"/>
      <c r="GG790" s="780"/>
      <c r="GH790" s="780"/>
      <c r="GI790" s="780"/>
      <c r="GJ790" s="780"/>
      <c r="GK790" s="780"/>
      <c r="GL790" s="780"/>
      <c r="GM790" s="780"/>
      <c r="GN790" s="780"/>
      <c r="GO790" s="780"/>
      <c r="GV790" s="586"/>
      <c r="HL790" s="586"/>
      <c r="HM790" s="586"/>
    </row>
    <row r="791" spans="2:221" s="583" customFormat="1" ht="15.6" customHeight="1">
      <c r="B791" s="583" t="s">
        <v>1704</v>
      </c>
      <c r="D791" s="916"/>
      <c r="F791" s="2168">
        <f>'Part VI-Revenues &amp; Expenses'!F157</f>
        <v>0</v>
      </c>
      <c r="G791" s="2168"/>
      <c r="I791" s="583" t="s">
        <v>1449</v>
      </c>
      <c r="J791" s="800">
        <f>K791/12/M696</f>
        <v>26.785714285714285</v>
      </c>
      <c r="K791" s="2168">
        <f>'Part VI-Revenues &amp; Expenses'!K157</f>
        <v>27000</v>
      </c>
      <c r="L791" s="2168"/>
      <c r="N791" s="918">
        <f>+P791/M696</f>
        <v>4000</v>
      </c>
      <c r="O791" s="919" t="s">
        <v>3022</v>
      </c>
      <c r="P791" s="914">
        <f>F779+F788+F799+K777+K786+K796+P778+P781</f>
        <v>336000</v>
      </c>
      <c r="T791" s="2130"/>
      <c r="U791" s="2130"/>
      <c r="V791" s="580"/>
      <c r="W791" s="580"/>
      <c r="X791" s="580"/>
      <c r="FY791" s="780"/>
      <c r="FZ791" s="780"/>
      <c r="GA791" s="780"/>
      <c r="GB791" s="780"/>
      <c r="GC791" s="780"/>
      <c r="GD791" s="780"/>
      <c r="GE791" s="780"/>
      <c r="GF791" s="780"/>
      <c r="GG791" s="780"/>
      <c r="GH791" s="780"/>
      <c r="GI791" s="780"/>
      <c r="GJ791" s="780"/>
      <c r="GK791" s="780"/>
      <c r="GL791" s="780"/>
      <c r="GM791" s="780"/>
      <c r="GN791" s="780"/>
      <c r="GO791" s="780"/>
      <c r="GV791" s="586"/>
      <c r="HL791" s="586"/>
      <c r="HM791" s="586"/>
    </row>
    <row r="792" spans="2:221" s="583" customFormat="1" ht="15.6" customHeight="1">
      <c r="B792" s="583" t="s">
        <v>1705</v>
      </c>
      <c r="D792" s="916"/>
      <c r="F792" s="2168">
        <f>'Part VI-Revenues &amp; Expenses'!F158</f>
        <v>8400</v>
      </c>
      <c r="G792" s="2168"/>
      <c r="I792" s="583" t="s">
        <v>1450</v>
      </c>
      <c r="J792" s="800">
        <f>K792/12/M696</f>
        <v>0</v>
      </c>
      <c r="K792" s="2168">
        <f>'Part VI-Revenues &amp; Expenses'!K158</f>
        <v>0</v>
      </c>
      <c r="L792" s="2168"/>
      <c r="T792" s="2130"/>
      <c r="U792" s="2130"/>
      <c r="V792" s="580"/>
      <c r="W792" s="580"/>
      <c r="X792" s="580"/>
      <c r="FY792" s="780"/>
      <c r="FZ792" s="780"/>
      <c r="GA792" s="780"/>
      <c r="GB792" s="780"/>
      <c r="GC792" s="780"/>
      <c r="GD792" s="780"/>
      <c r="GE792" s="780"/>
      <c r="GF792" s="780"/>
      <c r="GG792" s="780"/>
      <c r="GH792" s="780"/>
      <c r="GI792" s="780"/>
      <c r="GJ792" s="780"/>
      <c r="GK792" s="780"/>
      <c r="GL792" s="780"/>
      <c r="GM792" s="780"/>
      <c r="GN792" s="780"/>
      <c r="GO792" s="780"/>
      <c r="GV792" s="586"/>
      <c r="HL792" s="586"/>
      <c r="HM792" s="586"/>
    </row>
    <row r="793" spans="2:221" s="583" customFormat="1" ht="15.6" customHeight="1">
      <c r="B793" s="583" t="s">
        <v>1706</v>
      </c>
      <c r="D793" s="916"/>
      <c r="F793" s="2168">
        <f>'Part VI-Revenues &amp; Expenses'!F159</f>
        <v>24000</v>
      </c>
      <c r="G793" s="2168"/>
      <c r="I793" s="583" t="s">
        <v>2497</v>
      </c>
      <c r="J793" s="800">
        <f>K793/12/M696</f>
        <v>7.8373015873015879</v>
      </c>
      <c r="K793" s="2168">
        <f>'Part VI-Revenues &amp; Expenses'!K159</f>
        <v>7900</v>
      </c>
      <c r="L793" s="2168"/>
      <c r="T793" s="2130"/>
      <c r="U793" s="2130"/>
      <c r="V793" s="580"/>
      <c r="W793" s="580"/>
      <c r="X793" s="580"/>
      <c r="FY793" s="780"/>
      <c r="FZ793" s="780"/>
      <c r="GA793" s="780"/>
      <c r="GB793" s="780"/>
      <c r="GC793" s="780"/>
      <c r="GD793" s="780"/>
      <c r="GE793" s="780"/>
      <c r="GF793" s="780"/>
      <c r="GG793" s="780"/>
      <c r="GH793" s="780"/>
      <c r="GI793" s="780"/>
      <c r="GJ793" s="780"/>
      <c r="GK793" s="780"/>
      <c r="GL793" s="780"/>
      <c r="GM793" s="780"/>
      <c r="GN793" s="780"/>
      <c r="GO793" s="780"/>
      <c r="GV793" s="586"/>
      <c r="HL793" s="586"/>
      <c r="HM793" s="586"/>
    </row>
    <row r="794" spans="2:221" s="583" customFormat="1" ht="15.6" customHeight="1">
      <c r="B794" s="583" t="s">
        <v>1057</v>
      </c>
      <c r="D794" s="916"/>
      <c r="F794" s="2168">
        <f>'Part VI-Revenues &amp; Expenses'!F160</f>
        <v>7500</v>
      </c>
      <c r="G794" s="2168"/>
      <c r="I794" s="583" t="s">
        <v>1452</v>
      </c>
      <c r="K794" s="2168">
        <f>'Part VI-Revenues &amp; Expenses'!K160</f>
        <v>3900</v>
      </c>
      <c r="L794" s="2168"/>
      <c r="N794" s="586" t="s">
        <v>1316</v>
      </c>
      <c r="O794" s="586"/>
      <c r="P794" s="917">
        <f>P795*M696</f>
        <v>21000</v>
      </c>
      <c r="T794" s="2130"/>
      <c r="U794" s="2130"/>
      <c r="V794" s="580"/>
      <c r="W794" s="580"/>
      <c r="X794" s="580"/>
      <c r="FY794" s="780"/>
      <c r="FZ794" s="780"/>
      <c r="GA794" s="780"/>
      <c r="GB794" s="780"/>
      <c r="GC794" s="780"/>
      <c r="GD794" s="780"/>
      <c r="GE794" s="780"/>
      <c r="GF794" s="780"/>
      <c r="GG794" s="780"/>
      <c r="GH794" s="780"/>
      <c r="GI794" s="780"/>
      <c r="GJ794" s="780"/>
      <c r="GK794" s="780"/>
      <c r="GL794" s="780"/>
      <c r="GM794" s="780"/>
      <c r="GN794" s="780"/>
      <c r="GO794" s="780"/>
      <c r="GV794" s="586"/>
      <c r="HL794" s="586"/>
      <c r="HM794" s="586"/>
    </row>
    <row r="795" spans="2:221" s="583" customFormat="1" ht="15.6" customHeight="1">
      <c r="B795" s="583" t="s">
        <v>1058</v>
      </c>
      <c r="D795" s="916"/>
      <c r="F795" s="2168">
        <f>'Part VI-Revenues &amp; Expenses'!F161</f>
        <v>8400</v>
      </c>
      <c r="G795" s="2168"/>
      <c r="I795" s="2173" t="str">
        <f>'Part VI-Revenues &amp; Expenses'!I161</f>
        <v>Cable TV/Internet</v>
      </c>
      <c r="J795" s="2173"/>
      <c r="K795" s="2168">
        <f>'Part VI-Revenues &amp; Expenses'!K161</f>
        <v>1200</v>
      </c>
      <c r="L795" s="2168"/>
      <c r="N795" s="919" t="s">
        <v>487</v>
      </c>
      <c r="P795" s="917">
        <f>'Part VI-Revenues &amp; Expenses'!P161</f>
        <v>250</v>
      </c>
      <c r="T795" s="2130"/>
      <c r="U795" s="2130"/>
      <c r="V795" s="580"/>
      <c r="W795" s="580"/>
      <c r="X795" s="580"/>
      <c r="FY795" s="780"/>
      <c r="FZ795" s="780"/>
      <c r="GA795" s="780"/>
      <c r="GB795" s="780"/>
      <c r="GC795" s="780"/>
      <c r="GD795" s="780"/>
      <c r="GE795" s="780"/>
      <c r="GF795" s="780"/>
      <c r="GG795" s="780"/>
      <c r="GH795" s="780"/>
      <c r="GI795" s="780"/>
      <c r="GJ795" s="780"/>
      <c r="GK795" s="780"/>
      <c r="GL795" s="780"/>
      <c r="GM795" s="780"/>
      <c r="GN795" s="780"/>
      <c r="GO795" s="780"/>
      <c r="GV795" s="586"/>
      <c r="HL795" s="586"/>
      <c r="HM795" s="586"/>
    </row>
    <row r="796" spans="2:221" s="583" customFormat="1" ht="15.6" customHeight="1">
      <c r="B796" s="583" t="s">
        <v>1059</v>
      </c>
      <c r="D796" s="916"/>
      <c r="F796" s="2168">
        <f>'Part VI-Revenues &amp; Expenses'!F162</f>
        <v>2600</v>
      </c>
      <c r="G796" s="2168"/>
      <c r="J796" s="913" t="s">
        <v>199</v>
      </c>
      <c r="K796" s="2174">
        <f>SUM(K791:K795)</f>
        <v>40000</v>
      </c>
      <c r="L796" s="2174"/>
      <c r="T796" s="2130"/>
      <c r="U796" s="2130"/>
      <c r="V796" s="580"/>
      <c r="W796" s="580"/>
      <c r="X796" s="580"/>
      <c r="FY796" s="780"/>
      <c r="FZ796" s="780"/>
      <c r="GA796" s="780"/>
      <c r="GB796" s="780"/>
      <c r="GC796" s="780"/>
      <c r="GD796" s="780"/>
      <c r="GE796" s="780"/>
      <c r="GF796" s="780"/>
      <c r="GG796" s="780"/>
      <c r="GH796" s="780"/>
      <c r="GI796" s="780"/>
      <c r="GJ796" s="780"/>
      <c r="GK796" s="780"/>
      <c r="GL796" s="780"/>
      <c r="GM796" s="780"/>
      <c r="GN796" s="780"/>
      <c r="GO796" s="780"/>
      <c r="GV796" s="586"/>
      <c r="HL796" s="586"/>
      <c r="HM796" s="586"/>
    </row>
    <row r="797" spans="2:221" s="583" customFormat="1" ht="15.6" customHeight="1">
      <c r="B797" s="583" t="s">
        <v>916</v>
      </c>
      <c r="D797" s="916"/>
      <c r="F797" s="2168">
        <f>'Part VI-Revenues &amp; Expenses'!F163</f>
        <v>500</v>
      </c>
      <c r="G797" s="2168"/>
      <c r="J797" s="915"/>
      <c r="T797" s="2130"/>
      <c r="U797" s="2130"/>
      <c r="V797" s="580"/>
      <c r="W797" s="580"/>
      <c r="X797" s="580"/>
      <c r="FY797" s="780"/>
      <c r="FZ797" s="780"/>
      <c r="GA797" s="780"/>
      <c r="GB797" s="780"/>
      <c r="GC797" s="780"/>
      <c r="GD797" s="780"/>
      <c r="GE797" s="780"/>
      <c r="GF797" s="780"/>
      <c r="GG797" s="780"/>
      <c r="GH797" s="780"/>
      <c r="GI797" s="780"/>
      <c r="GJ797" s="780"/>
      <c r="GK797" s="780"/>
      <c r="GL797" s="780"/>
      <c r="GM797" s="780"/>
      <c r="GN797" s="780"/>
      <c r="GO797" s="780"/>
      <c r="GV797" s="586"/>
      <c r="HL797" s="586"/>
      <c r="HM797" s="586"/>
    </row>
    <row r="798" spans="2:221" s="583" customFormat="1" ht="15.6" customHeight="1">
      <c r="B798" s="2172" t="str">
        <f>'Part VI-Revenues &amp; Expenses'!B164</f>
        <v>Other (describe here)</v>
      </c>
      <c r="C798" s="2172"/>
      <c r="D798" s="2172"/>
      <c r="E798" s="2172"/>
      <c r="F798" s="2168">
        <f>'Part VI-Revenues &amp; Expenses'!F164</f>
        <v>0</v>
      </c>
      <c r="G798" s="2168"/>
      <c r="J798" s="915"/>
      <c r="N798" s="586" t="s">
        <v>2320</v>
      </c>
      <c r="O798" s="586"/>
      <c r="P798" s="586"/>
      <c r="T798" s="2130"/>
      <c r="U798" s="2130"/>
      <c r="V798" s="580"/>
      <c r="W798" s="580"/>
      <c r="X798" s="580"/>
      <c r="FY798" s="780"/>
      <c r="FZ798" s="780"/>
      <c r="GA798" s="780"/>
      <c r="GB798" s="780"/>
      <c r="GC798" s="780"/>
      <c r="GD798" s="780"/>
      <c r="GE798" s="780"/>
      <c r="GF798" s="780"/>
      <c r="GG798" s="780"/>
      <c r="GH798" s="780"/>
      <c r="GI798" s="780"/>
      <c r="GJ798" s="780"/>
      <c r="GK798" s="780"/>
      <c r="GL798" s="780"/>
      <c r="GM798" s="780"/>
      <c r="GN798" s="780"/>
      <c r="GO798" s="780"/>
      <c r="GV798" s="586"/>
      <c r="HL798" s="586"/>
      <c r="HM798" s="586"/>
    </row>
    <row r="799" spans="2:221" s="583" customFormat="1" ht="15.6" customHeight="1">
      <c r="B799" s="586"/>
      <c r="C799" s="913" t="s">
        <v>199</v>
      </c>
      <c r="F799" s="2168">
        <f>SUM(F791:G798)</f>
        <v>51400</v>
      </c>
      <c r="G799" s="2168"/>
      <c r="J799" s="915"/>
      <c r="P799" s="914">
        <f>P791+P794</f>
        <v>357000</v>
      </c>
      <c r="T799" s="2130"/>
      <c r="U799" s="2130"/>
      <c r="V799" s="580"/>
      <c r="W799" s="580"/>
      <c r="X799" s="580"/>
      <c r="FY799" s="780"/>
      <c r="FZ799" s="780"/>
      <c r="GA799" s="780"/>
      <c r="GB799" s="780"/>
      <c r="GC799" s="780"/>
      <c r="GD799" s="780"/>
      <c r="GE799" s="780"/>
      <c r="GF799" s="780"/>
      <c r="GG799" s="780"/>
      <c r="GH799" s="780"/>
      <c r="GI799" s="780"/>
      <c r="GJ799" s="780"/>
      <c r="GK799" s="780"/>
      <c r="GL799" s="780"/>
      <c r="GM799" s="780"/>
      <c r="GN799" s="780"/>
      <c r="GO799" s="780"/>
      <c r="GV799" s="586"/>
      <c r="HL799" s="586"/>
      <c r="HM799" s="586"/>
    </row>
    <row r="800" spans="2:221" s="583" customFormat="1" ht="10.9" customHeight="1">
      <c r="B800" s="586"/>
      <c r="D800" s="913"/>
      <c r="F800" s="915"/>
      <c r="G800" s="915"/>
      <c r="FY800" s="780"/>
      <c r="FZ800" s="780"/>
      <c r="GA800" s="780"/>
      <c r="GB800" s="780"/>
      <c r="GC800" s="780"/>
      <c r="GD800" s="780"/>
      <c r="GE800" s="780"/>
      <c r="GF800" s="780"/>
      <c r="GG800" s="780"/>
      <c r="GH800" s="780"/>
      <c r="GI800" s="780"/>
      <c r="GJ800" s="780"/>
      <c r="GK800" s="780"/>
      <c r="GL800" s="780"/>
      <c r="GM800" s="780"/>
      <c r="GN800" s="780"/>
      <c r="GO800" s="780"/>
      <c r="GV800" s="586"/>
      <c r="HL800" s="586"/>
      <c r="HM800" s="586"/>
    </row>
    <row r="801" spans="1:221" ht="12" customHeight="1">
      <c r="A801" s="788" t="s">
        <v>1909</v>
      </c>
      <c r="B801" s="788" t="s">
        <v>603</v>
      </c>
      <c r="K801" s="788" t="s">
        <v>558</v>
      </c>
      <c r="L801" s="788" t="s">
        <v>1966</v>
      </c>
      <c r="FY801" s="784"/>
      <c r="FZ801" s="784"/>
      <c r="GA801" s="784"/>
      <c r="GB801" s="784"/>
      <c r="GC801" s="784"/>
      <c r="GD801" s="784"/>
      <c r="GE801" s="784"/>
      <c r="GF801" s="784"/>
      <c r="GG801" s="784"/>
      <c r="GH801" s="784"/>
      <c r="GI801" s="784"/>
      <c r="GJ801" s="784"/>
      <c r="GK801" s="784"/>
      <c r="GL801" s="784"/>
      <c r="GM801" s="784"/>
      <c r="GN801" s="784"/>
      <c r="GO801" s="784"/>
      <c r="GV801" s="788"/>
      <c r="HL801" s="788"/>
      <c r="HM801" s="788"/>
    </row>
    <row r="802" spans="1:221" ht="145.5" customHeight="1">
      <c r="A802" s="2171" t="str">
        <f>'Part VI-Revenues &amp; Expenses'!A168</f>
        <v xml:space="preserve">Methodology for real estate tax and insurance expenses are included in Tab 1, Item Number 6 of the Application Binder.  </v>
      </c>
      <c r="B802" s="2171"/>
      <c r="C802" s="2171"/>
      <c r="D802" s="2171"/>
      <c r="E802" s="2171"/>
      <c r="F802" s="2171"/>
      <c r="G802" s="2171"/>
      <c r="H802" s="2171"/>
      <c r="I802" s="2171"/>
      <c r="J802" s="2171"/>
      <c r="K802" s="2171">
        <f>'Part VI-Revenues &amp; Expenses'!K168</f>
        <v>0</v>
      </c>
      <c r="L802" s="2171"/>
      <c r="M802" s="2171"/>
      <c r="N802" s="2171"/>
      <c r="O802" s="2171"/>
      <c r="P802" s="2171"/>
      <c r="T802" s="2169" t="s">
        <v>2914</v>
      </c>
      <c r="U802" s="2169"/>
      <c r="FY802" s="784"/>
      <c r="FZ802" s="784"/>
      <c r="GA802" s="784"/>
      <c r="GB802" s="784"/>
      <c r="GC802" s="784"/>
      <c r="GD802" s="784"/>
      <c r="GE802" s="784"/>
      <c r="GF802" s="784"/>
      <c r="GG802" s="784"/>
      <c r="GH802" s="784"/>
      <c r="GI802" s="784"/>
      <c r="GJ802" s="784"/>
      <c r="GK802" s="784"/>
      <c r="GL802" s="784"/>
      <c r="GM802" s="784"/>
      <c r="GN802" s="784"/>
      <c r="GO802" s="784"/>
      <c r="GV802" s="788"/>
      <c r="HL802" s="788"/>
      <c r="HM802" s="788"/>
    </row>
    <row r="805" spans="1:221">
      <c r="A805" s="2153" t="str">
        <f>CONCATENATE("PART SEVEN - OPERATING PRO FORMA","  -  ",'Part I-Project Information'!$O$4," ",'Part I-Project Information'!$F$23,", ",'Part I-Project Information'!F831,", ",'Part I-Project Information'!J832," County")</f>
        <v>PART SEVEN - OPERATING PRO FORMA  -  2014-028 Highland Estates, ,  County</v>
      </c>
      <c r="B805" s="2170"/>
      <c r="C805" s="2170"/>
      <c r="D805" s="2170"/>
      <c r="E805" s="2170"/>
      <c r="F805" s="2170"/>
      <c r="G805" s="2170"/>
      <c r="H805" s="2170"/>
      <c r="I805" s="2170"/>
      <c r="J805" s="2170"/>
      <c r="K805" s="2170"/>
    </row>
    <row r="806" spans="1:221">
      <c r="A806" s="920"/>
      <c r="B806" s="920"/>
      <c r="C806" s="920"/>
      <c r="D806" s="920"/>
      <c r="E806" s="920"/>
      <c r="F806" s="920"/>
      <c r="G806" s="920"/>
      <c r="H806" s="920"/>
      <c r="I806" s="920"/>
      <c r="J806" s="920"/>
      <c r="K806" s="920"/>
    </row>
    <row r="807" spans="1:221" ht="13.5">
      <c r="A807" s="788" t="s">
        <v>93</v>
      </c>
      <c r="D807" s="788" t="s">
        <v>83</v>
      </c>
      <c r="E807" s="888"/>
      <c r="F807" s="792" t="s">
        <v>3399</v>
      </c>
    </row>
    <row r="809" spans="1:221">
      <c r="A809" s="580" t="s">
        <v>2321</v>
      </c>
      <c r="B809" s="921">
        <v>0.02</v>
      </c>
      <c r="D809" s="580" t="s">
        <v>832</v>
      </c>
      <c r="G809" s="1059">
        <f>'Part VII-Pro Forma'!G5</f>
        <v>5000</v>
      </c>
      <c r="H809" s="922" t="s">
        <v>2033</v>
      </c>
      <c r="K809" s="923" t="str">
        <f>IF(($B$14+$B$15+$B$16+$B$17)=0,"",B832/($B$14+$B$15+$B$16+$B$17))</f>
        <v/>
      </c>
    </row>
    <row r="810" spans="1:221">
      <c r="A810" s="580" t="s">
        <v>2322</v>
      </c>
      <c r="B810" s="921">
        <v>0.03</v>
      </c>
    </row>
    <row r="811" spans="1:221">
      <c r="A811" s="580" t="s">
        <v>2324</v>
      </c>
      <c r="B811" s="921">
        <v>0.03</v>
      </c>
      <c r="D811" s="583" t="s">
        <v>284</v>
      </c>
      <c r="G811" s="924"/>
      <c r="H811" s="922" t="s">
        <v>2522</v>
      </c>
      <c r="K811" s="923" t="str">
        <f>IF(($B$14+$B$15+$B$16+$B$17)=0,"",-B824/($B$14+$B$15+$B$16+$B$17))</f>
        <v/>
      </c>
    </row>
    <row r="812" spans="1:221">
      <c r="A812" s="580" t="s">
        <v>2323</v>
      </c>
      <c r="B812" s="921">
        <f>'Part VII-Pro Forma'!B8</f>
        <v>7.0000000000000007E-2</v>
      </c>
      <c r="D812" s="583" t="s">
        <v>2668</v>
      </c>
      <c r="G812" s="1060" t="str">
        <f>'Part VII-Pro Forma'!G8</f>
        <v>Yes</v>
      </c>
      <c r="H812" s="925" t="s">
        <v>1533</v>
      </c>
      <c r="K812" s="1061">
        <f>'Part VII-Pro Forma'!K8</f>
        <v>40320</v>
      </c>
    </row>
    <row r="813" spans="1:221">
      <c r="A813" s="580" t="s">
        <v>1504</v>
      </c>
      <c r="B813" s="921">
        <v>0.02</v>
      </c>
      <c r="D813" s="583" t="s">
        <v>1830</v>
      </c>
      <c r="G813" s="1060">
        <f>'Part VII-Pro Forma'!G9</f>
        <v>0</v>
      </c>
      <c r="H813" s="925" t="s">
        <v>2502</v>
      </c>
      <c r="K813" s="1062">
        <f>'Part VII-Pro Forma'!K9</f>
        <v>0</v>
      </c>
    </row>
    <row r="815" spans="1:221">
      <c r="A815" s="788" t="s">
        <v>94</v>
      </c>
    </row>
    <row r="817" spans="1:11">
      <c r="A817" s="788" t="s">
        <v>2639</v>
      </c>
      <c r="B817" s="788">
        <v>1</v>
      </c>
      <c r="C817" s="788">
        <f t="shared" ref="C817:K817" si="223">B817+1</f>
        <v>2</v>
      </c>
      <c r="D817" s="788">
        <f t="shared" si="223"/>
        <v>3</v>
      </c>
      <c r="E817" s="788">
        <f t="shared" si="223"/>
        <v>4</v>
      </c>
      <c r="F817" s="788">
        <f t="shared" si="223"/>
        <v>5</v>
      </c>
      <c r="G817" s="788">
        <f t="shared" si="223"/>
        <v>6</v>
      </c>
      <c r="H817" s="788">
        <f t="shared" si="223"/>
        <v>7</v>
      </c>
      <c r="I817" s="788">
        <f t="shared" si="223"/>
        <v>8</v>
      </c>
      <c r="J817" s="788">
        <f t="shared" si="223"/>
        <v>9</v>
      </c>
      <c r="K817" s="788">
        <f t="shared" si="223"/>
        <v>10</v>
      </c>
    </row>
    <row r="818" spans="1:11">
      <c r="A818" s="580" t="s">
        <v>2557</v>
      </c>
      <c r="B818" s="911">
        <f>'Part VI-Revenues &amp; Expenses'!L853</f>
        <v>0</v>
      </c>
      <c r="C818" s="911">
        <f t="shared" ref="C818:K818" si="224">$B$14*(1+$B$5)^(C817-1)</f>
        <v>0</v>
      </c>
      <c r="D818" s="911">
        <f t="shared" si="224"/>
        <v>0</v>
      </c>
      <c r="E818" s="911">
        <f t="shared" si="224"/>
        <v>0</v>
      </c>
      <c r="F818" s="911">
        <f t="shared" si="224"/>
        <v>0</v>
      </c>
      <c r="G818" s="911">
        <f t="shared" si="224"/>
        <v>0</v>
      </c>
      <c r="H818" s="911">
        <f t="shared" si="224"/>
        <v>0</v>
      </c>
      <c r="I818" s="911">
        <f t="shared" si="224"/>
        <v>0</v>
      </c>
      <c r="J818" s="911">
        <f t="shared" si="224"/>
        <v>0</v>
      </c>
      <c r="K818" s="911">
        <f t="shared" si="224"/>
        <v>0</v>
      </c>
    </row>
    <row r="819" spans="1:11">
      <c r="A819" s="580" t="s">
        <v>1072</v>
      </c>
      <c r="B819" s="911">
        <f>MIN(B818*B813,'Part VI-Revenues &amp; Expenses'!H908)</f>
        <v>0</v>
      </c>
      <c r="C819" s="911">
        <f t="shared" ref="C819:K819" si="225">$B$15*(1+$B$5)^(C817-1)</f>
        <v>0</v>
      </c>
      <c r="D819" s="911">
        <f t="shared" si="225"/>
        <v>0</v>
      </c>
      <c r="E819" s="911">
        <f t="shared" si="225"/>
        <v>0</v>
      </c>
      <c r="F819" s="911">
        <f t="shared" si="225"/>
        <v>0</v>
      </c>
      <c r="G819" s="911">
        <f t="shared" si="225"/>
        <v>0</v>
      </c>
      <c r="H819" s="911">
        <f t="shared" si="225"/>
        <v>0</v>
      </c>
      <c r="I819" s="911">
        <f t="shared" si="225"/>
        <v>0</v>
      </c>
      <c r="J819" s="911">
        <f t="shared" si="225"/>
        <v>0</v>
      </c>
      <c r="K819" s="911">
        <f t="shared" si="225"/>
        <v>0</v>
      </c>
    </row>
    <row r="820" spans="1:11">
      <c r="A820" s="580" t="s">
        <v>2558</v>
      </c>
      <c r="B820" s="911">
        <f t="shared" ref="B820:K820" si="226">-(B818+B819)*$B$8</f>
        <v>0</v>
      </c>
      <c r="C820" s="911">
        <f t="shared" si="226"/>
        <v>0</v>
      </c>
      <c r="D820" s="911">
        <f t="shared" si="226"/>
        <v>0</v>
      </c>
      <c r="E820" s="911">
        <f t="shared" si="226"/>
        <v>0</v>
      </c>
      <c r="F820" s="911">
        <f t="shared" si="226"/>
        <v>0</v>
      </c>
      <c r="G820" s="911">
        <f t="shared" si="226"/>
        <v>0</v>
      </c>
      <c r="H820" s="911">
        <f t="shared" si="226"/>
        <v>0</v>
      </c>
      <c r="I820" s="911">
        <f t="shared" si="226"/>
        <v>0</v>
      </c>
      <c r="J820" s="911">
        <f t="shared" si="226"/>
        <v>0</v>
      </c>
      <c r="K820" s="911">
        <f t="shared" si="226"/>
        <v>0</v>
      </c>
    </row>
    <row r="821" spans="1:11">
      <c r="A821" s="580" t="s">
        <v>55</v>
      </c>
      <c r="B821" s="911">
        <f>+'Part VI-Revenues &amp; Expenses'!G915</f>
        <v>0</v>
      </c>
      <c r="C821" s="911">
        <f>+'Part VI-Revenues &amp; Expenses'!H915</f>
        <v>0</v>
      </c>
      <c r="D821" s="911">
        <f>+'Part VI-Revenues &amp; Expenses'!I915</f>
        <v>0</v>
      </c>
      <c r="E821" s="911">
        <f>+'Part VI-Revenues &amp; Expenses'!J915</f>
        <v>0</v>
      </c>
      <c r="F821" s="911">
        <f>+'Part VI-Revenues &amp; Expenses'!K915</f>
        <v>0</v>
      </c>
      <c r="G821" s="911">
        <f>+'Part VI-Revenues &amp; Expenses'!L915</f>
        <v>0</v>
      </c>
      <c r="H821" s="911">
        <f>+'Part VI-Revenues &amp; Expenses'!M915</f>
        <v>0</v>
      </c>
      <c r="I821" s="911">
        <f>+'Part VI-Revenues &amp; Expenses'!N915</f>
        <v>0</v>
      </c>
      <c r="J821" s="911">
        <f>+'Part VI-Revenues &amp; Expenses'!O915</f>
        <v>0</v>
      </c>
      <c r="K821" s="911">
        <f>+'Part VI-Revenues &amp; Expenses'!P915</f>
        <v>0</v>
      </c>
    </row>
    <row r="822" spans="1:11">
      <c r="A822" s="580" t="s">
        <v>56</v>
      </c>
      <c r="B822" s="911">
        <f>'Part VI-Revenues &amp; Expenses'!G920</f>
        <v>0</v>
      </c>
      <c r="C822" s="911">
        <f>'Part VI-Revenues &amp; Expenses'!H920</f>
        <v>0</v>
      </c>
      <c r="D822" s="911">
        <f>'Part VI-Revenues &amp; Expenses'!I920</f>
        <v>0</v>
      </c>
      <c r="E822" s="911">
        <f>'Part VI-Revenues &amp; Expenses'!J920</f>
        <v>0</v>
      </c>
      <c r="F822" s="911">
        <f>'Part VI-Revenues &amp; Expenses'!K920</f>
        <v>0</v>
      </c>
      <c r="G822" s="911">
        <f>'Part VI-Revenues &amp; Expenses'!L920</f>
        <v>0</v>
      </c>
      <c r="H822" s="911">
        <f>'Part VI-Revenues &amp; Expenses'!M920</f>
        <v>0</v>
      </c>
      <c r="I822" s="911">
        <f>'Part VI-Revenues &amp; Expenses'!N920</f>
        <v>0</v>
      </c>
      <c r="J822" s="911">
        <f>'Part VI-Revenues &amp; Expenses'!O920</f>
        <v>0</v>
      </c>
      <c r="K822" s="911">
        <f>'Part VI-Revenues &amp; Expenses'!P920</f>
        <v>0</v>
      </c>
    </row>
    <row r="823" spans="1:11">
      <c r="A823" s="580" t="s">
        <v>650</v>
      </c>
      <c r="B823" s="911">
        <f>-('Part VI-Revenues &amp; Expenses'!P961-'Part VI-Revenues &amp; Expenses'!P951)</f>
        <v>0</v>
      </c>
      <c r="C823" s="911">
        <f t="shared" ref="C823:K823" si="227">$B$19*(1+$B$6)^(C817-1)</f>
        <v>0</v>
      </c>
      <c r="D823" s="911">
        <f t="shared" si="227"/>
        <v>0</v>
      </c>
      <c r="E823" s="911">
        <f t="shared" si="227"/>
        <v>0</v>
      </c>
      <c r="F823" s="911">
        <f t="shared" si="227"/>
        <v>0</v>
      </c>
      <c r="G823" s="911">
        <f t="shared" si="227"/>
        <v>0</v>
      </c>
      <c r="H823" s="911">
        <f t="shared" si="227"/>
        <v>0</v>
      </c>
      <c r="I823" s="911">
        <f t="shared" si="227"/>
        <v>0</v>
      </c>
      <c r="J823" s="911">
        <f t="shared" si="227"/>
        <v>0</v>
      </c>
      <c r="K823" s="911">
        <f t="shared" si="227"/>
        <v>0</v>
      </c>
    </row>
    <row r="824" spans="1:11">
      <c r="A824" s="580" t="s">
        <v>1174</v>
      </c>
      <c r="B824" s="911">
        <f>IF(AND('Part VII-Pro Forma'!$G$8="Yes",'Part VII-Pro Forma'!$G$9="Yes"),"Choose One!",IF('Part VII-Pro Forma'!$G$8="Yes",ROUND((-$K$8*(1+'Part VII-Pro Forma'!$B$6)^('Part VII-Pro Forma'!B817-1)),),IF('Part VII-Pro Forma'!$G$9="Yes",ROUND((-(SUM(B818:B821)*'Part VII-Pro Forma'!$K$9)),),"Choose mgt fee")))</f>
        <v>0</v>
      </c>
      <c r="C824" s="911">
        <f>IF(AND('Part VII-Pro Forma'!$G$8="Yes",'Part VII-Pro Forma'!$G$9="Yes"),"Choose One!",IF('Part VII-Pro Forma'!$G$8="Yes",ROUND((-$K$8*(1+'Part VII-Pro Forma'!$B$6)^('Part VII-Pro Forma'!C817-1)),),IF('Part VII-Pro Forma'!$G$9="Yes",ROUND((-(SUM(C818:C821)*'Part VII-Pro Forma'!$K$9)),),"Choose mgt fee")))</f>
        <v>0</v>
      </c>
      <c r="D824" s="911">
        <f>IF(AND('Part VII-Pro Forma'!$G$8="Yes",'Part VII-Pro Forma'!$G$9="Yes"),"Choose One!",IF('Part VII-Pro Forma'!$G$8="Yes",ROUND((-$K$8*(1+'Part VII-Pro Forma'!$B$6)^('Part VII-Pro Forma'!D817-1)),),IF('Part VII-Pro Forma'!$G$9="Yes",ROUND((-(SUM(D818:D821)*'Part VII-Pro Forma'!$K$9)),),"Choose mgt fee")))</f>
        <v>0</v>
      </c>
      <c r="E824" s="911">
        <f>IF(AND('Part VII-Pro Forma'!$G$8="Yes",'Part VII-Pro Forma'!$G$9="Yes"),"Choose One!",IF('Part VII-Pro Forma'!$G$8="Yes",ROUND((-$K$8*(1+'Part VII-Pro Forma'!$B$6)^('Part VII-Pro Forma'!E817-1)),),IF('Part VII-Pro Forma'!$G$9="Yes",ROUND((-(SUM(E818:E821)*'Part VII-Pro Forma'!$K$9)),),"Choose mgt fee")))</f>
        <v>0</v>
      </c>
      <c r="F824" s="911">
        <f>IF(AND('Part VII-Pro Forma'!$G$8="Yes",'Part VII-Pro Forma'!$G$9="Yes"),"Choose One!",IF('Part VII-Pro Forma'!$G$8="Yes",ROUND((-$K$8*(1+'Part VII-Pro Forma'!$B$6)^('Part VII-Pro Forma'!F817-1)),),IF('Part VII-Pro Forma'!$G$9="Yes",ROUND((-(SUM(F818:F821)*'Part VII-Pro Forma'!$K$9)),),"Choose mgt fee")))</f>
        <v>0</v>
      </c>
      <c r="G824" s="911">
        <f>IF(AND('Part VII-Pro Forma'!$G$8="Yes",'Part VII-Pro Forma'!$G$9="Yes"),"Choose One!",IF('Part VII-Pro Forma'!$G$8="Yes",ROUND((-$K$8*(1+'Part VII-Pro Forma'!$B$6)^('Part VII-Pro Forma'!G817-1)),),IF('Part VII-Pro Forma'!$G$9="Yes",ROUND((-(SUM(G818:G821)*'Part VII-Pro Forma'!$K$9)),),"Choose mgt fee")))</f>
        <v>0</v>
      </c>
      <c r="H824" s="911">
        <f>IF(AND('Part VII-Pro Forma'!$G$8="Yes",'Part VII-Pro Forma'!$G$9="Yes"),"Choose One!",IF('Part VII-Pro Forma'!$G$8="Yes",ROUND((-$K$8*(1+'Part VII-Pro Forma'!$B$6)^('Part VII-Pro Forma'!H817-1)),),IF('Part VII-Pro Forma'!$G$9="Yes",ROUND((-(SUM(H818:H821)*'Part VII-Pro Forma'!$K$9)),),"Choose mgt fee")))</f>
        <v>0</v>
      </c>
      <c r="I824" s="911">
        <f>IF(AND('Part VII-Pro Forma'!$G$8="Yes",'Part VII-Pro Forma'!$G$9="Yes"),"Choose One!",IF('Part VII-Pro Forma'!$G$8="Yes",ROUND((-$K$8*(1+'Part VII-Pro Forma'!$B$6)^('Part VII-Pro Forma'!I817-1)),),IF('Part VII-Pro Forma'!$G$9="Yes",ROUND((-(SUM(I818:I821)*'Part VII-Pro Forma'!$K$9)),),"Choose mgt fee")))</f>
        <v>0</v>
      </c>
      <c r="J824" s="911">
        <f>IF(AND('Part VII-Pro Forma'!$G$8="Yes",'Part VII-Pro Forma'!$G$9="Yes"),"Choose One!",IF('Part VII-Pro Forma'!$G$8="Yes",ROUND((-$K$8*(1+'Part VII-Pro Forma'!$B$6)^('Part VII-Pro Forma'!J817-1)),),IF('Part VII-Pro Forma'!$G$9="Yes",ROUND((-(SUM(J818:J821)*'Part VII-Pro Forma'!$K$9)),),"Choose mgt fee")))</f>
        <v>0</v>
      </c>
      <c r="K824" s="911">
        <f>IF(AND('Part VII-Pro Forma'!$G$8="Yes",'Part VII-Pro Forma'!$G$9="Yes"),"Choose One!",IF('Part VII-Pro Forma'!$G$8="Yes",ROUND((-$K$8*(1+'Part VII-Pro Forma'!$B$6)^('Part VII-Pro Forma'!K817-1)),),IF('Part VII-Pro Forma'!$G$9="Yes",ROUND((-(SUM(K818:K821)*'Part VII-Pro Forma'!$K$9)),),"Choose mgt fee")))</f>
        <v>0</v>
      </c>
    </row>
    <row r="825" spans="1:11">
      <c r="A825" s="580" t="s">
        <v>1272</v>
      </c>
      <c r="B825" s="911">
        <f>-('Part VI-Revenues &amp; Expenses'!P964)</f>
        <v>0</v>
      </c>
      <c r="C825" s="911">
        <f t="shared" ref="C825:K825" si="228">$B$21*(1+$B$7)^(C817-1)</f>
        <v>0</v>
      </c>
      <c r="D825" s="911">
        <f t="shared" si="228"/>
        <v>0</v>
      </c>
      <c r="E825" s="911">
        <f t="shared" si="228"/>
        <v>0</v>
      </c>
      <c r="F825" s="911">
        <f t="shared" si="228"/>
        <v>0</v>
      </c>
      <c r="G825" s="911">
        <f t="shared" si="228"/>
        <v>0</v>
      </c>
      <c r="H825" s="911">
        <f t="shared" si="228"/>
        <v>0</v>
      </c>
      <c r="I825" s="911">
        <f t="shared" si="228"/>
        <v>0</v>
      </c>
      <c r="J825" s="911">
        <f t="shared" si="228"/>
        <v>0</v>
      </c>
      <c r="K825" s="911">
        <f t="shared" si="228"/>
        <v>0</v>
      </c>
    </row>
    <row r="826" spans="1:11">
      <c r="A826" s="580" t="s">
        <v>1273</v>
      </c>
      <c r="B826" s="911">
        <f t="shared" ref="B826:K826" si="229">SUM(B818:B825)</f>
        <v>0</v>
      </c>
      <c r="C826" s="911">
        <f t="shared" si="229"/>
        <v>0</v>
      </c>
      <c r="D826" s="911">
        <f t="shared" si="229"/>
        <v>0</v>
      </c>
      <c r="E826" s="911">
        <f t="shared" si="229"/>
        <v>0</v>
      </c>
      <c r="F826" s="911">
        <f t="shared" si="229"/>
        <v>0</v>
      </c>
      <c r="G826" s="911">
        <f t="shared" si="229"/>
        <v>0</v>
      </c>
      <c r="H826" s="911">
        <f t="shared" si="229"/>
        <v>0</v>
      </c>
      <c r="I826" s="911">
        <f t="shared" si="229"/>
        <v>0</v>
      </c>
      <c r="J826" s="911">
        <f t="shared" si="229"/>
        <v>0</v>
      </c>
      <c r="K826" s="911">
        <f t="shared" si="229"/>
        <v>0</v>
      </c>
    </row>
    <row r="827" spans="1:11">
      <c r="A827" s="580" t="s">
        <v>1690</v>
      </c>
      <c r="B827" s="911">
        <f>'Part VII-Pro Forma'!B23</f>
        <v>-71530.568392451387</v>
      </c>
      <c r="C827" s="911">
        <f>'Part VII-Pro Forma'!C23</f>
        <v>-71530.568392451387</v>
      </c>
      <c r="D827" s="911">
        <f>'Part VII-Pro Forma'!D23</f>
        <v>-71530.568392451387</v>
      </c>
      <c r="E827" s="911">
        <f>'Part VII-Pro Forma'!E23</f>
        <v>-71530.568392451387</v>
      </c>
      <c r="F827" s="911">
        <f>'Part VII-Pro Forma'!F23</f>
        <v>-71530.568392451387</v>
      </c>
      <c r="G827" s="911">
        <f>'Part VII-Pro Forma'!G23</f>
        <v>-71530.568392451387</v>
      </c>
      <c r="H827" s="911">
        <f>'Part VII-Pro Forma'!H23</f>
        <v>-71530.568392451387</v>
      </c>
      <c r="I827" s="911">
        <f>'Part VII-Pro Forma'!I23</f>
        <v>-71530.568392451387</v>
      </c>
      <c r="J827" s="911">
        <f>'Part VII-Pro Forma'!J23</f>
        <v>-71530.568392451387</v>
      </c>
      <c r="K827" s="911">
        <f>'Part VII-Pro Forma'!K23</f>
        <v>-71530.568392451387</v>
      </c>
    </row>
    <row r="828" spans="1:11">
      <c r="A828" s="580" t="s">
        <v>1691</v>
      </c>
      <c r="B828" s="911">
        <f>'Part VII-Pro Forma'!B24</f>
        <v>0</v>
      </c>
      <c r="C828" s="911">
        <f>'Part VII-Pro Forma'!C24</f>
        <v>0</v>
      </c>
      <c r="D828" s="911">
        <f>'Part VII-Pro Forma'!D24</f>
        <v>0</v>
      </c>
      <c r="E828" s="911">
        <f>'Part VII-Pro Forma'!E24</f>
        <v>0</v>
      </c>
      <c r="F828" s="911">
        <f>'Part VII-Pro Forma'!F24</f>
        <v>0</v>
      </c>
      <c r="G828" s="911">
        <f>'Part VII-Pro Forma'!G24</f>
        <v>0</v>
      </c>
      <c r="H828" s="911">
        <f>'Part VII-Pro Forma'!H24</f>
        <v>0</v>
      </c>
      <c r="I828" s="911">
        <f>'Part VII-Pro Forma'!I24</f>
        <v>0</v>
      </c>
      <c r="J828" s="911">
        <f>'Part VII-Pro Forma'!J24</f>
        <v>0</v>
      </c>
      <c r="K828" s="911">
        <f>'Part VII-Pro Forma'!K24</f>
        <v>0</v>
      </c>
    </row>
    <row r="829" spans="1:11">
      <c r="A829" s="580" t="s">
        <v>1692</v>
      </c>
      <c r="B829" s="911">
        <f>'Part VII-Pro Forma'!B25</f>
        <v>0</v>
      </c>
      <c r="C829" s="911">
        <f>'Part VII-Pro Forma'!C25</f>
        <v>0</v>
      </c>
      <c r="D829" s="911">
        <f>'Part VII-Pro Forma'!D25</f>
        <v>0</v>
      </c>
      <c r="E829" s="911">
        <f>'Part VII-Pro Forma'!E25</f>
        <v>0</v>
      </c>
      <c r="F829" s="911">
        <f>'Part VII-Pro Forma'!F25</f>
        <v>0</v>
      </c>
      <c r="G829" s="911">
        <f>'Part VII-Pro Forma'!G25</f>
        <v>0</v>
      </c>
      <c r="H829" s="911">
        <f>'Part VII-Pro Forma'!H25</f>
        <v>0</v>
      </c>
      <c r="I829" s="911">
        <f>'Part VII-Pro Forma'!I25</f>
        <v>0</v>
      </c>
      <c r="J829" s="911">
        <f>'Part VII-Pro Forma'!J25</f>
        <v>0</v>
      </c>
      <c r="K829" s="911">
        <f>'Part VII-Pro Forma'!K25</f>
        <v>0</v>
      </c>
    </row>
    <row r="830" spans="1:11">
      <c r="A830" s="580" t="s">
        <v>829</v>
      </c>
      <c r="B830" s="911">
        <f>'Part VII-Pro Forma'!B26</f>
        <v>0</v>
      </c>
      <c r="C830" s="911">
        <f>'Part VII-Pro Forma'!C26</f>
        <v>0</v>
      </c>
      <c r="D830" s="911">
        <f>'Part VII-Pro Forma'!D26</f>
        <v>0</v>
      </c>
      <c r="E830" s="911">
        <f>'Part VII-Pro Forma'!E26</f>
        <v>0</v>
      </c>
      <c r="F830" s="911">
        <f>'Part VII-Pro Forma'!F26</f>
        <v>0</v>
      </c>
      <c r="G830" s="911">
        <f>'Part VII-Pro Forma'!G26</f>
        <v>0</v>
      </c>
      <c r="H830" s="911">
        <f>'Part VII-Pro Forma'!H26</f>
        <v>0</v>
      </c>
      <c r="I830" s="911">
        <f>'Part VII-Pro Forma'!I26</f>
        <v>0</v>
      </c>
      <c r="J830" s="911">
        <f>'Part VII-Pro Forma'!J26</f>
        <v>0</v>
      </c>
      <c r="K830" s="911">
        <f>'Part VII-Pro Forma'!K26</f>
        <v>0</v>
      </c>
    </row>
    <row r="831" spans="1:11">
      <c r="A831" s="580" t="s">
        <v>808</v>
      </c>
      <c r="B831" s="911">
        <f>'Part VII-Pro Forma'!B27</f>
        <v>0</v>
      </c>
      <c r="C831" s="911">
        <f>'Part VII-Pro Forma'!C27</f>
        <v>0</v>
      </c>
      <c r="D831" s="911">
        <f>'Part VII-Pro Forma'!D27</f>
        <v>0</v>
      </c>
      <c r="E831" s="911">
        <f>'Part VII-Pro Forma'!E27</f>
        <v>0</v>
      </c>
      <c r="F831" s="911">
        <f>'Part VII-Pro Forma'!F27</f>
        <v>0</v>
      </c>
      <c r="G831" s="911">
        <f>'Part VII-Pro Forma'!G27</f>
        <v>0</v>
      </c>
      <c r="H831" s="911">
        <f>'Part VII-Pro Forma'!H27</f>
        <v>0</v>
      </c>
      <c r="I831" s="911">
        <f>'Part VII-Pro Forma'!I27</f>
        <v>0</v>
      </c>
      <c r="J831" s="911">
        <f>'Part VII-Pro Forma'!J27</f>
        <v>0</v>
      </c>
      <c r="K831" s="911">
        <f>'Part VII-Pro Forma'!K27</f>
        <v>0</v>
      </c>
    </row>
    <row r="832" spans="1:11">
      <c r="A832" s="580" t="s">
        <v>1228</v>
      </c>
      <c r="B832" s="911">
        <f>'Part VII-Pro Forma'!B28</f>
        <v>-5000</v>
      </c>
      <c r="C832" s="911">
        <f>'Part VII-Pro Forma'!C28</f>
        <v>-5000</v>
      </c>
      <c r="D832" s="911">
        <f>'Part VII-Pro Forma'!D28</f>
        <v>-5000</v>
      </c>
      <c r="E832" s="911">
        <f>'Part VII-Pro Forma'!E28</f>
        <v>-5000</v>
      </c>
      <c r="F832" s="911">
        <f>'Part VII-Pro Forma'!F28</f>
        <v>-5000</v>
      </c>
      <c r="G832" s="911">
        <f>'Part VII-Pro Forma'!G28</f>
        <v>-5000</v>
      </c>
      <c r="H832" s="911">
        <f>'Part VII-Pro Forma'!H28</f>
        <v>-5000</v>
      </c>
      <c r="I832" s="911">
        <f>'Part VII-Pro Forma'!I28</f>
        <v>-5000</v>
      </c>
      <c r="J832" s="911">
        <f>'Part VII-Pro Forma'!J28</f>
        <v>-5000</v>
      </c>
      <c r="K832" s="911">
        <f>'Part VII-Pro Forma'!K28</f>
        <v>-5000</v>
      </c>
    </row>
    <row r="833" spans="1:11">
      <c r="A833" s="580" t="s">
        <v>1274</v>
      </c>
      <c r="B833" s="911">
        <f>'Part VII-Pro Forma'!B29</f>
        <v>-46147</v>
      </c>
      <c r="C833" s="911">
        <f>'Part VII-Pro Forma'!C29</f>
        <v>-45040</v>
      </c>
      <c r="D833" s="911">
        <f>'Part VII-Pro Forma'!D29</f>
        <v>-32600</v>
      </c>
      <c r="E833" s="911">
        <f>'Part VII-Pro Forma'!E29</f>
        <v>0</v>
      </c>
      <c r="F833" s="911">
        <f>'Part VII-Pro Forma'!F29</f>
        <v>0</v>
      </c>
      <c r="G833" s="911">
        <f>'Part VII-Pro Forma'!G29</f>
        <v>0</v>
      </c>
      <c r="H833" s="911">
        <f>'Part VII-Pro Forma'!H29</f>
        <v>0</v>
      </c>
      <c r="I833" s="911">
        <f>'Part VII-Pro Forma'!I29</f>
        <v>0</v>
      </c>
      <c r="J833" s="911">
        <f>'Part VII-Pro Forma'!J29</f>
        <v>0</v>
      </c>
      <c r="K833" s="911">
        <f>'Part VII-Pro Forma'!K29</f>
        <v>0</v>
      </c>
    </row>
    <row r="834" spans="1:11">
      <c r="A834" s="580" t="s">
        <v>1229</v>
      </c>
      <c r="B834" s="911">
        <f t="shared" ref="B834:K834" si="230">SUM(B826:B833)</f>
        <v>-122677.56839245139</v>
      </c>
      <c r="C834" s="911">
        <f t="shared" si="230"/>
        <v>-121570.56839245139</v>
      </c>
      <c r="D834" s="911">
        <f t="shared" si="230"/>
        <v>-109130.56839245139</v>
      </c>
      <c r="E834" s="911">
        <f t="shared" si="230"/>
        <v>-76530.568392451387</v>
      </c>
      <c r="F834" s="911">
        <f t="shared" si="230"/>
        <v>-76530.568392451387</v>
      </c>
      <c r="G834" s="911">
        <f t="shared" si="230"/>
        <v>-76530.568392451387</v>
      </c>
      <c r="H834" s="911">
        <f t="shared" si="230"/>
        <v>-76530.568392451387</v>
      </c>
      <c r="I834" s="911">
        <f t="shared" si="230"/>
        <v>-76530.568392451387</v>
      </c>
      <c r="J834" s="911">
        <f t="shared" si="230"/>
        <v>-76530.568392451387</v>
      </c>
      <c r="K834" s="911">
        <f t="shared" si="230"/>
        <v>-76530.568392451387</v>
      </c>
    </row>
    <row r="835" spans="1:11">
      <c r="A835" s="580" t="str">
        <f>IF('Part III-Sources of Funds'!$E$32 = "Neither", "", "DCR Mortgage A")</f>
        <v>DCR Mortgage A</v>
      </c>
      <c r="B835" s="926">
        <f>IF(B827=0,"",-B826/B827)</f>
        <v>0</v>
      </c>
      <c r="C835" s="926">
        <f t="shared" ref="C835:K835" si="231">IF(C827=0,"",-C826/C827)</f>
        <v>0</v>
      </c>
      <c r="D835" s="926">
        <f t="shared" si="231"/>
        <v>0</v>
      </c>
      <c r="E835" s="926">
        <f t="shared" si="231"/>
        <v>0</v>
      </c>
      <c r="F835" s="926">
        <f t="shared" si="231"/>
        <v>0</v>
      </c>
      <c r="G835" s="926">
        <f t="shared" si="231"/>
        <v>0</v>
      </c>
      <c r="H835" s="926">
        <f t="shared" si="231"/>
        <v>0</v>
      </c>
      <c r="I835" s="926">
        <f t="shared" si="231"/>
        <v>0</v>
      </c>
      <c r="J835" s="926">
        <f t="shared" si="231"/>
        <v>0</v>
      </c>
      <c r="K835" s="926">
        <f t="shared" si="231"/>
        <v>0</v>
      </c>
    </row>
    <row r="836" spans="1:11">
      <c r="A836" s="580" t="str">
        <f>IF('Part III-Sources of Funds'!$E$32 = "Neither", "", "DCR Mortgage B")</f>
        <v>DCR Mortgage B</v>
      </c>
      <c r="B836" s="926" t="str">
        <f t="shared" ref="B836:K836" si="232">IF(OR(B828=0,AND(B828=0,B827=0)),"",-B826/(B827+B828))</f>
        <v/>
      </c>
      <c r="C836" s="926" t="str">
        <f t="shared" si="232"/>
        <v/>
      </c>
      <c r="D836" s="926" t="str">
        <f t="shared" si="232"/>
        <v/>
      </c>
      <c r="E836" s="926" t="str">
        <f t="shared" si="232"/>
        <v/>
      </c>
      <c r="F836" s="926" t="str">
        <f t="shared" si="232"/>
        <v/>
      </c>
      <c r="G836" s="926" t="str">
        <f t="shared" si="232"/>
        <v/>
      </c>
      <c r="H836" s="926" t="str">
        <f t="shared" si="232"/>
        <v/>
      </c>
      <c r="I836" s="926" t="str">
        <f t="shared" si="232"/>
        <v/>
      </c>
      <c r="J836" s="926" t="str">
        <f t="shared" si="232"/>
        <v/>
      </c>
      <c r="K836" s="926" t="str">
        <f t="shared" si="232"/>
        <v/>
      </c>
    </row>
    <row r="837" spans="1:11">
      <c r="A837" s="580" t="str">
        <f>IF('Part III-Sources of Funds'!$E$32 = "Neither", "DCR First Mortgage", "DCR Mortgage C")</f>
        <v>DCR Mortgage C</v>
      </c>
      <c r="B837" s="926" t="str">
        <f t="shared" ref="B837:K837" si="233">IF(OR(B829=0,AND(B829=0,B828=0,B827=0)),"",-B826/(B827+B828+B829))</f>
        <v/>
      </c>
      <c r="C837" s="926" t="str">
        <f t="shared" si="233"/>
        <v/>
      </c>
      <c r="D837" s="926" t="str">
        <f t="shared" si="233"/>
        <v/>
      </c>
      <c r="E837" s="926" t="str">
        <f t="shared" si="233"/>
        <v/>
      </c>
      <c r="F837" s="926" t="str">
        <f t="shared" si="233"/>
        <v/>
      </c>
      <c r="G837" s="926" t="str">
        <f t="shared" si="233"/>
        <v/>
      </c>
      <c r="H837" s="926" t="str">
        <f t="shared" si="233"/>
        <v/>
      </c>
      <c r="I837" s="926" t="str">
        <f t="shared" si="233"/>
        <v/>
      </c>
      <c r="J837" s="926" t="str">
        <f t="shared" si="233"/>
        <v/>
      </c>
      <c r="K837" s="926" t="str">
        <f t="shared" si="233"/>
        <v/>
      </c>
    </row>
    <row r="838" spans="1:11">
      <c r="A838" s="580" t="s">
        <v>830</v>
      </c>
      <c r="B838" s="926" t="str">
        <f t="shared" ref="B838:K838" si="234">IF(OR(B830=0,AND(B827=0,B828=0,B829=0,B830=0)),"",-B826/(B827+B828+B829+B830))</f>
        <v/>
      </c>
      <c r="C838" s="926" t="str">
        <f t="shared" si="234"/>
        <v/>
      </c>
      <c r="D838" s="926" t="str">
        <f t="shared" si="234"/>
        <v/>
      </c>
      <c r="E838" s="926" t="str">
        <f t="shared" si="234"/>
        <v/>
      </c>
      <c r="F838" s="926" t="str">
        <f t="shared" si="234"/>
        <v/>
      </c>
      <c r="G838" s="926" t="str">
        <f t="shared" si="234"/>
        <v/>
      </c>
      <c r="H838" s="926" t="str">
        <f t="shared" si="234"/>
        <v/>
      </c>
      <c r="I838" s="926" t="str">
        <f t="shared" si="234"/>
        <v/>
      </c>
      <c r="J838" s="926" t="str">
        <f t="shared" si="234"/>
        <v/>
      </c>
      <c r="K838" s="926" t="str">
        <f t="shared" si="234"/>
        <v/>
      </c>
    </row>
    <row r="839" spans="1:11">
      <c r="A839" s="580" t="s">
        <v>815</v>
      </c>
      <c r="B839" s="927" t="e">
        <f>IF(OR(B824="Choose mgt fee",B824="Choose One!"),"",(B818+B819+B820+B821+B822) / -(B823+B824+B825))</f>
        <v>#DIV/0!</v>
      </c>
      <c r="C839" s="927" t="e">
        <f t="shared" ref="C839:K839" si="235">IF(OR(C824="Choose mgt fee",C824="Choose One!"),"",(C818+C819+C820+C821+C822) / -(C823+C824+C825))</f>
        <v>#DIV/0!</v>
      </c>
      <c r="D839" s="927" t="e">
        <f t="shared" si="235"/>
        <v>#DIV/0!</v>
      </c>
      <c r="E839" s="927" t="e">
        <f t="shared" si="235"/>
        <v>#DIV/0!</v>
      </c>
      <c r="F839" s="927" t="e">
        <f t="shared" si="235"/>
        <v>#DIV/0!</v>
      </c>
      <c r="G839" s="927" t="e">
        <f t="shared" si="235"/>
        <v>#DIV/0!</v>
      </c>
      <c r="H839" s="927" t="e">
        <f t="shared" si="235"/>
        <v>#DIV/0!</v>
      </c>
      <c r="I839" s="927" t="e">
        <f t="shared" si="235"/>
        <v>#DIV/0!</v>
      </c>
      <c r="J839" s="927" t="e">
        <f t="shared" si="235"/>
        <v>#DIV/0!</v>
      </c>
      <c r="K839" s="927" t="e">
        <f t="shared" si="235"/>
        <v>#DIV/0!</v>
      </c>
    </row>
    <row r="840" spans="1:11">
      <c r="A840" s="580" t="s">
        <v>2791</v>
      </c>
      <c r="B840" s="911">
        <f>'Part VII-Pro Forma'!B36</f>
        <v>1099251.1556610463</v>
      </c>
      <c r="C840" s="911">
        <f>'Part VII-Pro Forma'!C36</f>
        <v>1087895.992011315</v>
      </c>
      <c r="D840" s="911">
        <f>'Part VII-Pro Forma'!D36</f>
        <v>1075900.3078757748</v>
      </c>
      <c r="E840" s="911">
        <f>'Part VII-Pro Forma'!E36</f>
        <v>1063227.9728642881</v>
      </c>
      <c r="F840" s="911">
        <f>'Part VII-Pro Forma'!F36</f>
        <v>1049840.8185487147</v>
      </c>
      <c r="G840" s="911">
        <f>'Part VII-Pro Forma'!G36</f>
        <v>1035698.5235015489</v>
      </c>
      <c r="H840" s="911">
        <f>'Part VII-Pro Forma'!H36</f>
        <v>1020758.4918498315</v>
      </c>
      <c r="I840" s="911">
        <f>'Part VII-Pro Forma'!I36</f>
        <v>1004975.7249785485</v>
      </c>
      <c r="J840" s="911">
        <f>'Part VII-Pro Forma'!J36</f>
        <v>988302.68599709263</v>
      </c>
      <c r="K840" s="911">
        <f>'Part VII-Pro Forma'!K36</f>
        <v>970689.15656056826</v>
      </c>
    </row>
    <row r="841" spans="1:11">
      <c r="A841" s="580" t="s">
        <v>2792</v>
      </c>
      <c r="B841" s="911" t="str">
        <f>'Part VII-Pro Forma'!B37</f>
        <v/>
      </c>
      <c r="C841" s="911" t="str">
        <f>'Part VII-Pro Forma'!C37</f>
        <v/>
      </c>
      <c r="D841" s="911" t="str">
        <f>'Part VII-Pro Forma'!D37</f>
        <v/>
      </c>
      <c r="E841" s="911" t="str">
        <f>'Part VII-Pro Forma'!E37</f>
        <v/>
      </c>
      <c r="F841" s="911" t="str">
        <f>'Part VII-Pro Forma'!F37</f>
        <v/>
      </c>
      <c r="G841" s="911" t="str">
        <f>'Part VII-Pro Forma'!G37</f>
        <v/>
      </c>
      <c r="H841" s="911" t="str">
        <f>'Part VII-Pro Forma'!H37</f>
        <v/>
      </c>
      <c r="I841" s="911" t="str">
        <f>'Part VII-Pro Forma'!I37</f>
        <v/>
      </c>
      <c r="J841" s="911" t="str">
        <f>'Part VII-Pro Forma'!J37</f>
        <v/>
      </c>
      <c r="K841" s="911" t="str">
        <f>'Part VII-Pro Forma'!K37</f>
        <v/>
      </c>
    </row>
    <row r="842" spans="1:11">
      <c r="A842" s="580" t="s">
        <v>2793</v>
      </c>
      <c r="B842" s="911" t="str">
        <f>'Part VII-Pro Forma'!B38</f>
        <v/>
      </c>
      <c r="C842" s="911" t="str">
        <f>'Part VII-Pro Forma'!C38</f>
        <v/>
      </c>
      <c r="D842" s="911" t="str">
        <f>'Part VII-Pro Forma'!D38</f>
        <v/>
      </c>
      <c r="E842" s="911" t="str">
        <f>'Part VII-Pro Forma'!E38</f>
        <v/>
      </c>
      <c r="F842" s="911" t="str">
        <f>'Part VII-Pro Forma'!F38</f>
        <v/>
      </c>
      <c r="G842" s="911" t="str">
        <f>'Part VII-Pro Forma'!G38</f>
        <v/>
      </c>
      <c r="H842" s="911" t="str">
        <f>'Part VII-Pro Forma'!H38</f>
        <v/>
      </c>
      <c r="I842" s="911" t="str">
        <f>'Part VII-Pro Forma'!I38</f>
        <v/>
      </c>
      <c r="J842" s="911" t="str">
        <f>'Part VII-Pro Forma'!J38</f>
        <v/>
      </c>
      <c r="K842" s="911" t="str">
        <f>'Part VII-Pro Forma'!K38</f>
        <v/>
      </c>
    </row>
    <row r="843" spans="1:11">
      <c r="A843" s="580" t="s">
        <v>831</v>
      </c>
      <c r="B843" s="911" t="str">
        <f>'Part VII-Pro Forma'!B39</f>
        <v/>
      </c>
      <c r="C843" s="911" t="str">
        <f>'Part VII-Pro Forma'!C39</f>
        <v/>
      </c>
      <c r="D843" s="911" t="str">
        <f>'Part VII-Pro Forma'!D39</f>
        <v/>
      </c>
      <c r="E843" s="911" t="str">
        <f>'Part VII-Pro Forma'!E39</f>
        <v/>
      </c>
      <c r="F843" s="911" t="str">
        <f>'Part VII-Pro Forma'!F39</f>
        <v/>
      </c>
      <c r="G843" s="911" t="str">
        <f>'Part VII-Pro Forma'!G39</f>
        <v/>
      </c>
      <c r="H843" s="911" t="str">
        <f>'Part VII-Pro Forma'!H39</f>
        <v/>
      </c>
      <c r="I843" s="911" t="str">
        <f>'Part VII-Pro Forma'!I39</f>
        <v/>
      </c>
      <c r="J843" s="911" t="str">
        <f>'Part VII-Pro Forma'!J39</f>
        <v/>
      </c>
      <c r="K843" s="911" t="str">
        <f>'Part VII-Pro Forma'!K39</f>
        <v/>
      </c>
    </row>
    <row r="844" spans="1:11">
      <c r="A844" s="580" t="s">
        <v>1309</v>
      </c>
      <c r="B844" s="911">
        <f>'Part VII-Pro Forma'!B40</f>
        <v>77640</v>
      </c>
      <c r="C844" s="911">
        <f>'Part VII-Pro Forma'!C40</f>
        <v>32600</v>
      </c>
      <c r="D844" s="911">
        <f>'Part VII-Pro Forma'!D40</f>
        <v>0</v>
      </c>
      <c r="E844" s="911">
        <f>'Part VII-Pro Forma'!E40</f>
        <v>0</v>
      </c>
      <c r="F844" s="911">
        <f>'Part VII-Pro Forma'!F40</f>
        <v>0</v>
      </c>
      <c r="G844" s="911">
        <f>'Part VII-Pro Forma'!G40</f>
        <v>0</v>
      </c>
      <c r="H844" s="911">
        <f>'Part VII-Pro Forma'!H40</f>
        <v>0</v>
      </c>
      <c r="I844" s="911">
        <f>'Part VII-Pro Forma'!I40</f>
        <v>0</v>
      </c>
      <c r="J844" s="911">
        <f>'Part VII-Pro Forma'!J40</f>
        <v>0</v>
      </c>
      <c r="K844" s="911">
        <f>'Part VII-Pro Forma'!K40</f>
        <v>0</v>
      </c>
    </row>
    <row r="845" spans="1:11">
      <c r="B845" s="911"/>
      <c r="C845" s="911"/>
      <c r="D845" s="911"/>
      <c r="E845" s="911"/>
      <c r="F845" s="911"/>
      <c r="G845" s="911"/>
      <c r="H845" s="911"/>
      <c r="I845" s="911"/>
      <c r="J845" s="911"/>
      <c r="K845" s="911"/>
    </row>
    <row r="846" spans="1:11">
      <c r="A846" s="788" t="s">
        <v>2639</v>
      </c>
      <c r="B846" s="928">
        <f>K817+1</f>
        <v>11</v>
      </c>
      <c r="C846" s="928">
        <f t="shared" ref="C846:K846" si="236">B846+1</f>
        <v>12</v>
      </c>
      <c r="D846" s="928">
        <f t="shared" si="236"/>
        <v>13</v>
      </c>
      <c r="E846" s="928">
        <f t="shared" si="236"/>
        <v>14</v>
      </c>
      <c r="F846" s="928">
        <f t="shared" si="236"/>
        <v>15</v>
      </c>
      <c r="G846" s="928">
        <f t="shared" si="236"/>
        <v>16</v>
      </c>
      <c r="H846" s="928">
        <f t="shared" si="236"/>
        <v>17</v>
      </c>
      <c r="I846" s="928">
        <f t="shared" si="236"/>
        <v>18</v>
      </c>
      <c r="J846" s="928">
        <f t="shared" si="236"/>
        <v>19</v>
      </c>
      <c r="K846" s="928">
        <f t="shared" si="236"/>
        <v>20</v>
      </c>
    </row>
    <row r="847" spans="1:11">
      <c r="A847" s="580" t="s">
        <v>2557</v>
      </c>
      <c r="B847" s="911">
        <f t="shared" ref="B847:K847" si="237">$B$14*(1+$B$5)^(B846-1)</f>
        <v>0</v>
      </c>
      <c r="C847" s="911">
        <f t="shared" si="237"/>
        <v>0</v>
      </c>
      <c r="D847" s="911">
        <f t="shared" si="237"/>
        <v>0</v>
      </c>
      <c r="E847" s="911">
        <f t="shared" si="237"/>
        <v>0</v>
      </c>
      <c r="F847" s="911">
        <f t="shared" si="237"/>
        <v>0</v>
      </c>
      <c r="G847" s="911">
        <f t="shared" si="237"/>
        <v>0</v>
      </c>
      <c r="H847" s="911">
        <f t="shared" si="237"/>
        <v>0</v>
      </c>
      <c r="I847" s="911">
        <f t="shared" si="237"/>
        <v>0</v>
      </c>
      <c r="J847" s="911">
        <f t="shared" si="237"/>
        <v>0</v>
      </c>
      <c r="K847" s="911">
        <f t="shared" si="237"/>
        <v>0</v>
      </c>
    </row>
    <row r="848" spans="1:11">
      <c r="A848" s="580" t="s">
        <v>1072</v>
      </c>
      <c r="B848" s="911">
        <f t="shared" ref="B848:K848" si="238">$B$15*(1+$B$5)^(B846-1)</f>
        <v>0</v>
      </c>
      <c r="C848" s="911">
        <f t="shared" si="238"/>
        <v>0</v>
      </c>
      <c r="D848" s="911">
        <f t="shared" si="238"/>
        <v>0</v>
      </c>
      <c r="E848" s="911">
        <f t="shared" si="238"/>
        <v>0</v>
      </c>
      <c r="F848" s="911">
        <f t="shared" si="238"/>
        <v>0</v>
      </c>
      <c r="G848" s="911">
        <f t="shared" si="238"/>
        <v>0</v>
      </c>
      <c r="H848" s="911">
        <f t="shared" si="238"/>
        <v>0</v>
      </c>
      <c r="I848" s="911">
        <f t="shared" si="238"/>
        <v>0</v>
      </c>
      <c r="J848" s="911">
        <f t="shared" si="238"/>
        <v>0</v>
      </c>
      <c r="K848" s="911">
        <f t="shared" si="238"/>
        <v>0</v>
      </c>
    </row>
    <row r="849" spans="1:11">
      <c r="A849" s="580" t="s">
        <v>2558</v>
      </c>
      <c r="B849" s="911">
        <f t="shared" ref="B849:K849" si="239">-(B847+B848)*$B$8</f>
        <v>0</v>
      </c>
      <c r="C849" s="911">
        <f t="shared" si="239"/>
        <v>0</v>
      </c>
      <c r="D849" s="911">
        <f t="shared" si="239"/>
        <v>0</v>
      </c>
      <c r="E849" s="911">
        <f t="shared" si="239"/>
        <v>0</v>
      </c>
      <c r="F849" s="911">
        <f t="shared" si="239"/>
        <v>0</v>
      </c>
      <c r="G849" s="911">
        <f t="shared" si="239"/>
        <v>0</v>
      </c>
      <c r="H849" s="911">
        <f t="shared" si="239"/>
        <v>0</v>
      </c>
      <c r="I849" s="911">
        <f t="shared" si="239"/>
        <v>0</v>
      </c>
      <c r="J849" s="911">
        <f t="shared" si="239"/>
        <v>0</v>
      </c>
      <c r="K849" s="911">
        <f t="shared" si="239"/>
        <v>0</v>
      </c>
    </row>
    <row r="850" spans="1:11">
      <c r="A850" s="580" t="s">
        <v>55</v>
      </c>
      <c r="B850" s="911">
        <f>+'Part VI-Revenues &amp; Expenses'!G925</f>
        <v>0</v>
      </c>
      <c r="C850" s="911">
        <f>+'Part VI-Revenues &amp; Expenses'!H925</f>
        <v>0</v>
      </c>
      <c r="D850" s="911">
        <f>+'Part VI-Revenues &amp; Expenses'!I925</f>
        <v>0</v>
      </c>
      <c r="E850" s="911">
        <f>+'Part VI-Revenues &amp; Expenses'!J925</f>
        <v>0</v>
      </c>
      <c r="F850" s="911">
        <f>+'Part VI-Revenues &amp; Expenses'!K925</f>
        <v>0</v>
      </c>
      <c r="G850" s="911">
        <f>+'Part VI-Revenues &amp; Expenses'!L925</f>
        <v>0</v>
      </c>
      <c r="H850" s="911">
        <f>+'Part VI-Revenues &amp; Expenses'!M925</f>
        <v>0</v>
      </c>
      <c r="I850" s="911">
        <f>+'Part VI-Revenues &amp; Expenses'!N925</f>
        <v>0</v>
      </c>
      <c r="J850" s="911">
        <f>+'Part VI-Revenues &amp; Expenses'!O925</f>
        <v>0</v>
      </c>
      <c r="K850" s="911">
        <f>+'Part VI-Revenues &amp; Expenses'!P925</f>
        <v>0</v>
      </c>
    </row>
    <row r="851" spans="1:11">
      <c r="A851" s="580" t="s">
        <v>56</v>
      </c>
      <c r="B851" s="911">
        <f>'Part VI-Revenues &amp; Expenses'!G930</f>
        <v>0</v>
      </c>
      <c r="C851" s="911">
        <f>'Part VI-Revenues &amp; Expenses'!H930</f>
        <v>0</v>
      </c>
      <c r="D851" s="911">
        <f>'Part VI-Revenues &amp; Expenses'!I930</f>
        <v>0</v>
      </c>
      <c r="E851" s="911">
        <f>'Part VI-Revenues &amp; Expenses'!J930</f>
        <v>0</v>
      </c>
      <c r="F851" s="911">
        <f>'Part VI-Revenues &amp; Expenses'!K930</f>
        <v>0</v>
      </c>
      <c r="G851" s="911">
        <f>'Part VI-Revenues &amp; Expenses'!L930</f>
        <v>0</v>
      </c>
      <c r="H851" s="911">
        <f>'Part VI-Revenues &amp; Expenses'!M930</f>
        <v>0</v>
      </c>
      <c r="I851" s="911">
        <f>'Part VI-Revenues &amp; Expenses'!N930</f>
        <v>0</v>
      </c>
      <c r="J851" s="911">
        <f>'Part VI-Revenues &amp; Expenses'!O930</f>
        <v>0</v>
      </c>
      <c r="K851" s="911">
        <f>'Part VI-Revenues &amp; Expenses'!P930</f>
        <v>0</v>
      </c>
    </row>
    <row r="852" spans="1:11">
      <c r="A852" s="580" t="s">
        <v>650</v>
      </c>
      <c r="B852" s="911">
        <f t="shared" ref="B852:K852" si="240">$B$19*(1+$B$6)^(B846-1)</f>
        <v>0</v>
      </c>
      <c r="C852" s="911">
        <f t="shared" si="240"/>
        <v>0</v>
      </c>
      <c r="D852" s="911">
        <f t="shared" si="240"/>
        <v>0</v>
      </c>
      <c r="E852" s="911">
        <f t="shared" si="240"/>
        <v>0</v>
      </c>
      <c r="F852" s="911">
        <f t="shared" si="240"/>
        <v>0</v>
      </c>
      <c r="G852" s="911">
        <f t="shared" si="240"/>
        <v>0</v>
      </c>
      <c r="H852" s="911">
        <f t="shared" si="240"/>
        <v>0</v>
      </c>
      <c r="I852" s="911">
        <f t="shared" si="240"/>
        <v>0</v>
      </c>
      <c r="J852" s="911">
        <f t="shared" si="240"/>
        <v>0</v>
      </c>
      <c r="K852" s="911">
        <f t="shared" si="240"/>
        <v>0</v>
      </c>
    </row>
    <row r="853" spans="1:11">
      <c r="A853" s="580" t="s">
        <v>1174</v>
      </c>
      <c r="B853" s="911">
        <f>IF(AND('Part VII-Pro Forma'!$G$8="Yes",'Part VII-Pro Forma'!$G$9="Yes"),"Choose One!",IF('Part VII-Pro Forma'!$G$8="Yes",ROUND((-$K$8*(1+'Part VII-Pro Forma'!$B$6)^('Part VII-Pro Forma'!B846-1)),),IF('Part VII-Pro Forma'!$G$9="Yes",ROUND((-(SUM(B847:B850)*'Part VII-Pro Forma'!$K$9)),),"Choose mgt fee")))</f>
        <v>0</v>
      </c>
      <c r="C853" s="911">
        <f>IF(AND('Part VII-Pro Forma'!$G$8="Yes",'Part VII-Pro Forma'!$G$9="Yes"),"Choose One!",IF('Part VII-Pro Forma'!$G$8="Yes",ROUND((-$K$8*(1+'Part VII-Pro Forma'!$B$6)^('Part VII-Pro Forma'!C846-1)),),IF('Part VII-Pro Forma'!$G$9="Yes",ROUND((-(SUM(C847:C850)*'Part VII-Pro Forma'!$K$9)),),"Choose mgt fee")))</f>
        <v>0</v>
      </c>
      <c r="D853" s="911">
        <f>IF(AND('Part VII-Pro Forma'!$G$8="Yes",'Part VII-Pro Forma'!$G$9="Yes"),"Choose One!",IF('Part VII-Pro Forma'!$G$8="Yes",ROUND((-$K$8*(1+'Part VII-Pro Forma'!$B$6)^('Part VII-Pro Forma'!D846-1)),),IF('Part VII-Pro Forma'!$G$9="Yes",ROUND((-(SUM(D847:D850)*'Part VII-Pro Forma'!$K$9)),),"Choose mgt fee")))</f>
        <v>0</v>
      </c>
      <c r="E853" s="911">
        <f>IF(AND('Part VII-Pro Forma'!$G$8="Yes",'Part VII-Pro Forma'!$G$9="Yes"),"Choose One!",IF('Part VII-Pro Forma'!$G$8="Yes",ROUND((-$K$8*(1+'Part VII-Pro Forma'!$B$6)^('Part VII-Pro Forma'!E846-1)),),IF('Part VII-Pro Forma'!$G$9="Yes",ROUND((-(SUM(E847:E850)*'Part VII-Pro Forma'!$K$9)),),"Choose mgt fee")))</f>
        <v>0</v>
      </c>
      <c r="F853" s="911">
        <f>IF(AND('Part VII-Pro Forma'!$G$8="Yes",'Part VII-Pro Forma'!$G$9="Yes"),"Choose One!",IF('Part VII-Pro Forma'!$G$8="Yes",ROUND((-$K$8*(1+'Part VII-Pro Forma'!$B$6)^('Part VII-Pro Forma'!F846-1)),),IF('Part VII-Pro Forma'!$G$9="Yes",ROUND((-(SUM(F847:F850)*'Part VII-Pro Forma'!$K$9)),),"Choose mgt fee")))</f>
        <v>0</v>
      </c>
      <c r="G853" s="911">
        <f>IF(AND('Part VII-Pro Forma'!$G$8="Yes",'Part VII-Pro Forma'!$G$9="Yes"),"Choose One!",IF('Part VII-Pro Forma'!$G$8="Yes",ROUND((-$K$8*(1+'Part VII-Pro Forma'!$B$6)^('Part VII-Pro Forma'!G846-1)),),IF('Part VII-Pro Forma'!$G$9="Yes",ROUND((-(SUM(G847:G850)*'Part VII-Pro Forma'!$K$9)),),"Choose mgt fee")))</f>
        <v>0</v>
      </c>
      <c r="H853" s="911">
        <f>IF(AND('Part VII-Pro Forma'!$G$8="Yes",'Part VII-Pro Forma'!$G$9="Yes"),"Choose One!",IF('Part VII-Pro Forma'!$G$8="Yes",ROUND((-$K$8*(1+'Part VII-Pro Forma'!$B$6)^('Part VII-Pro Forma'!H846-1)),),IF('Part VII-Pro Forma'!$G$9="Yes",ROUND((-(SUM(H847:H850)*'Part VII-Pro Forma'!$K$9)),),"Choose mgt fee")))</f>
        <v>0</v>
      </c>
      <c r="I853" s="911">
        <f>IF(AND('Part VII-Pro Forma'!$G$8="Yes",'Part VII-Pro Forma'!$G$9="Yes"),"Choose One!",IF('Part VII-Pro Forma'!$G$8="Yes",ROUND((-$K$8*(1+'Part VII-Pro Forma'!$B$6)^('Part VII-Pro Forma'!I846-1)),),IF('Part VII-Pro Forma'!$G$9="Yes",ROUND((-(SUM(I847:I850)*'Part VII-Pro Forma'!$K$9)),),"Choose mgt fee")))</f>
        <v>0</v>
      </c>
      <c r="J853" s="911">
        <f>IF(AND('Part VII-Pro Forma'!$G$8="Yes",'Part VII-Pro Forma'!$G$9="Yes"),"Choose One!",IF('Part VII-Pro Forma'!$G$8="Yes",ROUND((-$K$8*(1+'Part VII-Pro Forma'!$B$6)^('Part VII-Pro Forma'!J846-1)),),IF('Part VII-Pro Forma'!$G$9="Yes",ROUND((-(SUM(J847:J850)*'Part VII-Pro Forma'!$K$9)),),"Choose mgt fee")))</f>
        <v>0</v>
      </c>
      <c r="K853" s="911">
        <f>IF(AND('Part VII-Pro Forma'!$G$8="Yes",'Part VII-Pro Forma'!$G$9="Yes"),"Choose One!",IF('Part VII-Pro Forma'!$G$8="Yes",ROUND((-$K$8*(1+'Part VII-Pro Forma'!$B$6)^('Part VII-Pro Forma'!K846-1)),),IF('Part VII-Pro Forma'!$G$9="Yes",ROUND((-(SUM(K847:K850)*'Part VII-Pro Forma'!$K$9)),),"Choose mgt fee")))</f>
        <v>0</v>
      </c>
    </row>
    <row r="854" spans="1:11">
      <c r="A854" s="580" t="s">
        <v>1272</v>
      </c>
      <c r="B854" s="911">
        <f t="shared" ref="B854:K854" si="241">$B$21*(1+$B$7)^(B846-1)</f>
        <v>0</v>
      </c>
      <c r="C854" s="911">
        <f t="shared" si="241"/>
        <v>0</v>
      </c>
      <c r="D854" s="911">
        <f t="shared" si="241"/>
        <v>0</v>
      </c>
      <c r="E854" s="911">
        <f t="shared" si="241"/>
        <v>0</v>
      </c>
      <c r="F854" s="911">
        <f t="shared" si="241"/>
        <v>0</v>
      </c>
      <c r="G854" s="911">
        <f t="shared" si="241"/>
        <v>0</v>
      </c>
      <c r="H854" s="911">
        <f t="shared" si="241"/>
        <v>0</v>
      </c>
      <c r="I854" s="911">
        <f t="shared" si="241"/>
        <v>0</v>
      </c>
      <c r="J854" s="911">
        <f t="shared" si="241"/>
        <v>0</v>
      </c>
      <c r="K854" s="911">
        <f t="shared" si="241"/>
        <v>0</v>
      </c>
    </row>
    <row r="855" spans="1:11">
      <c r="A855" s="580" t="s">
        <v>1273</v>
      </c>
      <c r="B855" s="911">
        <f t="shared" ref="B855:K855" si="242">SUM(B847:B854)</f>
        <v>0</v>
      </c>
      <c r="C855" s="911">
        <f t="shared" si="242"/>
        <v>0</v>
      </c>
      <c r="D855" s="911">
        <f t="shared" si="242"/>
        <v>0</v>
      </c>
      <c r="E855" s="911">
        <f t="shared" si="242"/>
        <v>0</v>
      </c>
      <c r="F855" s="911">
        <f t="shared" si="242"/>
        <v>0</v>
      </c>
      <c r="G855" s="911">
        <f t="shared" si="242"/>
        <v>0</v>
      </c>
      <c r="H855" s="911">
        <f t="shared" si="242"/>
        <v>0</v>
      </c>
      <c r="I855" s="911">
        <f t="shared" si="242"/>
        <v>0</v>
      </c>
      <c r="J855" s="911">
        <f t="shared" si="242"/>
        <v>0</v>
      </c>
      <c r="K855" s="911">
        <f t="shared" si="242"/>
        <v>0</v>
      </c>
    </row>
    <row r="856" spans="1:11">
      <c r="A856" s="580" t="str">
        <f>$A827</f>
        <v>Mortgage A</v>
      </c>
      <c r="B856" s="911">
        <f>'Part VII-Pro Forma'!B52</f>
        <v>-71530.568392451387</v>
      </c>
      <c r="C856" s="911">
        <f>'Part VII-Pro Forma'!C52</f>
        <v>-71530.568392451387</v>
      </c>
      <c r="D856" s="911">
        <f>'Part VII-Pro Forma'!D52</f>
        <v>-71530.568392451387</v>
      </c>
      <c r="E856" s="911">
        <f>'Part VII-Pro Forma'!E52</f>
        <v>-71530.568392451387</v>
      </c>
      <c r="F856" s="911">
        <f>'Part VII-Pro Forma'!F52</f>
        <v>-71530.568392451387</v>
      </c>
      <c r="G856" s="911">
        <f>'Part VII-Pro Forma'!G52</f>
        <v>-71530.568392451387</v>
      </c>
      <c r="H856" s="911">
        <f>'Part VII-Pro Forma'!H52</f>
        <v>-71530.568392451387</v>
      </c>
      <c r="I856" s="911">
        <f>'Part VII-Pro Forma'!I52</f>
        <v>-71530.568392451387</v>
      </c>
      <c r="J856" s="911">
        <f>'Part VII-Pro Forma'!J52</f>
        <v>-71530.568392451387</v>
      </c>
      <c r="K856" s="911">
        <f>'Part VII-Pro Forma'!K52</f>
        <v>-71530.568392451387</v>
      </c>
    </row>
    <row r="857" spans="1:11">
      <c r="A857" s="580" t="str">
        <f>$A828</f>
        <v>Mortgage B</v>
      </c>
      <c r="B857" s="911">
        <f>'Part VII-Pro Forma'!B53</f>
        <v>0</v>
      </c>
      <c r="C857" s="911">
        <f>'Part VII-Pro Forma'!C53</f>
        <v>0</v>
      </c>
      <c r="D857" s="911">
        <f>'Part VII-Pro Forma'!D53</f>
        <v>0</v>
      </c>
      <c r="E857" s="911">
        <f>'Part VII-Pro Forma'!E53</f>
        <v>0</v>
      </c>
      <c r="F857" s="911">
        <f>'Part VII-Pro Forma'!F53</f>
        <v>0</v>
      </c>
      <c r="G857" s="911">
        <f>'Part VII-Pro Forma'!G53</f>
        <v>0</v>
      </c>
      <c r="H857" s="911">
        <f>'Part VII-Pro Forma'!H53</f>
        <v>0</v>
      </c>
      <c r="I857" s="911">
        <f>'Part VII-Pro Forma'!I53</f>
        <v>0</v>
      </c>
      <c r="J857" s="911">
        <f>'Part VII-Pro Forma'!J53</f>
        <v>0</v>
      </c>
      <c r="K857" s="911">
        <f>'Part VII-Pro Forma'!K53</f>
        <v>0</v>
      </c>
    </row>
    <row r="858" spans="1:11">
      <c r="A858" s="580" t="str">
        <f>$A829</f>
        <v>Mortgage C</v>
      </c>
      <c r="B858" s="911">
        <f>'Part VII-Pro Forma'!B54</f>
        <v>0</v>
      </c>
      <c r="C858" s="911">
        <f>'Part VII-Pro Forma'!C54</f>
        <v>0</v>
      </c>
      <c r="D858" s="911">
        <f>'Part VII-Pro Forma'!D54</f>
        <v>0</v>
      </c>
      <c r="E858" s="911">
        <f>'Part VII-Pro Forma'!E54</f>
        <v>0</v>
      </c>
      <c r="F858" s="911">
        <f>'Part VII-Pro Forma'!F54</f>
        <v>0</v>
      </c>
      <c r="G858" s="911">
        <f>'Part VII-Pro Forma'!G54</f>
        <v>0</v>
      </c>
      <c r="H858" s="911">
        <f>'Part VII-Pro Forma'!H54</f>
        <v>0</v>
      </c>
      <c r="I858" s="911">
        <f>'Part VII-Pro Forma'!I54</f>
        <v>0</v>
      </c>
      <c r="J858" s="911">
        <f>'Part VII-Pro Forma'!J54</f>
        <v>0</v>
      </c>
      <c r="K858" s="911">
        <f>'Part VII-Pro Forma'!K54</f>
        <v>0</v>
      </c>
    </row>
    <row r="859" spans="1:11">
      <c r="A859" s="580" t="str">
        <f>$A830</f>
        <v>D/S Other Source</v>
      </c>
      <c r="B859" s="911">
        <f>'Part VII-Pro Forma'!B55</f>
        <v>0</v>
      </c>
      <c r="C859" s="911">
        <f>'Part VII-Pro Forma'!C55</f>
        <v>0</v>
      </c>
      <c r="D859" s="911">
        <f>'Part VII-Pro Forma'!D55</f>
        <v>0</v>
      </c>
      <c r="E859" s="911">
        <f>'Part VII-Pro Forma'!E55</f>
        <v>0</v>
      </c>
      <c r="F859" s="911">
        <f>'Part VII-Pro Forma'!F55</f>
        <v>0</v>
      </c>
      <c r="G859" s="911">
        <f>'Part VII-Pro Forma'!G55</f>
        <v>0</v>
      </c>
      <c r="H859" s="911">
        <f>'Part VII-Pro Forma'!H55</f>
        <v>0</v>
      </c>
      <c r="I859" s="911">
        <f>'Part VII-Pro Forma'!I55</f>
        <v>0</v>
      </c>
      <c r="J859" s="911">
        <f>'Part VII-Pro Forma'!J55</f>
        <v>0</v>
      </c>
      <c r="K859" s="911">
        <f>'Part VII-Pro Forma'!K55</f>
        <v>0</v>
      </c>
    </row>
    <row r="860" spans="1:11">
      <c r="A860" s="580" t="s">
        <v>808</v>
      </c>
      <c r="B860" s="911">
        <f>'Part VII-Pro Forma'!B56</f>
        <v>0</v>
      </c>
      <c r="C860" s="911">
        <f>'Part VII-Pro Forma'!C56</f>
        <v>0</v>
      </c>
      <c r="D860" s="911">
        <f>'Part VII-Pro Forma'!D56</f>
        <v>0</v>
      </c>
      <c r="E860" s="911">
        <f>'Part VII-Pro Forma'!E56</f>
        <v>0</v>
      </c>
      <c r="F860" s="911">
        <f>'Part VII-Pro Forma'!F56</f>
        <v>0</v>
      </c>
      <c r="G860" s="911">
        <f>'Part VII-Pro Forma'!G56</f>
        <v>0</v>
      </c>
      <c r="H860" s="911">
        <f>'Part VII-Pro Forma'!H56</f>
        <v>0</v>
      </c>
      <c r="I860" s="911">
        <f>'Part VII-Pro Forma'!I56</f>
        <v>0</v>
      </c>
      <c r="J860" s="911">
        <f>'Part VII-Pro Forma'!J56</f>
        <v>0</v>
      </c>
      <c r="K860" s="911">
        <f>'Part VII-Pro Forma'!K56</f>
        <v>0</v>
      </c>
    </row>
    <row r="861" spans="1:11">
      <c r="A861" s="580" t="s">
        <v>1228</v>
      </c>
      <c r="B861" s="911">
        <f>'Part VII-Pro Forma'!B57</f>
        <v>-5000</v>
      </c>
      <c r="C861" s="911">
        <f>'Part VII-Pro Forma'!C57</f>
        <v>-5000</v>
      </c>
      <c r="D861" s="911">
        <f>'Part VII-Pro Forma'!D57</f>
        <v>-5000</v>
      </c>
      <c r="E861" s="911">
        <f>'Part VII-Pro Forma'!E57</f>
        <v>-5000</v>
      </c>
      <c r="F861" s="911">
        <f>'Part VII-Pro Forma'!F57</f>
        <v>-5000</v>
      </c>
      <c r="G861" s="911">
        <f>'Part VII-Pro Forma'!G57</f>
        <v>0</v>
      </c>
      <c r="H861" s="911">
        <f>'Part VII-Pro Forma'!H57</f>
        <v>0</v>
      </c>
      <c r="I861" s="911">
        <f>'Part VII-Pro Forma'!I57</f>
        <v>0</v>
      </c>
      <c r="J861" s="911">
        <f>'Part VII-Pro Forma'!J57</f>
        <v>0</v>
      </c>
      <c r="K861" s="911">
        <f>'Part VII-Pro Forma'!K57</f>
        <v>0</v>
      </c>
    </row>
    <row r="862" spans="1:11">
      <c r="A862" s="580" t="s">
        <v>1274</v>
      </c>
      <c r="B862" s="911">
        <f>'Part VII-Pro Forma'!B58</f>
        <v>0</v>
      </c>
      <c r="C862" s="911">
        <f>'Part VII-Pro Forma'!C58</f>
        <v>0</v>
      </c>
      <c r="D862" s="911">
        <f>'Part VII-Pro Forma'!D58</f>
        <v>0</v>
      </c>
      <c r="E862" s="911">
        <f>'Part VII-Pro Forma'!E58</f>
        <v>0</v>
      </c>
      <c r="F862" s="911">
        <f>'Part VII-Pro Forma'!F58</f>
        <v>0</v>
      </c>
      <c r="G862" s="911">
        <f>'Part VII-Pro Forma'!G58</f>
        <v>0</v>
      </c>
      <c r="H862" s="911">
        <f>'Part VII-Pro Forma'!H58</f>
        <v>0</v>
      </c>
      <c r="I862" s="911">
        <f>'Part VII-Pro Forma'!I58</f>
        <v>0</v>
      </c>
      <c r="J862" s="911">
        <f>'Part VII-Pro Forma'!J58</f>
        <v>0</v>
      </c>
      <c r="K862" s="911">
        <f>'Part VII-Pro Forma'!K58</f>
        <v>0</v>
      </c>
    </row>
    <row r="863" spans="1:11">
      <c r="A863" s="580" t="s">
        <v>1229</v>
      </c>
      <c r="B863" s="911">
        <f t="shared" ref="B863:K863" si="243">SUM(B855:B862)</f>
        <v>-76530.568392451387</v>
      </c>
      <c r="C863" s="911">
        <f t="shared" si="243"/>
        <v>-76530.568392451387</v>
      </c>
      <c r="D863" s="911">
        <f t="shared" si="243"/>
        <v>-76530.568392451387</v>
      </c>
      <c r="E863" s="911">
        <f t="shared" si="243"/>
        <v>-76530.568392451387</v>
      </c>
      <c r="F863" s="911">
        <f t="shared" si="243"/>
        <v>-76530.568392451387</v>
      </c>
      <c r="G863" s="911">
        <f t="shared" si="243"/>
        <v>-71530.568392451387</v>
      </c>
      <c r="H863" s="911">
        <f t="shared" si="243"/>
        <v>-71530.568392451387</v>
      </c>
      <c r="I863" s="911">
        <f t="shared" si="243"/>
        <v>-71530.568392451387</v>
      </c>
      <c r="J863" s="911">
        <f t="shared" si="243"/>
        <v>-71530.568392451387</v>
      </c>
      <c r="K863" s="911">
        <f t="shared" si="243"/>
        <v>-71530.568392451387</v>
      </c>
    </row>
    <row r="864" spans="1:11">
      <c r="A864" s="580" t="str">
        <f>$A835</f>
        <v>DCR Mortgage A</v>
      </c>
      <c r="B864" s="926">
        <f>IF(B856=0,"",-B855/B856)</f>
        <v>0</v>
      </c>
      <c r="C864" s="926">
        <f t="shared" ref="C864:K864" si="244">IF(C856=0,"",-C855/C856)</f>
        <v>0</v>
      </c>
      <c r="D864" s="926">
        <f t="shared" si="244"/>
        <v>0</v>
      </c>
      <c r="E864" s="926">
        <f t="shared" si="244"/>
        <v>0</v>
      </c>
      <c r="F864" s="926">
        <f t="shared" si="244"/>
        <v>0</v>
      </c>
      <c r="G864" s="926">
        <f t="shared" si="244"/>
        <v>0</v>
      </c>
      <c r="H864" s="926">
        <f t="shared" si="244"/>
        <v>0</v>
      </c>
      <c r="I864" s="926">
        <f t="shared" si="244"/>
        <v>0</v>
      </c>
      <c r="J864" s="926">
        <f t="shared" si="244"/>
        <v>0</v>
      </c>
      <c r="K864" s="926">
        <f t="shared" si="244"/>
        <v>0</v>
      </c>
    </row>
    <row r="865" spans="1:11">
      <c r="A865" s="580" t="str">
        <f>$A836</f>
        <v>DCR Mortgage B</v>
      </c>
      <c r="B865" s="926" t="str">
        <f>IF(OR(B857=0,AND(B857=0,B856=0)),"",-B855/(B856+B857))</f>
        <v/>
      </c>
      <c r="C865" s="926" t="str">
        <f t="shared" ref="C865:K865" si="245">IF(OR(C857=0,AND(C857=0,C856=0)),"",-C855/(C856+C857))</f>
        <v/>
      </c>
      <c r="D865" s="926" t="str">
        <f t="shared" si="245"/>
        <v/>
      </c>
      <c r="E865" s="926" t="str">
        <f t="shared" si="245"/>
        <v/>
      </c>
      <c r="F865" s="926" t="str">
        <f t="shared" si="245"/>
        <v/>
      </c>
      <c r="G865" s="926" t="str">
        <f t="shared" si="245"/>
        <v/>
      </c>
      <c r="H865" s="926" t="str">
        <f t="shared" si="245"/>
        <v/>
      </c>
      <c r="I865" s="926" t="str">
        <f t="shared" si="245"/>
        <v/>
      </c>
      <c r="J865" s="926" t="str">
        <f t="shared" si="245"/>
        <v/>
      </c>
      <c r="K865" s="926" t="str">
        <f t="shared" si="245"/>
        <v/>
      </c>
    </row>
    <row r="866" spans="1:11">
      <c r="A866" s="580" t="str">
        <f>$A837</f>
        <v>DCR Mortgage C</v>
      </c>
      <c r="B866" s="926" t="str">
        <f>IF(OR(B858=0,AND(B858=0,B857=0,B856=0)),"",-B855/(B856+B857+B858))</f>
        <v/>
      </c>
      <c r="C866" s="926" t="str">
        <f t="shared" ref="C866:K866" si="246">IF(OR(C858=0,AND(C858=0,C857=0,C856=0)),"",-C855/(C856+C857+C858))</f>
        <v/>
      </c>
      <c r="D866" s="926" t="str">
        <f t="shared" si="246"/>
        <v/>
      </c>
      <c r="E866" s="926" t="str">
        <f t="shared" si="246"/>
        <v/>
      </c>
      <c r="F866" s="926" t="str">
        <f t="shared" si="246"/>
        <v/>
      </c>
      <c r="G866" s="926" t="str">
        <f t="shared" si="246"/>
        <v/>
      </c>
      <c r="H866" s="926" t="str">
        <f t="shared" si="246"/>
        <v/>
      </c>
      <c r="I866" s="926" t="str">
        <f t="shared" si="246"/>
        <v/>
      </c>
      <c r="J866" s="926" t="str">
        <f t="shared" si="246"/>
        <v/>
      </c>
      <c r="K866" s="926" t="str">
        <f t="shared" si="246"/>
        <v/>
      </c>
    </row>
    <row r="867" spans="1:11">
      <c r="A867" s="580" t="str">
        <f>$A838</f>
        <v>DCR Other Source</v>
      </c>
      <c r="B867" s="926" t="str">
        <f>IF(OR(B859=0,AND(B856=0,B857=0,B858=0,B859=0)),"",-B855/(B856+B857+B858+B859))</f>
        <v/>
      </c>
      <c r="C867" s="926" t="str">
        <f t="shared" ref="C867:K867" si="247">IF(OR(C859=0,AND(C856=0,C857=0,C858=0,C859=0)),"",-C855/(C856+C857+C858+C859))</f>
        <v/>
      </c>
      <c r="D867" s="926" t="str">
        <f t="shared" si="247"/>
        <v/>
      </c>
      <c r="E867" s="926" t="str">
        <f t="shared" si="247"/>
        <v/>
      </c>
      <c r="F867" s="926" t="str">
        <f t="shared" si="247"/>
        <v/>
      </c>
      <c r="G867" s="926" t="str">
        <f t="shared" si="247"/>
        <v/>
      </c>
      <c r="H867" s="926" t="str">
        <f t="shared" si="247"/>
        <v/>
      </c>
      <c r="I867" s="926" t="str">
        <f t="shared" si="247"/>
        <v/>
      </c>
      <c r="J867" s="926" t="str">
        <f t="shared" si="247"/>
        <v/>
      </c>
      <c r="K867" s="926" t="str">
        <f t="shared" si="247"/>
        <v/>
      </c>
    </row>
    <row r="868" spans="1:11">
      <c r="A868" s="580" t="s">
        <v>815</v>
      </c>
      <c r="B868" s="927" t="e">
        <f>IF(OR(B853="Choose mgt fee",B853="Choose One!"),"",(B847+B848+B849+B850+B851) / -(B852+B853+B854))</f>
        <v>#DIV/0!</v>
      </c>
      <c r="C868" s="927" t="e">
        <f t="shared" ref="C868:K868" si="248">IF(OR(C853="Choose mgt fee",C853="Choose One!"),"",(C847+C848+C849+C850+C851) / -(C852+C853+C854))</f>
        <v>#DIV/0!</v>
      </c>
      <c r="D868" s="927" t="e">
        <f t="shared" si="248"/>
        <v>#DIV/0!</v>
      </c>
      <c r="E868" s="927" t="e">
        <f t="shared" si="248"/>
        <v>#DIV/0!</v>
      </c>
      <c r="F868" s="927" t="e">
        <f t="shared" si="248"/>
        <v>#DIV/0!</v>
      </c>
      <c r="G868" s="927" t="e">
        <f t="shared" si="248"/>
        <v>#DIV/0!</v>
      </c>
      <c r="H868" s="927" t="e">
        <f t="shared" si="248"/>
        <v>#DIV/0!</v>
      </c>
      <c r="I868" s="927" t="e">
        <f t="shared" si="248"/>
        <v>#DIV/0!</v>
      </c>
      <c r="J868" s="927" t="e">
        <f t="shared" si="248"/>
        <v>#DIV/0!</v>
      </c>
      <c r="K868" s="927" t="e">
        <f t="shared" si="248"/>
        <v>#DIV/0!</v>
      </c>
    </row>
    <row r="869" spans="1:11">
      <c r="A869" s="580" t="s">
        <v>2791</v>
      </c>
      <c r="B869" s="911">
        <f>'Part VII-Pro Forma'!B65</f>
        <v>952082.08561469195</v>
      </c>
      <c r="C869" s="911">
        <f>'Part VII-Pro Forma'!C65</f>
        <v>932425.42960871686</v>
      </c>
      <c r="D869" s="911">
        <f>'Part VII-Pro Forma'!D65</f>
        <v>911659.98369511031</v>
      </c>
      <c r="E869" s="911">
        <f>'Part VII-Pro Forma'!E65</f>
        <v>889723.2034075656</v>
      </c>
      <c r="F869" s="911">
        <f>'Part VII-Pro Forma'!F65</f>
        <v>866549.01628025295</v>
      </c>
      <c r="G869" s="911">
        <f>'Part VII-Pro Forma'!G65</f>
        <v>842067.62284091453</v>
      </c>
      <c r="H869" s="911">
        <f>'Part VII-Pro Forma'!H65</f>
        <v>816205.28637840657</v>
      </c>
      <c r="I869" s="911">
        <f>'Part VII-Pro Forma'!I65</f>
        <v>788884.11085147772</v>
      </c>
      <c r="J869" s="911">
        <f>'Part VII-Pro Forma'!J65</f>
        <v>760021.8062698571</v>
      </c>
      <c r="K869" s="911">
        <f>'Part VII-Pro Forma'!K65</f>
        <v>729531.44084099168</v>
      </c>
    </row>
    <row r="870" spans="1:11">
      <c r="A870" s="580" t="s">
        <v>2792</v>
      </c>
      <c r="B870" s="911" t="str">
        <f>'Part VII-Pro Forma'!B66</f>
        <v/>
      </c>
      <c r="C870" s="911" t="str">
        <f>'Part VII-Pro Forma'!C66</f>
        <v/>
      </c>
      <c r="D870" s="911" t="str">
        <f>'Part VII-Pro Forma'!D66</f>
        <v/>
      </c>
      <c r="E870" s="911" t="str">
        <f>'Part VII-Pro Forma'!E66</f>
        <v/>
      </c>
      <c r="F870" s="911" t="str">
        <f>'Part VII-Pro Forma'!F66</f>
        <v/>
      </c>
      <c r="G870" s="911" t="str">
        <f>'Part VII-Pro Forma'!G66</f>
        <v/>
      </c>
      <c r="H870" s="911" t="str">
        <f>'Part VII-Pro Forma'!H66</f>
        <v/>
      </c>
      <c r="I870" s="911" t="str">
        <f>'Part VII-Pro Forma'!I66</f>
        <v/>
      </c>
      <c r="J870" s="911" t="str">
        <f>'Part VII-Pro Forma'!J66</f>
        <v/>
      </c>
      <c r="K870" s="911" t="str">
        <f>'Part VII-Pro Forma'!K66</f>
        <v/>
      </c>
    </row>
    <row r="871" spans="1:11">
      <c r="A871" s="580" t="s">
        <v>2793</v>
      </c>
      <c r="B871" s="911" t="str">
        <f>'Part VII-Pro Forma'!B67</f>
        <v/>
      </c>
      <c r="C871" s="911" t="str">
        <f>'Part VII-Pro Forma'!C67</f>
        <v/>
      </c>
      <c r="D871" s="911" t="str">
        <f>'Part VII-Pro Forma'!D67</f>
        <v/>
      </c>
      <c r="E871" s="911" t="str">
        <f>'Part VII-Pro Forma'!E67</f>
        <v/>
      </c>
      <c r="F871" s="911" t="str">
        <f>'Part VII-Pro Forma'!F67</f>
        <v/>
      </c>
      <c r="G871" s="911" t="str">
        <f>'Part VII-Pro Forma'!G67</f>
        <v/>
      </c>
      <c r="H871" s="911" t="str">
        <f>'Part VII-Pro Forma'!H67</f>
        <v/>
      </c>
      <c r="I871" s="911" t="str">
        <f>'Part VII-Pro Forma'!I67</f>
        <v/>
      </c>
      <c r="J871" s="911" t="str">
        <f>'Part VII-Pro Forma'!J67</f>
        <v/>
      </c>
      <c r="K871" s="911" t="str">
        <f>'Part VII-Pro Forma'!K67</f>
        <v/>
      </c>
    </row>
    <row r="872" spans="1:11">
      <c r="A872" s="580" t="s">
        <v>831</v>
      </c>
      <c r="B872" s="911" t="str">
        <f>'Part VII-Pro Forma'!B68</f>
        <v/>
      </c>
      <c r="C872" s="911" t="str">
        <f>'Part VII-Pro Forma'!C68</f>
        <v/>
      </c>
      <c r="D872" s="911" t="str">
        <f>'Part VII-Pro Forma'!D68</f>
        <v/>
      </c>
      <c r="E872" s="911" t="str">
        <f>'Part VII-Pro Forma'!E68</f>
        <v/>
      </c>
      <c r="F872" s="911" t="str">
        <f>'Part VII-Pro Forma'!F68</f>
        <v/>
      </c>
      <c r="G872" s="911" t="str">
        <f>'Part VII-Pro Forma'!G68</f>
        <v/>
      </c>
      <c r="H872" s="911" t="str">
        <f>'Part VII-Pro Forma'!H68</f>
        <v/>
      </c>
      <c r="I872" s="911" t="str">
        <f>'Part VII-Pro Forma'!I68</f>
        <v/>
      </c>
      <c r="J872" s="911" t="str">
        <f>'Part VII-Pro Forma'!J68</f>
        <v/>
      </c>
      <c r="K872" s="911" t="str">
        <f>'Part VII-Pro Forma'!K68</f>
        <v/>
      </c>
    </row>
    <row r="873" spans="1:11">
      <c r="A873" s="580" t="s">
        <v>1309</v>
      </c>
      <c r="B873" s="911">
        <f>'Part VII-Pro Forma'!B69</f>
        <v>0</v>
      </c>
      <c r="C873" s="911">
        <f>'Part VII-Pro Forma'!C69</f>
        <v>0</v>
      </c>
      <c r="D873" s="911">
        <f>'Part VII-Pro Forma'!D69</f>
        <v>0</v>
      </c>
      <c r="E873" s="911">
        <f>'Part VII-Pro Forma'!E69</f>
        <v>0</v>
      </c>
      <c r="F873" s="911">
        <f>'Part VII-Pro Forma'!F69</f>
        <v>0</v>
      </c>
      <c r="G873" s="911">
        <f>'Part VII-Pro Forma'!G69</f>
        <v>0</v>
      </c>
      <c r="H873" s="911">
        <f>'Part VII-Pro Forma'!H69</f>
        <v>0</v>
      </c>
      <c r="I873" s="911">
        <f>'Part VII-Pro Forma'!I69</f>
        <v>0</v>
      </c>
      <c r="J873" s="911">
        <f>'Part VII-Pro Forma'!J69</f>
        <v>0</v>
      </c>
      <c r="K873" s="911">
        <f>'Part VII-Pro Forma'!K69</f>
        <v>0</v>
      </c>
    </row>
    <row r="874" spans="1:11">
      <c r="B874" s="911"/>
      <c r="C874" s="911"/>
      <c r="D874" s="911"/>
      <c r="E874" s="911"/>
      <c r="F874" s="911"/>
      <c r="G874" s="911"/>
      <c r="H874" s="911"/>
      <c r="I874" s="911"/>
      <c r="J874" s="911"/>
      <c r="K874" s="911"/>
    </row>
    <row r="875" spans="1:11">
      <c r="A875" s="788" t="s">
        <v>2639</v>
      </c>
      <c r="B875" s="928">
        <f>K846+1</f>
        <v>21</v>
      </c>
      <c r="C875" s="928">
        <f t="shared" ref="C875:K875" si="249">B875+1</f>
        <v>22</v>
      </c>
      <c r="D875" s="928">
        <f t="shared" si="249"/>
        <v>23</v>
      </c>
      <c r="E875" s="928">
        <f t="shared" si="249"/>
        <v>24</v>
      </c>
      <c r="F875" s="928">
        <f t="shared" si="249"/>
        <v>25</v>
      </c>
      <c r="G875" s="928">
        <f t="shared" si="249"/>
        <v>26</v>
      </c>
      <c r="H875" s="928">
        <f t="shared" si="249"/>
        <v>27</v>
      </c>
      <c r="I875" s="928">
        <f t="shared" si="249"/>
        <v>28</v>
      </c>
      <c r="J875" s="928">
        <f t="shared" si="249"/>
        <v>29</v>
      </c>
      <c r="K875" s="928">
        <f t="shared" si="249"/>
        <v>30</v>
      </c>
    </row>
    <row r="876" spans="1:11">
      <c r="A876" s="580" t="s">
        <v>2557</v>
      </c>
      <c r="B876" s="911">
        <f t="shared" ref="B876:K876" si="250">$B$14*(1+$B$5)^(B875-1)</f>
        <v>0</v>
      </c>
      <c r="C876" s="911">
        <f t="shared" si="250"/>
        <v>0</v>
      </c>
      <c r="D876" s="911">
        <f t="shared" si="250"/>
        <v>0</v>
      </c>
      <c r="E876" s="911">
        <f t="shared" si="250"/>
        <v>0</v>
      </c>
      <c r="F876" s="911">
        <f t="shared" si="250"/>
        <v>0</v>
      </c>
      <c r="G876" s="911">
        <f t="shared" si="250"/>
        <v>0</v>
      </c>
      <c r="H876" s="911">
        <f t="shared" si="250"/>
        <v>0</v>
      </c>
      <c r="I876" s="911">
        <f t="shared" si="250"/>
        <v>0</v>
      </c>
      <c r="J876" s="911">
        <f t="shared" si="250"/>
        <v>0</v>
      </c>
      <c r="K876" s="911">
        <f t="shared" si="250"/>
        <v>0</v>
      </c>
    </row>
    <row r="877" spans="1:11">
      <c r="A877" s="580" t="s">
        <v>1072</v>
      </c>
      <c r="B877" s="911">
        <f t="shared" ref="B877:K877" si="251">$B$15*(1+$B$5)^(B875-1)</f>
        <v>0</v>
      </c>
      <c r="C877" s="911">
        <f t="shared" si="251"/>
        <v>0</v>
      </c>
      <c r="D877" s="911">
        <f t="shared" si="251"/>
        <v>0</v>
      </c>
      <c r="E877" s="911">
        <f t="shared" si="251"/>
        <v>0</v>
      </c>
      <c r="F877" s="911">
        <f t="shared" si="251"/>
        <v>0</v>
      </c>
      <c r="G877" s="911">
        <f t="shared" si="251"/>
        <v>0</v>
      </c>
      <c r="H877" s="911">
        <f t="shared" si="251"/>
        <v>0</v>
      </c>
      <c r="I877" s="911">
        <f t="shared" si="251"/>
        <v>0</v>
      </c>
      <c r="J877" s="911">
        <f t="shared" si="251"/>
        <v>0</v>
      </c>
      <c r="K877" s="911">
        <f t="shared" si="251"/>
        <v>0</v>
      </c>
    </row>
    <row r="878" spans="1:11">
      <c r="A878" s="580" t="s">
        <v>2558</v>
      </c>
      <c r="B878" s="911">
        <f t="shared" ref="B878:K878" si="252">-(B876+B877)*$B$8</f>
        <v>0</v>
      </c>
      <c r="C878" s="911">
        <f t="shared" si="252"/>
        <v>0</v>
      </c>
      <c r="D878" s="911">
        <f t="shared" si="252"/>
        <v>0</v>
      </c>
      <c r="E878" s="911">
        <f t="shared" si="252"/>
        <v>0</v>
      </c>
      <c r="F878" s="911">
        <f t="shared" si="252"/>
        <v>0</v>
      </c>
      <c r="G878" s="911">
        <f t="shared" si="252"/>
        <v>0</v>
      </c>
      <c r="H878" s="911">
        <f t="shared" si="252"/>
        <v>0</v>
      </c>
      <c r="I878" s="911">
        <f t="shared" si="252"/>
        <v>0</v>
      </c>
      <c r="J878" s="911">
        <f t="shared" si="252"/>
        <v>0</v>
      </c>
      <c r="K878" s="911">
        <f t="shared" si="252"/>
        <v>0</v>
      </c>
    </row>
    <row r="879" spans="1:11">
      <c r="A879" s="580" t="s">
        <v>55</v>
      </c>
      <c r="B879" s="911">
        <f>'Part VI-Revenues &amp; Expenses'!G935</f>
        <v>0</v>
      </c>
      <c r="C879" s="911">
        <f>'Part VI-Revenues &amp; Expenses'!H935</f>
        <v>0</v>
      </c>
      <c r="D879" s="911">
        <f>'Part VI-Revenues &amp; Expenses'!I935</f>
        <v>0</v>
      </c>
      <c r="E879" s="911">
        <f>'Part VI-Revenues &amp; Expenses'!J935</f>
        <v>0</v>
      </c>
      <c r="F879" s="911">
        <f>'Part VI-Revenues &amp; Expenses'!K935</f>
        <v>0</v>
      </c>
      <c r="G879" s="911">
        <f>'Part VI-Revenues &amp; Expenses'!L935</f>
        <v>0</v>
      </c>
      <c r="H879" s="911">
        <f>'Part VI-Revenues &amp; Expenses'!M935</f>
        <v>0</v>
      </c>
      <c r="I879" s="911">
        <f>'Part VI-Revenues &amp; Expenses'!N935</f>
        <v>0</v>
      </c>
      <c r="J879" s="911">
        <f>'Part VI-Revenues &amp; Expenses'!O935</f>
        <v>0</v>
      </c>
      <c r="K879" s="911">
        <f>'Part VI-Revenues &amp; Expenses'!P935</f>
        <v>0</v>
      </c>
    </row>
    <row r="880" spans="1:11">
      <c r="A880" s="580" t="s">
        <v>56</v>
      </c>
      <c r="B880" s="911">
        <f>'Part VI-Revenues &amp; Expenses'!G940</f>
        <v>0</v>
      </c>
      <c r="C880" s="911">
        <f>'Part VI-Revenues &amp; Expenses'!H940</f>
        <v>0</v>
      </c>
      <c r="D880" s="911">
        <f>'Part VI-Revenues &amp; Expenses'!I940</f>
        <v>0</v>
      </c>
      <c r="E880" s="911">
        <f>'Part VI-Revenues &amp; Expenses'!J940</f>
        <v>0</v>
      </c>
      <c r="F880" s="911">
        <f>'Part VI-Revenues &amp; Expenses'!K940</f>
        <v>0</v>
      </c>
      <c r="G880" s="911">
        <f>'Part VI-Revenues &amp; Expenses'!L940</f>
        <v>0</v>
      </c>
      <c r="H880" s="911">
        <f>'Part VI-Revenues &amp; Expenses'!M940</f>
        <v>0</v>
      </c>
      <c r="I880" s="911">
        <f>'Part VI-Revenues &amp; Expenses'!N940</f>
        <v>0</v>
      </c>
      <c r="J880" s="911">
        <f>'Part VI-Revenues &amp; Expenses'!O940</f>
        <v>0</v>
      </c>
      <c r="K880" s="911">
        <f>'Part VI-Revenues &amp; Expenses'!P940</f>
        <v>0</v>
      </c>
    </row>
    <row r="881" spans="1:11">
      <c r="A881" s="580" t="s">
        <v>650</v>
      </c>
      <c r="B881" s="911">
        <f t="shared" ref="B881:K881" si="253">$B$19*(1+$B$6)^(B875-1)</f>
        <v>0</v>
      </c>
      <c r="C881" s="911">
        <f t="shared" si="253"/>
        <v>0</v>
      </c>
      <c r="D881" s="911">
        <f t="shared" si="253"/>
        <v>0</v>
      </c>
      <c r="E881" s="911">
        <f t="shared" si="253"/>
        <v>0</v>
      </c>
      <c r="F881" s="911">
        <f t="shared" si="253"/>
        <v>0</v>
      </c>
      <c r="G881" s="911">
        <f t="shared" si="253"/>
        <v>0</v>
      </c>
      <c r="H881" s="911">
        <f t="shared" si="253"/>
        <v>0</v>
      </c>
      <c r="I881" s="911">
        <f t="shared" si="253"/>
        <v>0</v>
      </c>
      <c r="J881" s="911">
        <f t="shared" si="253"/>
        <v>0</v>
      </c>
      <c r="K881" s="911">
        <f t="shared" si="253"/>
        <v>0</v>
      </c>
    </row>
    <row r="882" spans="1:11">
      <c r="A882" s="580" t="s">
        <v>1174</v>
      </c>
      <c r="B882" s="911">
        <f>IF(AND('Part VII-Pro Forma'!$G$8="Yes",'Part VII-Pro Forma'!$G$9="Yes"),"Choose One!",IF('Part VII-Pro Forma'!$G$8="Yes",ROUND((-$K$8*(1+'Part VII-Pro Forma'!$B$6)^('Part VII-Pro Forma'!B875-1)),),IF('Part VII-Pro Forma'!$G$9="Yes",ROUND((-(SUM(B876:B879)*'Part VII-Pro Forma'!$K$9)),),"Choose mgt fee")))</f>
        <v>0</v>
      </c>
      <c r="C882" s="911">
        <f>IF(AND('Part VII-Pro Forma'!$G$8="Yes",'Part VII-Pro Forma'!$G$9="Yes"),"Choose One!",IF('Part VII-Pro Forma'!$G$8="Yes",ROUND((-$K$8*(1+'Part VII-Pro Forma'!$B$6)^('Part VII-Pro Forma'!C875-1)),),IF('Part VII-Pro Forma'!$G$9="Yes",ROUND((-(SUM(C876:C879)*'Part VII-Pro Forma'!$K$9)),),"Choose mgt fee")))</f>
        <v>0</v>
      </c>
      <c r="D882" s="911">
        <f>IF(AND('Part VII-Pro Forma'!$G$8="Yes",'Part VII-Pro Forma'!$G$9="Yes"),"Choose One!",IF('Part VII-Pro Forma'!$G$8="Yes",ROUND((-$K$8*(1+'Part VII-Pro Forma'!$B$6)^('Part VII-Pro Forma'!D875-1)),),IF('Part VII-Pro Forma'!$G$9="Yes",ROUND((-(SUM(D876:D879)*'Part VII-Pro Forma'!$K$9)),),"Choose mgt fee")))</f>
        <v>0</v>
      </c>
      <c r="E882" s="911">
        <f>IF(AND('Part VII-Pro Forma'!$G$8="Yes",'Part VII-Pro Forma'!$G$9="Yes"),"Choose One!",IF('Part VII-Pro Forma'!$G$8="Yes",ROUND((-$K$8*(1+'Part VII-Pro Forma'!$B$6)^('Part VII-Pro Forma'!E875-1)),),IF('Part VII-Pro Forma'!$G$9="Yes",ROUND((-(SUM(E876:E879)*'Part VII-Pro Forma'!$K$9)),),"Choose mgt fee")))</f>
        <v>0</v>
      </c>
      <c r="F882" s="911">
        <f>IF(AND('Part VII-Pro Forma'!$G$8="Yes",'Part VII-Pro Forma'!$G$9="Yes"),"Choose One!",IF('Part VII-Pro Forma'!$G$8="Yes",ROUND((-$K$8*(1+'Part VII-Pro Forma'!$B$6)^('Part VII-Pro Forma'!F875-1)),),IF('Part VII-Pro Forma'!$G$9="Yes",ROUND((-(SUM(F876:F879)*'Part VII-Pro Forma'!$K$9)),),"Choose mgt fee")))</f>
        <v>0</v>
      </c>
      <c r="G882" s="911">
        <f>IF(AND('Part VII-Pro Forma'!$G$8="Yes",'Part VII-Pro Forma'!$G$9="Yes"),"Choose One!",IF('Part VII-Pro Forma'!$G$8="Yes",ROUND((-$K$8*(1+'Part VII-Pro Forma'!$B$6)^('Part VII-Pro Forma'!G875-1)),),IF('Part VII-Pro Forma'!$G$9="Yes",ROUND((-(SUM(G876:G879)*'Part VII-Pro Forma'!$K$9)),),"Choose mgt fee")))</f>
        <v>0</v>
      </c>
      <c r="H882" s="911">
        <f>IF(AND('Part VII-Pro Forma'!$G$8="Yes",'Part VII-Pro Forma'!$G$9="Yes"),"Choose One!",IF('Part VII-Pro Forma'!$G$8="Yes",ROUND((-$K$8*(1+'Part VII-Pro Forma'!$B$6)^('Part VII-Pro Forma'!H875-1)),),IF('Part VII-Pro Forma'!$G$9="Yes",ROUND((-(SUM(H876:H879)*'Part VII-Pro Forma'!$K$9)),),"Choose mgt fee")))</f>
        <v>0</v>
      </c>
      <c r="I882" s="911">
        <f>IF(AND('Part VII-Pro Forma'!$G$8="Yes",'Part VII-Pro Forma'!$G$9="Yes"),"Choose One!",IF('Part VII-Pro Forma'!$G$8="Yes",ROUND((-$K$8*(1+'Part VII-Pro Forma'!$B$6)^('Part VII-Pro Forma'!I875-1)),),IF('Part VII-Pro Forma'!$G$9="Yes",ROUND((-(SUM(I876:I879)*'Part VII-Pro Forma'!$K$9)),),"Choose mgt fee")))</f>
        <v>0</v>
      </c>
      <c r="J882" s="911">
        <f>IF(AND('Part VII-Pro Forma'!$G$8="Yes",'Part VII-Pro Forma'!$G$9="Yes"),"Choose One!",IF('Part VII-Pro Forma'!$G$8="Yes",ROUND((-$K$8*(1+'Part VII-Pro Forma'!$B$6)^('Part VII-Pro Forma'!J875-1)),),IF('Part VII-Pro Forma'!$G$9="Yes",ROUND((-(SUM(J876:J879)*'Part VII-Pro Forma'!$K$9)),),"Choose mgt fee")))</f>
        <v>0</v>
      </c>
      <c r="K882" s="911">
        <f>IF(AND('Part VII-Pro Forma'!$G$8="Yes",'Part VII-Pro Forma'!$G$9="Yes"),"Choose One!",IF('Part VII-Pro Forma'!$G$8="Yes",ROUND((-$K$8*(1+'Part VII-Pro Forma'!$B$6)^('Part VII-Pro Forma'!K875-1)),),IF('Part VII-Pro Forma'!$G$9="Yes",ROUND((-(SUM(K876:K879)*'Part VII-Pro Forma'!$K$9)),),"Choose mgt fee")))</f>
        <v>0</v>
      </c>
    </row>
    <row r="883" spans="1:11">
      <c r="A883" s="580" t="s">
        <v>1272</v>
      </c>
      <c r="B883" s="911">
        <f t="shared" ref="B883:K883" si="254">$B$21*(1+$B$7)^(B875-1)</f>
        <v>0</v>
      </c>
      <c r="C883" s="911">
        <f t="shared" si="254"/>
        <v>0</v>
      </c>
      <c r="D883" s="911">
        <f t="shared" si="254"/>
        <v>0</v>
      </c>
      <c r="E883" s="911">
        <f t="shared" si="254"/>
        <v>0</v>
      </c>
      <c r="F883" s="911">
        <f t="shared" si="254"/>
        <v>0</v>
      </c>
      <c r="G883" s="911">
        <f t="shared" si="254"/>
        <v>0</v>
      </c>
      <c r="H883" s="911">
        <f t="shared" si="254"/>
        <v>0</v>
      </c>
      <c r="I883" s="911">
        <f t="shared" si="254"/>
        <v>0</v>
      </c>
      <c r="J883" s="911">
        <f t="shared" si="254"/>
        <v>0</v>
      </c>
      <c r="K883" s="911">
        <f t="shared" si="254"/>
        <v>0</v>
      </c>
    </row>
    <row r="884" spans="1:11">
      <c r="A884" s="580" t="s">
        <v>1273</v>
      </c>
      <c r="B884" s="911">
        <f t="shared" ref="B884:K884" si="255">SUM(B876:B883)</f>
        <v>0</v>
      </c>
      <c r="C884" s="911">
        <f t="shared" si="255"/>
        <v>0</v>
      </c>
      <c r="D884" s="911">
        <f t="shared" si="255"/>
        <v>0</v>
      </c>
      <c r="E884" s="911">
        <f t="shared" si="255"/>
        <v>0</v>
      </c>
      <c r="F884" s="911">
        <f t="shared" si="255"/>
        <v>0</v>
      </c>
      <c r="G884" s="911">
        <f t="shared" si="255"/>
        <v>0</v>
      </c>
      <c r="H884" s="911">
        <f t="shared" si="255"/>
        <v>0</v>
      </c>
      <c r="I884" s="911">
        <f t="shared" si="255"/>
        <v>0</v>
      </c>
      <c r="J884" s="911">
        <f t="shared" si="255"/>
        <v>0</v>
      </c>
      <c r="K884" s="911">
        <f t="shared" si="255"/>
        <v>0</v>
      </c>
    </row>
    <row r="885" spans="1:11">
      <c r="A885" s="580" t="str">
        <f>$A856</f>
        <v>Mortgage A</v>
      </c>
      <c r="B885" s="911">
        <f>'Part VII-Pro Forma'!B81</f>
        <v>-71530.568392451387</v>
      </c>
      <c r="C885" s="911">
        <f>'Part VII-Pro Forma'!C81</f>
        <v>-71530.568392451387</v>
      </c>
      <c r="D885" s="911">
        <f>'Part VII-Pro Forma'!D81</f>
        <v>-71530.568392451387</v>
      </c>
      <c r="E885" s="911">
        <f>'Part VII-Pro Forma'!E81</f>
        <v>-71530.568392451387</v>
      </c>
      <c r="F885" s="911">
        <f>'Part VII-Pro Forma'!F81</f>
        <v>-71530.568392451387</v>
      </c>
      <c r="G885" s="911">
        <f>'Part VII-Pro Forma'!G81</f>
        <v>-71530.568392451387</v>
      </c>
      <c r="H885" s="911">
        <f>'Part VII-Pro Forma'!H81</f>
        <v>-71530.568392451387</v>
      </c>
      <c r="I885" s="911">
        <f>'Part VII-Pro Forma'!I81</f>
        <v>-71530.568392451387</v>
      </c>
      <c r="J885" s="911">
        <f>'Part VII-Pro Forma'!J81</f>
        <v>-71530.568392451387</v>
      </c>
      <c r="K885" s="911">
        <f>'Part VII-Pro Forma'!K81</f>
        <v>-71530.568392451387</v>
      </c>
    </row>
    <row r="886" spans="1:11">
      <c r="A886" s="580" t="str">
        <f>$A857</f>
        <v>Mortgage B</v>
      </c>
      <c r="B886" s="911">
        <f>'Part VII-Pro Forma'!B82</f>
        <v>0</v>
      </c>
      <c r="C886" s="911">
        <f>'Part VII-Pro Forma'!C82</f>
        <v>0</v>
      </c>
      <c r="D886" s="911">
        <f>'Part VII-Pro Forma'!D82</f>
        <v>0</v>
      </c>
      <c r="E886" s="911">
        <f>'Part VII-Pro Forma'!E82</f>
        <v>0</v>
      </c>
      <c r="F886" s="911">
        <f>'Part VII-Pro Forma'!F82</f>
        <v>0</v>
      </c>
      <c r="G886" s="911">
        <f>'Part VII-Pro Forma'!G82</f>
        <v>0</v>
      </c>
      <c r="H886" s="911">
        <f>'Part VII-Pro Forma'!H82</f>
        <v>0</v>
      </c>
      <c r="I886" s="911">
        <f>'Part VII-Pro Forma'!I82</f>
        <v>0</v>
      </c>
      <c r="J886" s="911">
        <f>'Part VII-Pro Forma'!J82</f>
        <v>0</v>
      </c>
      <c r="K886" s="911">
        <f>'Part VII-Pro Forma'!K82</f>
        <v>0</v>
      </c>
    </row>
    <row r="887" spans="1:11">
      <c r="A887" s="580" t="str">
        <f>$A858</f>
        <v>Mortgage C</v>
      </c>
      <c r="B887" s="911">
        <f>'Part VII-Pro Forma'!B83</f>
        <v>0</v>
      </c>
      <c r="C887" s="911">
        <f>'Part VII-Pro Forma'!C83</f>
        <v>0</v>
      </c>
      <c r="D887" s="911">
        <f>'Part VII-Pro Forma'!D83</f>
        <v>0</v>
      </c>
      <c r="E887" s="911">
        <f>'Part VII-Pro Forma'!E83</f>
        <v>0</v>
      </c>
      <c r="F887" s="911">
        <f>'Part VII-Pro Forma'!F83</f>
        <v>0</v>
      </c>
      <c r="G887" s="911">
        <f>'Part VII-Pro Forma'!G83</f>
        <v>0</v>
      </c>
      <c r="H887" s="911">
        <f>'Part VII-Pro Forma'!H83</f>
        <v>0</v>
      </c>
      <c r="I887" s="911">
        <f>'Part VII-Pro Forma'!I83</f>
        <v>0</v>
      </c>
      <c r="J887" s="911">
        <f>'Part VII-Pro Forma'!J83</f>
        <v>0</v>
      </c>
      <c r="K887" s="911">
        <f>'Part VII-Pro Forma'!K83</f>
        <v>0</v>
      </c>
    </row>
    <row r="888" spans="1:11">
      <c r="A888" s="580" t="str">
        <f>$A859</f>
        <v>D/S Other Source</v>
      </c>
      <c r="B888" s="911">
        <f>'Part VII-Pro Forma'!B84</f>
        <v>0</v>
      </c>
      <c r="C888" s="911">
        <f>'Part VII-Pro Forma'!C84</f>
        <v>0</v>
      </c>
      <c r="D888" s="911">
        <f>'Part VII-Pro Forma'!D84</f>
        <v>0</v>
      </c>
      <c r="E888" s="911">
        <f>'Part VII-Pro Forma'!E84</f>
        <v>0</v>
      </c>
      <c r="F888" s="911">
        <f>'Part VII-Pro Forma'!F84</f>
        <v>0</v>
      </c>
      <c r="G888" s="911">
        <f>'Part VII-Pro Forma'!G84</f>
        <v>0</v>
      </c>
      <c r="H888" s="911">
        <f>'Part VII-Pro Forma'!H84</f>
        <v>0</v>
      </c>
      <c r="I888" s="911">
        <f>'Part VII-Pro Forma'!I84</f>
        <v>0</v>
      </c>
      <c r="J888" s="911">
        <f>'Part VII-Pro Forma'!J84</f>
        <v>0</v>
      </c>
      <c r="K888" s="911">
        <f>'Part VII-Pro Forma'!K84</f>
        <v>0</v>
      </c>
    </row>
    <row r="889" spans="1:11">
      <c r="A889" s="580" t="s">
        <v>808</v>
      </c>
      <c r="B889" s="911">
        <f>'Part VII-Pro Forma'!B85</f>
        <v>0</v>
      </c>
      <c r="C889" s="911">
        <f>'Part VII-Pro Forma'!C85</f>
        <v>0</v>
      </c>
      <c r="D889" s="911">
        <f>'Part VII-Pro Forma'!D85</f>
        <v>0</v>
      </c>
      <c r="E889" s="911">
        <f>'Part VII-Pro Forma'!E85</f>
        <v>0</v>
      </c>
      <c r="F889" s="911">
        <f>'Part VII-Pro Forma'!F85</f>
        <v>0</v>
      </c>
      <c r="G889" s="911">
        <f>'Part VII-Pro Forma'!G85</f>
        <v>0</v>
      </c>
      <c r="H889" s="911">
        <f>'Part VII-Pro Forma'!H85</f>
        <v>0</v>
      </c>
      <c r="I889" s="911">
        <f>'Part VII-Pro Forma'!I85</f>
        <v>0</v>
      </c>
      <c r="J889" s="911">
        <f>'Part VII-Pro Forma'!J85</f>
        <v>0</v>
      </c>
      <c r="K889" s="911">
        <f>'Part VII-Pro Forma'!K85</f>
        <v>0</v>
      </c>
    </row>
    <row r="890" spans="1:11">
      <c r="A890" s="580" t="s">
        <v>1228</v>
      </c>
      <c r="B890" s="911">
        <f>'Part VII-Pro Forma'!B86</f>
        <v>0</v>
      </c>
      <c r="C890" s="911">
        <f>'Part VII-Pro Forma'!C86</f>
        <v>0</v>
      </c>
      <c r="D890" s="911">
        <f>'Part VII-Pro Forma'!D86</f>
        <v>0</v>
      </c>
      <c r="E890" s="911">
        <f>'Part VII-Pro Forma'!E86</f>
        <v>0</v>
      </c>
      <c r="F890" s="911">
        <f>'Part VII-Pro Forma'!F86</f>
        <v>0</v>
      </c>
      <c r="G890" s="911">
        <f>'Part VII-Pro Forma'!G86</f>
        <v>0</v>
      </c>
      <c r="H890" s="911">
        <f>'Part VII-Pro Forma'!H86</f>
        <v>0</v>
      </c>
      <c r="I890" s="911">
        <f>'Part VII-Pro Forma'!I86</f>
        <v>0</v>
      </c>
      <c r="J890" s="911">
        <f>'Part VII-Pro Forma'!J86</f>
        <v>0</v>
      </c>
      <c r="K890" s="911">
        <f>'Part VII-Pro Forma'!K86</f>
        <v>0</v>
      </c>
    </row>
    <row r="891" spans="1:11">
      <c r="A891" s="580" t="s">
        <v>1274</v>
      </c>
      <c r="B891" s="911">
        <f>'Part VII-Pro Forma'!B87</f>
        <v>0</v>
      </c>
      <c r="C891" s="911">
        <f>'Part VII-Pro Forma'!C87</f>
        <v>0</v>
      </c>
      <c r="D891" s="911">
        <f>'Part VII-Pro Forma'!D87</f>
        <v>0</v>
      </c>
      <c r="E891" s="911">
        <f>'Part VII-Pro Forma'!E87</f>
        <v>0</v>
      </c>
      <c r="F891" s="911">
        <f>'Part VII-Pro Forma'!F87</f>
        <v>0</v>
      </c>
      <c r="G891" s="911">
        <f>'Part VII-Pro Forma'!G87</f>
        <v>0</v>
      </c>
      <c r="H891" s="911">
        <f>'Part VII-Pro Forma'!H87</f>
        <v>0</v>
      </c>
      <c r="I891" s="911">
        <f>'Part VII-Pro Forma'!I87</f>
        <v>0</v>
      </c>
      <c r="J891" s="911">
        <f>'Part VII-Pro Forma'!J87</f>
        <v>0</v>
      </c>
      <c r="K891" s="911">
        <f>'Part VII-Pro Forma'!K87</f>
        <v>0</v>
      </c>
    </row>
    <row r="892" spans="1:11">
      <c r="A892" s="580" t="s">
        <v>1229</v>
      </c>
      <c r="B892" s="911">
        <f t="shared" ref="B892:K892" si="256">SUM(B884:B891)</f>
        <v>-71530.568392451387</v>
      </c>
      <c r="C892" s="911">
        <f t="shared" si="256"/>
        <v>-71530.568392451387</v>
      </c>
      <c r="D892" s="911">
        <f t="shared" si="256"/>
        <v>-71530.568392451387</v>
      </c>
      <c r="E892" s="911">
        <f t="shared" si="256"/>
        <v>-71530.568392451387</v>
      </c>
      <c r="F892" s="911">
        <f t="shared" si="256"/>
        <v>-71530.568392451387</v>
      </c>
      <c r="G892" s="911">
        <f t="shared" si="256"/>
        <v>-71530.568392451387</v>
      </c>
      <c r="H892" s="911">
        <f t="shared" si="256"/>
        <v>-71530.568392451387</v>
      </c>
      <c r="I892" s="911">
        <f t="shared" si="256"/>
        <v>-71530.568392451387</v>
      </c>
      <c r="J892" s="911">
        <f t="shared" si="256"/>
        <v>-71530.568392451387</v>
      </c>
      <c r="K892" s="911">
        <f t="shared" si="256"/>
        <v>-71530.568392451387</v>
      </c>
    </row>
    <row r="893" spans="1:11">
      <c r="A893" s="580" t="str">
        <f>$A864</f>
        <v>DCR Mortgage A</v>
      </c>
      <c r="B893" s="926">
        <f>IF(B885=0,"",-B884/B885)</f>
        <v>0</v>
      </c>
      <c r="C893" s="926">
        <f t="shared" ref="C893:K893" si="257">IF(C885=0,"",-C884/C885)</f>
        <v>0</v>
      </c>
      <c r="D893" s="926">
        <f t="shared" si="257"/>
        <v>0</v>
      </c>
      <c r="E893" s="926">
        <f t="shared" si="257"/>
        <v>0</v>
      </c>
      <c r="F893" s="926">
        <f t="shared" si="257"/>
        <v>0</v>
      </c>
      <c r="G893" s="926">
        <f t="shared" si="257"/>
        <v>0</v>
      </c>
      <c r="H893" s="926">
        <f t="shared" si="257"/>
        <v>0</v>
      </c>
      <c r="I893" s="926">
        <f t="shared" si="257"/>
        <v>0</v>
      </c>
      <c r="J893" s="926">
        <f t="shared" si="257"/>
        <v>0</v>
      </c>
      <c r="K893" s="926">
        <f t="shared" si="257"/>
        <v>0</v>
      </c>
    </row>
    <row r="894" spans="1:11">
      <c r="A894" s="580" t="str">
        <f>$A865</f>
        <v>DCR Mortgage B</v>
      </c>
      <c r="B894" s="926" t="str">
        <f>IF(OR(B886=0,AND(B886=0,B885=0)),"",-B884/(B885+B886))</f>
        <v/>
      </c>
      <c r="C894" s="926" t="str">
        <f t="shared" ref="C894:K894" si="258">IF(OR(C886=0,AND(C886=0,C885=0)),"",-C884/(C885+C886))</f>
        <v/>
      </c>
      <c r="D894" s="926" t="str">
        <f t="shared" si="258"/>
        <v/>
      </c>
      <c r="E894" s="926" t="str">
        <f t="shared" si="258"/>
        <v/>
      </c>
      <c r="F894" s="926" t="str">
        <f t="shared" si="258"/>
        <v/>
      </c>
      <c r="G894" s="926" t="str">
        <f t="shared" si="258"/>
        <v/>
      </c>
      <c r="H894" s="926" t="str">
        <f t="shared" si="258"/>
        <v/>
      </c>
      <c r="I894" s="926" t="str">
        <f t="shared" si="258"/>
        <v/>
      </c>
      <c r="J894" s="926" t="str">
        <f t="shared" si="258"/>
        <v/>
      </c>
      <c r="K894" s="926" t="str">
        <f t="shared" si="258"/>
        <v/>
      </c>
    </row>
    <row r="895" spans="1:11">
      <c r="A895" s="580" t="str">
        <f>$A866</f>
        <v>DCR Mortgage C</v>
      </c>
      <c r="B895" s="926" t="str">
        <f>IF(OR(B887=0,AND(B887=0,B886=0,B885=0)),"",-B884/(B885+B886+B887))</f>
        <v/>
      </c>
      <c r="C895" s="926" t="str">
        <f t="shared" ref="C895:K895" si="259">IF(OR(C887=0,AND(C887=0,C886=0,C885=0)),"",-C884/(C885+C886+C887))</f>
        <v/>
      </c>
      <c r="D895" s="926" t="str">
        <f t="shared" si="259"/>
        <v/>
      </c>
      <c r="E895" s="926" t="str">
        <f t="shared" si="259"/>
        <v/>
      </c>
      <c r="F895" s="926" t="str">
        <f t="shared" si="259"/>
        <v/>
      </c>
      <c r="G895" s="926" t="str">
        <f t="shared" si="259"/>
        <v/>
      </c>
      <c r="H895" s="926" t="str">
        <f t="shared" si="259"/>
        <v/>
      </c>
      <c r="I895" s="926" t="str">
        <f t="shared" si="259"/>
        <v/>
      </c>
      <c r="J895" s="926" t="str">
        <f t="shared" si="259"/>
        <v/>
      </c>
      <c r="K895" s="926" t="str">
        <f t="shared" si="259"/>
        <v/>
      </c>
    </row>
    <row r="896" spans="1:11">
      <c r="A896" s="580" t="str">
        <f>$A867</f>
        <v>DCR Other Source</v>
      </c>
      <c r="B896" s="926" t="str">
        <f>IF(OR(B888=0,AND(B885=0,B886=0,B887=0,B888=0)),"",-B884/(B885+B886+B887+B888))</f>
        <v/>
      </c>
      <c r="C896" s="926" t="str">
        <f t="shared" ref="C896:K896" si="260">IF(OR(C888=0,AND(C885=0,C886=0,C887=0,C888=0)),"",-C884/(C885+C886+C887+C888))</f>
        <v/>
      </c>
      <c r="D896" s="926" t="str">
        <f t="shared" si="260"/>
        <v/>
      </c>
      <c r="E896" s="926" t="str">
        <f t="shared" si="260"/>
        <v/>
      </c>
      <c r="F896" s="926" t="str">
        <f t="shared" si="260"/>
        <v/>
      </c>
      <c r="G896" s="926" t="str">
        <f t="shared" si="260"/>
        <v/>
      </c>
      <c r="H896" s="926" t="str">
        <f t="shared" si="260"/>
        <v/>
      </c>
      <c r="I896" s="926" t="str">
        <f t="shared" si="260"/>
        <v/>
      </c>
      <c r="J896" s="926" t="str">
        <f t="shared" si="260"/>
        <v/>
      </c>
      <c r="K896" s="926" t="str">
        <f t="shared" si="260"/>
        <v/>
      </c>
    </row>
    <row r="897" spans="1:17">
      <c r="A897" s="580" t="s">
        <v>815</v>
      </c>
      <c r="B897" s="927" t="e">
        <f>IF(OR(B882="Choose mgt fee",B882="Choose One!"),"",(B876+B877+B878+B879+B880) / -(B881+B882+B883))</f>
        <v>#DIV/0!</v>
      </c>
      <c r="C897" s="927" t="e">
        <f t="shared" ref="C897:K897" si="261">IF(OR(C882="Choose mgt fee",C882="Choose One!"),"",(C876+C877+C878+C879+C880) / -(C881+C882+C883))</f>
        <v>#DIV/0!</v>
      </c>
      <c r="D897" s="927" t="e">
        <f t="shared" si="261"/>
        <v>#DIV/0!</v>
      </c>
      <c r="E897" s="927" t="e">
        <f t="shared" si="261"/>
        <v>#DIV/0!</v>
      </c>
      <c r="F897" s="927" t="e">
        <f t="shared" si="261"/>
        <v>#DIV/0!</v>
      </c>
      <c r="G897" s="927" t="e">
        <f t="shared" si="261"/>
        <v>#DIV/0!</v>
      </c>
      <c r="H897" s="927" t="e">
        <f t="shared" si="261"/>
        <v>#DIV/0!</v>
      </c>
      <c r="I897" s="927" t="e">
        <f t="shared" si="261"/>
        <v>#DIV/0!</v>
      </c>
      <c r="J897" s="927" t="e">
        <f t="shared" si="261"/>
        <v>#DIV/0!</v>
      </c>
      <c r="K897" s="927" t="e">
        <f t="shared" si="261"/>
        <v>#DIV/0!</v>
      </c>
    </row>
    <row r="898" spans="1:17">
      <c r="A898" s="580" t="s">
        <v>2791</v>
      </c>
      <c r="B898" s="911">
        <f>'Part VII-Pro Forma'!B94</f>
        <v>697321.17913591082</v>
      </c>
      <c r="C898" s="911">
        <f>'Part VII-Pro Forma'!C94</f>
        <v>663294.00548558822</v>
      </c>
      <c r="D898" s="911">
        <f>'Part VII-Pro Forma'!D94</f>
        <v>627347.43177468388</v>
      </c>
      <c r="E898" s="911">
        <f>'Part VII-Pro Forma'!E94</f>
        <v>589373.18875255645</v>
      </c>
      <c r="F898" s="911">
        <f>'Part VII-Pro Forma'!F94</f>
        <v>549256.89993179054</v>
      </c>
      <c r="G898" s="911">
        <f>'Part VII-Pro Forma'!G94</f>
        <v>506877.73709203699</v>
      </c>
      <c r="H898" s="911">
        <f>'Part VII-Pro Forma'!H94</f>
        <v>462108.05635156273</v>
      </c>
      <c r="I898" s="911">
        <f>'Part VII-Pro Forma'!I94</f>
        <v>414813.01371037489</v>
      </c>
      <c r="J898" s="911">
        <f>'Part VII-Pro Forma'!J94</f>
        <v>364850.15890695498</v>
      </c>
      <c r="K898" s="911">
        <f>'Part VII-Pro Forma'!K94</f>
        <v>312069.00636532094</v>
      </c>
    </row>
    <row r="899" spans="1:17">
      <c r="A899" s="580" t="s">
        <v>2792</v>
      </c>
      <c r="B899" s="911" t="str">
        <f>'Part VII-Pro Forma'!B95</f>
        <v/>
      </c>
      <c r="C899" s="911" t="str">
        <f>'Part VII-Pro Forma'!C95</f>
        <v/>
      </c>
      <c r="D899" s="911" t="str">
        <f>'Part VII-Pro Forma'!D95</f>
        <v/>
      </c>
      <c r="E899" s="911" t="str">
        <f>'Part VII-Pro Forma'!E95</f>
        <v/>
      </c>
      <c r="F899" s="911" t="str">
        <f>'Part VII-Pro Forma'!F95</f>
        <v/>
      </c>
      <c r="G899" s="911" t="str">
        <f>'Part VII-Pro Forma'!G95</f>
        <v/>
      </c>
      <c r="H899" s="911" t="str">
        <f>'Part VII-Pro Forma'!H95</f>
        <v/>
      </c>
      <c r="I899" s="911" t="str">
        <f>'Part VII-Pro Forma'!I95</f>
        <v/>
      </c>
      <c r="J899" s="911" t="str">
        <f>'Part VII-Pro Forma'!J95</f>
        <v/>
      </c>
      <c r="K899" s="911" t="str">
        <f>'Part VII-Pro Forma'!K95</f>
        <v/>
      </c>
    </row>
    <row r="900" spans="1:17">
      <c r="A900" s="580" t="s">
        <v>2793</v>
      </c>
      <c r="B900" s="911" t="str">
        <f>'Part VII-Pro Forma'!B96</f>
        <v/>
      </c>
      <c r="C900" s="911" t="str">
        <f>'Part VII-Pro Forma'!C96</f>
        <v/>
      </c>
      <c r="D900" s="911" t="str">
        <f>'Part VII-Pro Forma'!D96</f>
        <v/>
      </c>
      <c r="E900" s="911" t="str">
        <f>'Part VII-Pro Forma'!E96</f>
        <v/>
      </c>
      <c r="F900" s="911" t="str">
        <f>'Part VII-Pro Forma'!F96</f>
        <v/>
      </c>
      <c r="G900" s="911" t="str">
        <f>'Part VII-Pro Forma'!G96</f>
        <v/>
      </c>
      <c r="H900" s="911" t="str">
        <f>'Part VII-Pro Forma'!H96</f>
        <v/>
      </c>
      <c r="I900" s="911" t="str">
        <f>'Part VII-Pro Forma'!I96</f>
        <v/>
      </c>
      <c r="J900" s="911" t="str">
        <f>'Part VII-Pro Forma'!J96</f>
        <v/>
      </c>
      <c r="K900" s="911" t="str">
        <f>'Part VII-Pro Forma'!K96</f>
        <v/>
      </c>
    </row>
    <row r="901" spans="1:17">
      <c r="A901" s="580" t="s">
        <v>831</v>
      </c>
      <c r="B901" s="911" t="str">
        <f>'Part VII-Pro Forma'!B97</f>
        <v/>
      </c>
      <c r="C901" s="911" t="str">
        <f>'Part VII-Pro Forma'!C97</f>
        <v/>
      </c>
      <c r="D901" s="911" t="str">
        <f>'Part VII-Pro Forma'!D97</f>
        <v/>
      </c>
      <c r="E901" s="911" t="str">
        <f>'Part VII-Pro Forma'!E97</f>
        <v/>
      </c>
      <c r="F901" s="911" t="str">
        <f>'Part VII-Pro Forma'!F97</f>
        <v/>
      </c>
      <c r="G901" s="911" t="str">
        <f>'Part VII-Pro Forma'!G97</f>
        <v/>
      </c>
      <c r="H901" s="911" t="str">
        <f>'Part VII-Pro Forma'!H97</f>
        <v/>
      </c>
      <c r="I901" s="911" t="str">
        <f>'Part VII-Pro Forma'!I97</f>
        <v/>
      </c>
      <c r="J901" s="911" t="str">
        <f>'Part VII-Pro Forma'!J97</f>
        <v/>
      </c>
      <c r="K901" s="911" t="str">
        <f>'Part VII-Pro Forma'!K97</f>
        <v/>
      </c>
    </row>
    <row r="902" spans="1:17">
      <c r="A902" s="580" t="s">
        <v>1309</v>
      </c>
      <c r="B902" s="911">
        <f>'Part VII-Pro Forma'!B98</f>
        <v>0</v>
      </c>
      <c r="C902" s="911">
        <f>'Part VII-Pro Forma'!C98</f>
        <v>0</v>
      </c>
      <c r="D902" s="911">
        <f>'Part VII-Pro Forma'!D98</f>
        <v>0</v>
      </c>
      <c r="E902" s="911">
        <f>'Part VII-Pro Forma'!E98</f>
        <v>0</v>
      </c>
      <c r="F902" s="911">
        <f>'Part VII-Pro Forma'!F98</f>
        <v>0</v>
      </c>
      <c r="G902" s="911">
        <f>'Part VII-Pro Forma'!G98</f>
        <v>0</v>
      </c>
      <c r="H902" s="911">
        <f>'Part VII-Pro Forma'!H98</f>
        <v>0</v>
      </c>
      <c r="I902" s="911">
        <f>'Part VII-Pro Forma'!I98</f>
        <v>0</v>
      </c>
      <c r="J902" s="911">
        <f>'Part VII-Pro Forma'!J98</f>
        <v>0</v>
      </c>
      <c r="K902" s="911">
        <f>'Part VII-Pro Forma'!K98</f>
        <v>0</v>
      </c>
    </row>
    <row r="903" spans="1:17">
      <c r="B903" s="911"/>
      <c r="C903" s="911"/>
      <c r="D903" s="911"/>
      <c r="E903" s="911"/>
      <c r="F903" s="911"/>
      <c r="G903" s="911"/>
      <c r="H903" s="911"/>
      <c r="I903" s="911"/>
      <c r="J903" s="911"/>
      <c r="K903" s="911"/>
    </row>
    <row r="905" spans="1:17">
      <c r="A905" s="788" t="s">
        <v>602</v>
      </c>
      <c r="B905" s="788"/>
      <c r="G905" s="788" t="s">
        <v>1087</v>
      </c>
    </row>
    <row r="906" spans="1:17">
      <c r="B906" s="920"/>
    </row>
    <row r="907" spans="1:17" ht="13.5">
      <c r="A907" s="2171">
        <f>'Part VII-Pro Forma'!A103</f>
        <v>0</v>
      </c>
      <c r="B907" s="2171"/>
      <c r="C907" s="2171"/>
      <c r="D907" s="2171"/>
      <c r="E907" s="2171"/>
      <c r="F907" s="2171"/>
      <c r="G907" s="2171">
        <f>'Part VII-Pro Forma'!G103</f>
        <v>0</v>
      </c>
      <c r="H907" s="2171"/>
      <c r="I907" s="2171"/>
      <c r="J907" s="2171"/>
      <c r="K907" s="2171"/>
    </row>
    <row r="910" spans="1:17">
      <c r="A910" s="2153" t="str">
        <f>CONCATENATE("PART EIGHT - THRESHOLD CRITERIA","  -  ",'Part I-Project Information'!$O$4," ",'Part I-Project Information'!$F$23,", ",'Part I-Project Information'!F936,", ",'Part I-Project Information'!J937," County")</f>
        <v>PART EIGHT - THRESHOLD CRITERIA  -  2014-028 Highland Estates, ,  County</v>
      </c>
      <c r="B910" s="2153"/>
      <c r="C910" s="2153"/>
      <c r="D910" s="2153"/>
      <c r="E910" s="2153"/>
      <c r="F910" s="2153"/>
      <c r="G910" s="2153"/>
      <c r="H910" s="2153"/>
      <c r="I910" s="2153"/>
      <c r="J910" s="2153"/>
      <c r="K910" s="2153"/>
      <c r="L910" s="2153"/>
      <c r="M910" s="2153"/>
      <c r="N910" s="2153"/>
      <c r="O910" s="2153"/>
      <c r="P910" s="2153"/>
      <c r="Q910" s="2153"/>
    </row>
    <row r="912" spans="1:17" ht="20.25">
      <c r="A912" s="2154" t="str">
        <f>'Part VIII-Threshold Criteria'!A3</f>
        <v>Preliminary Rating: Incomplete</v>
      </c>
      <c r="B912" s="2154"/>
      <c r="C912" s="2154"/>
      <c r="D912" s="2154"/>
      <c r="E912" s="2154"/>
      <c r="F912" s="2154"/>
      <c r="G912" s="2154"/>
      <c r="H912" s="2154" t="str">
        <f>'Part VIII-Threshold Criteria'!H3</f>
        <v/>
      </c>
      <c r="I912" s="2154"/>
      <c r="J912" s="2154"/>
      <c r="K912" s="2154"/>
      <c r="L912" s="2154"/>
      <c r="M912" s="2154"/>
      <c r="N912" s="2154"/>
      <c r="O912" s="2155" t="s">
        <v>985</v>
      </c>
      <c r="P912" s="2155"/>
      <c r="Q912" s="606" t="s">
        <v>1962</v>
      </c>
    </row>
    <row r="913" spans="1:17">
      <c r="A913" s="890"/>
      <c r="B913" s="2156"/>
      <c r="C913" s="2156"/>
      <c r="D913" s="2156"/>
      <c r="E913" s="890"/>
      <c r="F913" s="890"/>
      <c r="G913" s="890"/>
      <c r="H913" s="890"/>
      <c r="I913" s="890"/>
      <c r="J913" s="890"/>
      <c r="K913" s="890"/>
      <c r="L913" s="890"/>
      <c r="M913" s="890"/>
      <c r="N913" s="890"/>
      <c r="P913" s="890"/>
      <c r="Q913" s="890"/>
    </row>
    <row r="914" spans="1:17">
      <c r="A914" s="890"/>
      <c r="B914" s="890"/>
      <c r="C914" s="890"/>
      <c r="D914" s="890"/>
      <c r="E914" s="890"/>
      <c r="F914" s="890"/>
      <c r="G914" s="890"/>
      <c r="H914" s="890"/>
      <c r="I914" s="890"/>
      <c r="J914" s="890"/>
      <c r="K914" s="890"/>
      <c r="L914" s="890"/>
      <c r="M914" s="890"/>
      <c r="N914" s="890"/>
      <c r="P914" s="890"/>
      <c r="Q914" s="890"/>
    </row>
    <row r="915" spans="1:17" ht="18">
      <c r="A915" s="929" t="s">
        <v>595</v>
      </c>
      <c r="J915" s="890"/>
      <c r="K915" s="890"/>
      <c r="L915" s="890"/>
      <c r="M915" s="890"/>
      <c r="N915" s="890"/>
      <c r="P915" s="2157">
        <f>'Part VIII-Threshold Criteria'!P6</f>
        <v>0</v>
      </c>
      <c r="Q915" s="2157"/>
    </row>
    <row r="916" spans="1:17">
      <c r="A916" s="930" t="s">
        <v>290</v>
      </c>
      <c r="J916" s="890"/>
      <c r="K916" s="890"/>
      <c r="L916" s="890"/>
      <c r="M916" s="890"/>
      <c r="N916" s="890"/>
    </row>
    <row r="917" spans="1:17">
      <c r="A917" s="2136" t="str">
        <f>'Part VIII-Threshold Criteria'!A8</f>
        <v xml:space="preserve">1.) </v>
      </c>
      <c r="B917" s="2136"/>
      <c r="C917" s="2136"/>
      <c r="D917" s="2136"/>
      <c r="E917" s="2136"/>
      <c r="F917" s="2136"/>
      <c r="G917" s="2136"/>
      <c r="H917" s="2136"/>
      <c r="I917" s="2136"/>
      <c r="J917" s="2136"/>
      <c r="K917" s="2136"/>
      <c r="L917" s="2136"/>
      <c r="M917" s="2136"/>
      <c r="N917" s="2136"/>
      <c r="O917" s="2136"/>
      <c r="P917" s="2136"/>
      <c r="Q917" s="2136"/>
    </row>
    <row r="918" spans="1:17">
      <c r="A918" s="2136" t="str">
        <f>'Part VIII-Threshold Criteria'!A9</f>
        <v>2.)</v>
      </c>
      <c r="B918" s="2136"/>
      <c r="C918" s="2136"/>
      <c r="D918" s="2136"/>
      <c r="E918" s="2136"/>
      <c r="F918" s="2136"/>
      <c r="G918" s="2136"/>
      <c r="H918" s="2136"/>
      <c r="I918" s="2136"/>
      <c r="J918" s="2136"/>
      <c r="K918" s="2136"/>
      <c r="L918" s="2136"/>
      <c r="M918" s="2136"/>
      <c r="N918" s="2136"/>
      <c r="O918" s="2136"/>
      <c r="P918" s="2136"/>
      <c r="Q918" s="2136"/>
    </row>
    <row r="919" spans="1:17">
      <c r="A919" s="2136" t="str">
        <f>'Part VIII-Threshold Criteria'!A10</f>
        <v>3.)</v>
      </c>
      <c r="B919" s="2136"/>
      <c r="C919" s="2136"/>
      <c r="D919" s="2136"/>
      <c r="E919" s="2136"/>
      <c r="F919" s="2136"/>
      <c r="G919" s="2136"/>
      <c r="H919" s="2136"/>
      <c r="I919" s="2136"/>
      <c r="J919" s="2136"/>
      <c r="K919" s="2136"/>
      <c r="L919" s="2136"/>
      <c r="M919" s="2136"/>
      <c r="N919" s="2136"/>
      <c r="O919" s="2136"/>
      <c r="P919" s="2136"/>
      <c r="Q919" s="2136"/>
    </row>
    <row r="920" spans="1:17">
      <c r="A920" s="2136" t="str">
        <f>'Part VIII-Threshold Criteria'!A11</f>
        <v>4.)</v>
      </c>
      <c r="B920" s="2136"/>
      <c r="C920" s="2136"/>
      <c r="D920" s="2136"/>
      <c r="E920" s="2136"/>
      <c r="F920" s="2136"/>
      <c r="G920" s="2136"/>
      <c r="H920" s="2136"/>
      <c r="I920" s="2136"/>
      <c r="J920" s="2136"/>
      <c r="K920" s="2136"/>
      <c r="L920" s="2136"/>
      <c r="M920" s="2136"/>
      <c r="N920" s="2136"/>
      <c r="O920" s="2136"/>
      <c r="P920" s="2136"/>
      <c r="Q920" s="2136"/>
    </row>
    <row r="921" spans="1:17">
      <c r="A921" s="2136" t="str">
        <f>'Part VIII-Threshold Criteria'!A12</f>
        <v>5.)</v>
      </c>
      <c r="B921" s="2136"/>
      <c r="C921" s="2136"/>
      <c r="D921" s="2136"/>
      <c r="E921" s="2136"/>
      <c r="F921" s="2136"/>
      <c r="G921" s="2136"/>
      <c r="H921" s="2136"/>
      <c r="I921" s="2136"/>
      <c r="J921" s="2136"/>
      <c r="K921" s="2136"/>
      <c r="L921" s="2136"/>
      <c r="M921" s="2136"/>
      <c r="N921" s="2136"/>
      <c r="O921" s="2136"/>
      <c r="P921" s="2136"/>
      <c r="Q921" s="2136"/>
    </row>
    <row r="922" spans="1:17">
      <c r="A922" s="2136" t="str">
        <f>'Part VIII-Threshold Criteria'!A13</f>
        <v>6.)</v>
      </c>
      <c r="B922" s="2136"/>
      <c r="C922" s="2136"/>
      <c r="D922" s="2136"/>
      <c r="E922" s="2136"/>
      <c r="F922" s="2136"/>
      <c r="G922" s="2136"/>
      <c r="H922" s="2136"/>
      <c r="I922" s="2136"/>
      <c r="J922" s="2136"/>
      <c r="K922" s="2136"/>
      <c r="L922" s="2136"/>
      <c r="M922" s="2136"/>
      <c r="N922" s="2136"/>
      <c r="O922" s="2136"/>
      <c r="P922" s="2136"/>
      <c r="Q922" s="2136"/>
    </row>
    <row r="923" spans="1:17">
      <c r="A923" s="2136" t="str">
        <f>'Part VIII-Threshold Criteria'!A14</f>
        <v>7.)</v>
      </c>
      <c r="B923" s="2136"/>
      <c r="C923" s="2136"/>
      <c r="D923" s="2136"/>
      <c r="E923" s="2136"/>
      <c r="F923" s="2136"/>
      <c r="G923" s="2136"/>
      <c r="H923" s="2136"/>
      <c r="I923" s="2136"/>
      <c r="J923" s="2136"/>
      <c r="K923" s="2136"/>
      <c r="L923" s="2136"/>
      <c r="M923" s="2136"/>
      <c r="N923" s="2136"/>
      <c r="O923" s="2136"/>
      <c r="P923" s="2136"/>
      <c r="Q923" s="2136"/>
    </row>
    <row r="924" spans="1:17">
      <c r="A924" s="2136" t="str">
        <f>'Part VIII-Threshold Criteria'!A15</f>
        <v xml:space="preserve">8.) </v>
      </c>
      <c r="B924" s="2136"/>
      <c r="C924" s="2136"/>
      <c r="D924" s="2136"/>
      <c r="E924" s="2136"/>
      <c r="F924" s="2136"/>
      <c r="G924" s="2136"/>
      <c r="H924" s="2136"/>
      <c r="I924" s="2136"/>
      <c r="J924" s="2136"/>
      <c r="K924" s="2136"/>
      <c r="L924" s="2136"/>
      <c r="M924" s="2136"/>
      <c r="N924" s="2136"/>
      <c r="O924" s="2136"/>
      <c r="P924" s="2136"/>
      <c r="Q924" s="2136"/>
    </row>
    <row r="925" spans="1:17">
      <c r="A925" s="2136" t="str">
        <f>'Part VIII-Threshold Criteria'!A16</f>
        <v>9.)</v>
      </c>
      <c r="B925" s="2136"/>
      <c r="C925" s="2136"/>
      <c r="D925" s="2136"/>
      <c r="E925" s="2136"/>
      <c r="F925" s="2136"/>
      <c r="G925" s="2136"/>
      <c r="H925" s="2136"/>
      <c r="I925" s="2136"/>
      <c r="J925" s="2136"/>
      <c r="K925" s="2136"/>
      <c r="L925" s="2136"/>
      <c r="M925" s="2136"/>
      <c r="N925" s="2136"/>
      <c r="O925" s="2136"/>
      <c r="P925" s="2136"/>
      <c r="Q925" s="2136"/>
    </row>
    <row r="926" spans="1:17">
      <c r="A926" s="2136" t="str">
        <f>'Part VIII-Threshold Criteria'!A17</f>
        <v>10.)</v>
      </c>
      <c r="B926" s="2136"/>
      <c r="C926" s="2136"/>
      <c r="D926" s="2136"/>
      <c r="E926" s="2136"/>
      <c r="F926" s="2136"/>
      <c r="G926" s="2136"/>
      <c r="H926" s="2136"/>
      <c r="I926" s="2136"/>
      <c r="J926" s="2136"/>
      <c r="K926" s="2136"/>
      <c r="L926" s="2136"/>
      <c r="M926" s="2136"/>
      <c r="N926" s="2136"/>
      <c r="O926" s="2136"/>
      <c r="P926" s="2136"/>
      <c r="Q926" s="2136"/>
    </row>
    <row r="927" spans="1:17">
      <c r="A927" s="2136" t="str">
        <f>'Part VIII-Threshold Criteria'!A18</f>
        <v>11.)</v>
      </c>
      <c r="B927" s="2136"/>
      <c r="C927" s="2136"/>
      <c r="D927" s="2136"/>
      <c r="E927" s="2136"/>
      <c r="F927" s="2136"/>
      <c r="G927" s="2136"/>
      <c r="H927" s="2136"/>
      <c r="I927" s="2136"/>
      <c r="J927" s="2136"/>
      <c r="K927" s="2136"/>
      <c r="L927" s="2136"/>
      <c r="M927" s="2136"/>
      <c r="N927" s="2136"/>
      <c r="O927" s="2136"/>
      <c r="P927" s="2136"/>
      <c r="Q927" s="2136"/>
    </row>
    <row r="928" spans="1:17">
      <c r="A928" s="2136" t="str">
        <f>'Part VIII-Threshold Criteria'!A19</f>
        <v>12.)</v>
      </c>
      <c r="B928" s="2136"/>
      <c r="C928" s="2136"/>
      <c r="D928" s="2136"/>
      <c r="E928" s="2136"/>
      <c r="F928" s="2136"/>
      <c r="G928" s="2136"/>
      <c r="H928" s="2136"/>
      <c r="I928" s="2136"/>
      <c r="J928" s="2136"/>
      <c r="K928" s="2136"/>
      <c r="L928" s="2136"/>
      <c r="M928" s="2136"/>
      <c r="N928" s="2136"/>
      <c r="O928" s="2136"/>
      <c r="P928" s="2136"/>
      <c r="Q928" s="2136"/>
    </row>
    <row r="929" spans="1:17">
      <c r="A929" s="2136" t="str">
        <f>'Part VIII-Threshold Criteria'!A20</f>
        <v>13.)</v>
      </c>
      <c r="B929" s="2136"/>
      <c r="C929" s="2136"/>
      <c r="D929" s="2136"/>
      <c r="E929" s="2136"/>
      <c r="F929" s="2136"/>
      <c r="G929" s="2136"/>
      <c r="H929" s="2136"/>
      <c r="I929" s="2136"/>
      <c r="J929" s="2136"/>
      <c r="K929" s="2136"/>
      <c r="L929" s="2136"/>
      <c r="M929" s="2136"/>
      <c r="N929" s="2136"/>
      <c r="O929" s="2136"/>
      <c r="P929" s="2136"/>
      <c r="Q929" s="2136"/>
    </row>
    <row r="930" spans="1:17">
      <c r="A930" s="2136" t="str">
        <f>'Part VIII-Threshold Criteria'!A21</f>
        <v>14.)</v>
      </c>
      <c r="B930" s="2136"/>
      <c r="C930" s="2136"/>
      <c r="D930" s="2136"/>
      <c r="E930" s="2136"/>
      <c r="F930" s="2136"/>
      <c r="G930" s="2136"/>
      <c r="H930" s="2136"/>
      <c r="I930" s="2136"/>
      <c r="J930" s="2136"/>
      <c r="K930" s="2136"/>
      <c r="L930" s="2136"/>
      <c r="M930" s="2136"/>
      <c r="N930" s="2136"/>
      <c r="O930" s="2136"/>
      <c r="P930" s="2136"/>
      <c r="Q930" s="2136"/>
    </row>
    <row r="931" spans="1:17">
      <c r="A931" s="2136" t="str">
        <f>'Part VIII-Threshold Criteria'!A22</f>
        <v xml:space="preserve">15.) </v>
      </c>
      <c r="B931" s="2136"/>
      <c r="C931" s="2136"/>
      <c r="D931" s="2136"/>
      <c r="E931" s="2136"/>
      <c r="F931" s="2136"/>
      <c r="G931" s="2136"/>
      <c r="H931" s="2136"/>
      <c r="I931" s="2136"/>
      <c r="J931" s="2136"/>
      <c r="K931" s="2136"/>
      <c r="L931" s="2136"/>
      <c r="M931" s="2136"/>
      <c r="N931" s="2136"/>
      <c r="O931" s="2136"/>
      <c r="P931" s="2136"/>
      <c r="Q931" s="2136"/>
    </row>
    <row r="932" spans="1:17">
      <c r="A932" s="2136" t="str">
        <f>'Part VIII-Threshold Criteria'!A23</f>
        <v>16.)</v>
      </c>
      <c r="B932" s="2136"/>
      <c r="C932" s="2136"/>
      <c r="D932" s="2136"/>
      <c r="E932" s="2136"/>
      <c r="F932" s="2136"/>
      <c r="G932" s="2136"/>
      <c r="H932" s="2136"/>
      <c r="I932" s="2136"/>
      <c r="J932" s="2136"/>
      <c r="K932" s="2136"/>
      <c r="L932" s="2136"/>
      <c r="M932" s="2136"/>
      <c r="N932" s="2136"/>
      <c r="O932" s="2136"/>
      <c r="P932" s="2136"/>
      <c r="Q932" s="2136"/>
    </row>
    <row r="933" spans="1:17">
      <c r="A933" s="2136" t="str">
        <f>'Part VIII-Threshold Criteria'!A24</f>
        <v>17.)</v>
      </c>
      <c r="B933" s="2136"/>
      <c r="C933" s="2136"/>
      <c r="D933" s="2136"/>
      <c r="E933" s="2136"/>
      <c r="F933" s="2136"/>
      <c r="G933" s="2136"/>
      <c r="H933" s="2136"/>
      <c r="I933" s="2136"/>
      <c r="J933" s="2136"/>
      <c r="K933" s="2136"/>
      <c r="L933" s="2136"/>
      <c r="M933" s="2136"/>
      <c r="N933" s="2136"/>
      <c r="O933" s="2136"/>
      <c r="P933" s="2136"/>
      <c r="Q933" s="2136"/>
    </row>
    <row r="934" spans="1:17">
      <c r="A934" s="2136" t="str">
        <f>'Part VIII-Threshold Criteria'!A25</f>
        <v>18.)</v>
      </c>
      <c r="B934" s="2136"/>
      <c r="C934" s="2136"/>
      <c r="D934" s="2136"/>
      <c r="E934" s="2136"/>
      <c r="F934" s="2136"/>
      <c r="G934" s="2136"/>
      <c r="H934" s="2136"/>
      <c r="I934" s="2136"/>
      <c r="J934" s="2136"/>
      <c r="K934" s="2136"/>
      <c r="L934" s="2136"/>
      <c r="M934" s="2136"/>
      <c r="N934" s="2136"/>
      <c r="O934" s="2136"/>
      <c r="P934" s="2136"/>
      <c r="Q934" s="2136"/>
    </row>
    <row r="935" spans="1:17">
      <c r="A935" s="2136" t="str">
        <f>'Part VIII-Threshold Criteria'!A26</f>
        <v>19.)</v>
      </c>
      <c r="B935" s="2136"/>
      <c r="C935" s="2136"/>
      <c r="D935" s="2136"/>
      <c r="E935" s="2136"/>
      <c r="F935" s="2136"/>
      <c r="G935" s="2136"/>
      <c r="H935" s="2136"/>
      <c r="I935" s="2136"/>
      <c r="J935" s="2136"/>
      <c r="K935" s="2136"/>
      <c r="L935" s="2136"/>
      <c r="M935" s="2136"/>
      <c r="N935" s="2136"/>
      <c r="O935" s="2136"/>
      <c r="P935" s="2136"/>
      <c r="Q935" s="2136"/>
    </row>
    <row r="936" spans="1:17">
      <c r="A936" s="2136" t="str">
        <f>'Part VIII-Threshold Criteria'!A27</f>
        <v>20.)</v>
      </c>
      <c r="B936" s="2136"/>
      <c r="C936" s="2136"/>
      <c r="D936" s="2136"/>
      <c r="E936" s="2136"/>
      <c r="F936" s="2136"/>
      <c r="G936" s="2136"/>
      <c r="H936" s="2136"/>
      <c r="I936" s="2136"/>
      <c r="J936" s="2136"/>
      <c r="K936" s="2136"/>
      <c r="L936" s="2136"/>
      <c r="M936" s="2136"/>
      <c r="N936" s="2136"/>
      <c r="O936" s="2136"/>
      <c r="P936" s="2136"/>
      <c r="Q936" s="2136"/>
    </row>
    <row r="938" spans="1:17">
      <c r="A938" s="931">
        <v>1</v>
      </c>
      <c r="B938" s="932" t="s">
        <v>2839</v>
      </c>
      <c r="C938" s="933"/>
      <c r="D938" s="934"/>
      <c r="E938" s="934"/>
      <c r="F938" s="934"/>
      <c r="G938" s="934"/>
      <c r="I938" s="935"/>
      <c r="J938" s="935"/>
      <c r="K938" s="935"/>
      <c r="L938" s="890"/>
      <c r="M938" s="890"/>
      <c r="O938" s="936" t="s">
        <v>1989</v>
      </c>
      <c r="P938" s="2137">
        <f>'Part VIII-Threshold Criteria'!P29</f>
        <v>0</v>
      </c>
      <c r="Q938" s="2137"/>
    </row>
    <row r="940" spans="1:17">
      <c r="B940" s="937" t="s">
        <v>2110</v>
      </c>
      <c r="C940" s="584" t="s">
        <v>3267</v>
      </c>
      <c r="E940" s="938"/>
      <c r="F940" s="938"/>
      <c r="G940" s="938"/>
      <c r="H940" s="938"/>
      <c r="I940" s="583"/>
      <c r="J940" s="583"/>
      <c r="K940" s="583"/>
      <c r="L940" s="583"/>
      <c r="M940" s="583"/>
      <c r="O940" s="939" t="s">
        <v>630</v>
      </c>
      <c r="P940" s="960" t="str">
        <f>'Part VIII-Threshold Criteria'!P31</f>
        <v>No</v>
      </c>
      <c r="Q940" s="960">
        <f>'Part VIII-Threshold Criteria'!Q31</f>
        <v>0</v>
      </c>
    </row>
    <row r="941" spans="1:17">
      <c r="B941" s="940" t="s">
        <v>2113</v>
      </c>
      <c r="C941" s="584" t="s">
        <v>760</v>
      </c>
      <c r="E941" s="938"/>
      <c r="F941" s="938"/>
      <c r="G941" s="938"/>
      <c r="H941" s="938"/>
      <c r="J941" s="2137" t="str">
        <f>'Part VIII-Threshold Criteria'!J32</f>
        <v>&lt;&lt; Select &gt;&gt;</v>
      </c>
      <c r="K941" s="2137"/>
      <c r="L941" s="2137"/>
      <c r="M941" s="2137"/>
      <c r="N941" s="2137"/>
      <c r="O941" s="939"/>
      <c r="P941" s="939"/>
      <c r="Q941" s="939"/>
    </row>
    <row r="942" spans="1:17">
      <c r="B942" s="941" t="s">
        <v>1987</v>
      </c>
      <c r="C942" s="941"/>
      <c r="D942" s="941"/>
      <c r="E942" s="941"/>
      <c r="F942" s="941"/>
      <c r="G942" s="935"/>
      <c r="H942" s="935"/>
      <c r="I942" s="935"/>
      <c r="J942" s="935"/>
      <c r="K942" s="890"/>
      <c r="L942" s="890"/>
      <c r="M942" s="890"/>
      <c r="N942" s="890"/>
      <c r="O942" s="890"/>
      <c r="P942" s="890"/>
    </row>
    <row r="943" spans="1:17">
      <c r="A943" s="2129" t="str">
        <f>'Part VIII-Threshold Criteria'!A34</f>
        <v xml:space="preserve">The project was underwritten as permitted in the QAP. </v>
      </c>
      <c r="B943" s="2129"/>
      <c r="C943" s="2129"/>
      <c r="D943" s="2129"/>
      <c r="E943" s="2129"/>
      <c r="F943" s="2129"/>
      <c r="G943" s="2129"/>
      <c r="H943" s="2129"/>
      <c r="I943" s="2129"/>
      <c r="J943" s="2129"/>
      <c r="K943" s="2129"/>
      <c r="L943" s="2129"/>
      <c r="M943" s="2129"/>
      <c r="N943" s="2129"/>
      <c r="O943" s="2129"/>
      <c r="P943" s="2129"/>
      <c r="Q943" s="2129"/>
    </row>
    <row r="944" spans="1:17">
      <c r="B944" s="942" t="s">
        <v>1988</v>
      </c>
      <c r="C944" s="943"/>
      <c r="D944" s="944"/>
      <c r="E944" s="944"/>
      <c r="F944" s="944"/>
      <c r="G944" s="944"/>
      <c r="H944" s="944"/>
      <c r="I944" s="944"/>
      <c r="J944" s="944"/>
      <c r="K944" s="944"/>
      <c r="L944" s="944"/>
      <c r="M944" s="944"/>
      <c r="N944" s="944"/>
      <c r="O944" s="944"/>
      <c r="P944" s="944"/>
    </row>
    <row r="945" spans="1:17">
      <c r="A945" s="2136">
        <f>'Part VIII-Threshold Criteria'!A36</f>
        <v>0</v>
      </c>
      <c r="B945" s="2136"/>
      <c r="C945" s="2136"/>
      <c r="D945" s="2136"/>
      <c r="E945" s="2136"/>
      <c r="F945" s="2136"/>
      <c r="G945" s="2136"/>
      <c r="H945" s="2136"/>
      <c r="I945" s="2136"/>
      <c r="J945" s="2136"/>
      <c r="K945" s="2136"/>
      <c r="L945" s="2136"/>
      <c r="M945" s="2136"/>
      <c r="N945" s="2136"/>
      <c r="O945" s="2136"/>
      <c r="P945" s="2136"/>
      <c r="Q945" s="2136"/>
    </row>
    <row r="946" spans="1:17">
      <c r="A946" s="2136">
        <f>'Part VIII-Threshold Criteria'!A37</f>
        <v>0</v>
      </c>
      <c r="B946" s="2136"/>
      <c r="C946" s="2136"/>
      <c r="D946" s="2136"/>
      <c r="E946" s="2136"/>
      <c r="F946" s="2136"/>
      <c r="G946" s="2136"/>
      <c r="H946" s="2136"/>
      <c r="I946" s="2136"/>
      <c r="J946" s="2136"/>
      <c r="K946" s="2136"/>
      <c r="L946" s="2136"/>
      <c r="M946" s="2136"/>
      <c r="N946" s="2136"/>
      <c r="O946" s="2136"/>
      <c r="P946" s="2136"/>
      <c r="Q946" s="2136"/>
    </row>
    <row r="947" spans="1:17">
      <c r="A947" s="2136">
        <f>'Part VIII-Threshold Criteria'!A38</f>
        <v>0</v>
      </c>
      <c r="B947" s="2136"/>
      <c r="C947" s="2136"/>
      <c r="D947" s="2136"/>
      <c r="E947" s="2136"/>
      <c r="F947" s="2136"/>
      <c r="G947" s="2136"/>
      <c r="H947" s="2136"/>
      <c r="I947" s="2136"/>
      <c r="J947" s="2136"/>
      <c r="K947" s="2136"/>
      <c r="L947" s="2136"/>
      <c r="M947" s="2136"/>
      <c r="N947" s="2136"/>
      <c r="O947" s="2136"/>
      <c r="P947" s="2136"/>
      <c r="Q947" s="2136"/>
    </row>
    <row r="948" spans="1:17">
      <c r="A948" s="2136">
        <f>'Part VIII-Threshold Criteria'!A39</f>
        <v>0</v>
      </c>
      <c r="B948" s="2136"/>
      <c r="C948" s="2136"/>
      <c r="D948" s="2136"/>
      <c r="E948" s="2136"/>
      <c r="F948" s="2136"/>
      <c r="G948" s="2136"/>
      <c r="H948" s="2136"/>
      <c r="I948" s="2136"/>
      <c r="J948" s="2136"/>
      <c r="K948" s="2136"/>
      <c r="L948" s="2136"/>
      <c r="M948" s="2136"/>
      <c r="N948" s="2136"/>
      <c r="O948" s="2136"/>
      <c r="P948" s="2136"/>
      <c r="Q948" s="2136"/>
    </row>
    <row r="949" spans="1:17">
      <c r="B949" s="935"/>
      <c r="C949" s="944"/>
      <c r="D949" s="944"/>
      <c r="E949" s="944"/>
      <c r="F949" s="944"/>
      <c r="G949" s="944"/>
      <c r="H949" s="944"/>
      <c r="I949" s="944"/>
      <c r="J949" s="944"/>
      <c r="K949" s="944"/>
      <c r="L949" s="944"/>
      <c r="M949" s="944"/>
      <c r="N949" s="944"/>
      <c r="O949" s="944"/>
      <c r="P949" s="944"/>
      <c r="Q949" s="890"/>
    </row>
    <row r="950" spans="1:17">
      <c r="A950" s="885">
        <v>2</v>
      </c>
      <c r="B950" s="586" t="s">
        <v>2936</v>
      </c>
      <c r="C950" s="586"/>
      <c r="D950" s="586"/>
      <c r="E950" s="944"/>
      <c r="F950" s="944"/>
      <c r="G950" s="944"/>
      <c r="H950" s="944"/>
      <c r="K950" s="944"/>
      <c r="L950" s="944"/>
      <c r="M950" s="944"/>
      <c r="O950" s="936" t="s">
        <v>1989</v>
      </c>
      <c r="P950" s="2137">
        <f>'Part VIII-Threshold Criteria'!P41</f>
        <v>0</v>
      </c>
      <c r="Q950" s="2137"/>
    </row>
    <row r="951" spans="1:17">
      <c r="K951" s="944"/>
      <c r="L951" s="944"/>
    </row>
    <row r="952" spans="1:17" ht="13.5">
      <c r="A952" s="2166" t="s">
        <v>3400</v>
      </c>
      <c r="B952" s="2166"/>
      <c r="C952" s="2166"/>
      <c r="D952" s="2166"/>
      <c r="E952" s="2166"/>
      <c r="F952" s="2140" t="s">
        <v>2943</v>
      </c>
      <c r="G952" s="2140"/>
      <c r="H952" s="2140"/>
      <c r="I952" s="2140"/>
      <c r="K952" s="2140" t="s">
        <v>2945</v>
      </c>
      <c r="L952" s="2140"/>
      <c r="M952" s="2140"/>
      <c r="N952" s="2140"/>
      <c r="P952" s="945" t="s">
        <v>2988</v>
      </c>
      <c r="Q952" s="960" t="str">
        <f>'Part VIII-Threshold Criteria'!Q43</f>
        <v>Yes</v>
      </c>
    </row>
    <row r="953" spans="1:17">
      <c r="A953" s="2166"/>
      <c r="B953" s="2166"/>
      <c r="C953" s="2166"/>
      <c r="D953" s="2166"/>
      <c r="E953" s="2166"/>
      <c r="F953" s="2140" t="s">
        <v>2944</v>
      </c>
      <c r="G953" s="2140"/>
      <c r="H953" s="2140"/>
      <c r="I953" s="2140"/>
      <c r="K953" s="2140" t="s">
        <v>2946</v>
      </c>
      <c r="L953" s="2140"/>
      <c r="M953" s="2140"/>
      <c r="N953" s="2140"/>
    </row>
    <row r="954" spans="1:17">
      <c r="A954" s="2166"/>
      <c r="B954" s="2166"/>
      <c r="C954" s="2166"/>
      <c r="D954" s="2166"/>
      <c r="E954" s="2166"/>
      <c r="F954" s="2139" t="s">
        <v>2940</v>
      </c>
      <c r="G954" s="2139"/>
      <c r="H954" s="2139"/>
      <c r="I954" s="2139"/>
      <c r="K954" s="2140" t="s">
        <v>2942</v>
      </c>
      <c r="L954" s="2140"/>
      <c r="M954" s="2140"/>
      <c r="N954" s="2140"/>
      <c r="P954" s="2167" t="s">
        <v>3042</v>
      </c>
      <c r="Q954" s="2167"/>
    </row>
    <row r="955" spans="1:17">
      <c r="A955" s="2166"/>
      <c r="B955" s="2166"/>
      <c r="C955" s="2166"/>
      <c r="D955" s="2166"/>
      <c r="E955" s="2166"/>
      <c r="F955" s="2151" t="s">
        <v>2956</v>
      </c>
      <c r="G955" s="946"/>
      <c r="I955" s="2151" t="s">
        <v>2955</v>
      </c>
      <c r="K955" s="2151" t="s">
        <v>2956</v>
      </c>
      <c r="M955" s="944"/>
      <c r="N955" s="2151" t="s">
        <v>2955</v>
      </c>
      <c r="O955" s="944"/>
      <c r="P955" s="2167"/>
      <c r="Q955" s="2167"/>
    </row>
    <row r="956" spans="1:17">
      <c r="A956" s="947"/>
      <c r="D956" s="1063" t="s">
        <v>2939</v>
      </c>
      <c r="F956" s="2151"/>
      <c r="G956" s="1064" t="s">
        <v>2941</v>
      </c>
      <c r="I956" s="2151"/>
      <c r="K956" s="2151"/>
      <c r="L956" s="1064" t="s">
        <v>2941</v>
      </c>
      <c r="N956" s="2151"/>
      <c r="O956" s="944"/>
      <c r="P956" s="2152">
        <f>'Part VIII-Threshold Criteria'!P47</f>
        <v>12279708</v>
      </c>
      <c r="Q956" s="2152"/>
    </row>
    <row r="957" spans="1:17" ht="13.5">
      <c r="A957" s="947"/>
      <c r="D957" s="1065" t="s">
        <v>596</v>
      </c>
      <c r="F957" s="948">
        <f>'Part VIII-Threshold Criteria'!F48</f>
        <v>0</v>
      </c>
      <c r="G957" s="1066">
        <f>'DCA Underwriting Assumptions'!$J$12</f>
        <v>110481</v>
      </c>
      <c r="H957" s="949" t="str">
        <f>CONCATENATE("x ", F957," units = ")</f>
        <v xml:space="preserve">x 0 units = </v>
      </c>
      <c r="I957" s="950">
        <f>F957*G957</f>
        <v>0</v>
      </c>
      <c r="K957" s="948">
        <f>'Part VIII-Threshold Criteria'!K48</f>
        <v>0</v>
      </c>
      <c r="L957" s="1066">
        <f>'DCA Underwriting Assumptions'!$J$13</f>
        <v>121529</v>
      </c>
      <c r="M957" s="949" t="str">
        <f>CONCATENATE("x ", K957," units = ")</f>
        <v xml:space="preserve">x 0 units = </v>
      </c>
      <c r="N957" s="950">
        <f>K957*L957</f>
        <v>0</v>
      </c>
      <c r="O957" s="944"/>
      <c r="P957" s="2163" t="s">
        <v>2982</v>
      </c>
      <c r="Q957" s="2163"/>
    </row>
    <row r="958" spans="1:17" ht="13.5">
      <c r="A958" s="947"/>
      <c r="D958" s="1065" t="s">
        <v>2937</v>
      </c>
      <c r="F958" s="948">
        <f>'Part VIII-Threshold Criteria'!F49</f>
        <v>24</v>
      </c>
      <c r="G958" s="1066">
        <f>'DCA Underwriting Assumptions'!$K$12</f>
        <v>126647</v>
      </c>
      <c r="H958" s="949" t="str">
        <f>CONCATENATE("x ", F958," units = ")</f>
        <v xml:space="preserve">x 24 units = </v>
      </c>
      <c r="I958" s="950">
        <f>F958*G958</f>
        <v>3039528</v>
      </c>
      <c r="K958" s="948">
        <f>'Part VIII-Threshold Criteria'!K49</f>
        <v>0</v>
      </c>
      <c r="L958" s="1066">
        <f>'DCA Underwriting Assumptions'!$K$13</f>
        <v>139312</v>
      </c>
      <c r="M958" s="949" t="str">
        <f>CONCATENATE("x ", K958," units = ")</f>
        <v xml:space="preserve">x 0 units = </v>
      </c>
      <c r="N958" s="950">
        <f>K958*L958</f>
        <v>0</v>
      </c>
      <c r="O958" s="944"/>
      <c r="P958" s="2163"/>
      <c r="Q958" s="2163"/>
    </row>
    <row r="959" spans="1:17" ht="13.5">
      <c r="A959" s="947"/>
      <c r="D959" s="1065" t="s">
        <v>2938</v>
      </c>
      <c r="F959" s="948">
        <f>'Part VIII-Threshold Criteria'!F50</f>
        <v>60</v>
      </c>
      <c r="G959" s="1066">
        <f>'DCA Underwriting Assumptions'!$L$12</f>
        <v>154003</v>
      </c>
      <c r="H959" s="949" t="str">
        <f>CONCATENATE("x ", F959," units = ")</f>
        <v xml:space="preserve">x 60 units = </v>
      </c>
      <c r="I959" s="950">
        <f>F959*G959</f>
        <v>9240180</v>
      </c>
      <c r="K959" s="948">
        <f>'Part VIII-Threshold Criteria'!K50</f>
        <v>0</v>
      </c>
      <c r="L959" s="1066">
        <f>'DCA Underwriting Assumptions'!$L$13</f>
        <v>169403</v>
      </c>
      <c r="M959" s="949" t="str">
        <f>CONCATENATE("x ", K959," units = ")</f>
        <v xml:space="preserve">x 0 units = </v>
      </c>
      <c r="N959" s="950">
        <f>K959*L959</f>
        <v>0</v>
      </c>
      <c r="O959" s="944"/>
      <c r="P959" s="2163"/>
      <c r="Q959" s="2163"/>
    </row>
    <row r="960" spans="1:17" ht="13.5">
      <c r="A960" s="947"/>
      <c r="D960" s="1065" t="s">
        <v>2947</v>
      </c>
      <c r="F960" s="948">
        <f>'Part VIII-Threshold Criteria'!F51</f>
        <v>0</v>
      </c>
      <c r="G960" s="1066">
        <f>'DCA Underwriting Assumptions'!$M$12</f>
        <v>199229</v>
      </c>
      <c r="H960" s="949" t="str">
        <f>CONCATENATE("x ", F960," units = ")</f>
        <v xml:space="preserve">x 0 units = </v>
      </c>
      <c r="I960" s="950">
        <f>F960*G960</f>
        <v>0</v>
      </c>
      <c r="K960" s="948">
        <f>'Part VIII-Threshold Criteria'!K51</f>
        <v>0</v>
      </c>
      <c r="L960" s="1066">
        <f>'DCA Underwriting Assumptions'!$M$13</f>
        <v>219152</v>
      </c>
      <c r="M960" s="949" t="str">
        <f>CONCATENATE("x ", K960," units = ")</f>
        <v xml:space="preserve">x 0 units = </v>
      </c>
      <c r="N960" s="950">
        <f>K960*L960</f>
        <v>0</v>
      </c>
      <c r="O960" s="944"/>
      <c r="P960" s="2163"/>
      <c r="Q960" s="2163"/>
    </row>
    <row r="961" spans="1:17" ht="13.5">
      <c r="A961" s="947"/>
      <c r="D961" s="1065" t="s">
        <v>2948</v>
      </c>
      <c r="F961" s="948">
        <f>'Part VIII-Threshold Criteria'!F52</f>
        <v>0</v>
      </c>
      <c r="G961" s="1066">
        <f>'DCA Underwriting Assumptions'!$N$12</f>
        <v>199229</v>
      </c>
      <c r="H961" s="949" t="str">
        <f>CONCATENATE("x ", F961," units = ")</f>
        <v xml:space="preserve">x 0 units = </v>
      </c>
      <c r="I961" s="950">
        <f>F961*G961</f>
        <v>0</v>
      </c>
      <c r="K961" s="948">
        <f>'Part VIII-Threshold Criteria'!K52</f>
        <v>0</v>
      </c>
      <c r="L961" s="1066">
        <f>'DCA Underwriting Assumptions'!$N$13</f>
        <v>219152</v>
      </c>
      <c r="M961" s="949" t="str">
        <f>CONCATENATE("x ", K961," units = ")</f>
        <v xml:space="preserve">x 0 units = </v>
      </c>
      <c r="N961" s="950">
        <f>K961*L961</f>
        <v>0</v>
      </c>
      <c r="O961" s="944"/>
      <c r="P961" s="2163"/>
      <c r="Q961" s="2163"/>
    </row>
    <row r="962" spans="1:17" ht="13.5">
      <c r="A962" s="947"/>
      <c r="C962" s="946"/>
      <c r="D962" s="951" t="s">
        <v>2949</v>
      </c>
      <c r="F962" s="952">
        <f>SUM(F957:F961)</f>
        <v>84</v>
      </c>
      <c r="G962" s="1067"/>
      <c r="H962" s="948"/>
      <c r="I962" s="950">
        <f>SUM(I957:I961)</f>
        <v>12279708</v>
      </c>
      <c r="K962" s="952">
        <f>SUM(K957:K961)</f>
        <v>0</v>
      </c>
      <c r="M962" s="948"/>
      <c r="N962" s="950">
        <f>SUM(N957:N961)</f>
        <v>0</v>
      </c>
      <c r="O962" s="944"/>
      <c r="P962" s="2164">
        <f>IF('Part IV-Uses of Funds'!$G$130&gt;P956,"CHECK TDC !!!",0)</f>
        <v>0</v>
      </c>
      <c r="Q962" s="2164"/>
    </row>
    <row r="963" spans="1:17">
      <c r="A963" s="947"/>
      <c r="C963" s="946"/>
      <c r="E963" s="566"/>
      <c r="F963" s="1067"/>
      <c r="G963" s="566"/>
      <c r="I963" s="566"/>
      <c r="J963" s="566"/>
      <c r="K963" s="944"/>
      <c r="L963" s="1068"/>
      <c r="M963" s="944"/>
      <c r="N963" s="944"/>
      <c r="O963" s="944"/>
      <c r="P963" s="944"/>
      <c r="Q963" s="944"/>
    </row>
    <row r="964" spans="1:17">
      <c r="B964" s="953" t="s">
        <v>1987</v>
      </c>
      <c r="D964" s="953"/>
      <c r="E964" s="953"/>
      <c r="F964" s="953"/>
      <c r="G964" s="953"/>
      <c r="H964" s="938"/>
      <c r="I964" s="935"/>
      <c r="J964" s="935"/>
      <c r="K964" s="942" t="s">
        <v>1988</v>
      </c>
      <c r="L964" s="890"/>
      <c r="M964" s="890"/>
      <c r="N964" s="890"/>
      <c r="O964" s="890"/>
      <c r="P964" s="890"/>
      <c r="Q964" s="890"/>
    </row>
    <row r="965" spans="1:17">
      <c r="A965" s="2129" t="str">
        <f>'Part VIII-Threshold Criteria'!A56</f>
        <v xml:space="preserve">Our cost limit is less than the DCA Cost Limit. </v>
      </c>
      <c r="B965" s="2129"/>
      <c r="C965" s="2129"/>
      <c r="D965" s="2129"/>
      <c r="E965" s="2129"/>
      <c r="F965" s="2129"/>
      <c r="G965" s="2129"/>
      <c r="H965" s="2129"/>
      <c r="I965" s="2129"/>
      <c r="J965" s="2129"/>
      <c r="K965" s="2129">
        <f>'Part VIII-Threshold Criteria'!K56</f>
        <v>0</v>
      </c>
      <c r="L965" s="2129"/>
      <c r="M965" s="2129"/>
      <c r="N965" s="2129"/>
      <c r="O965" s="2129"/>
      <c r="P965" s="2129"/>
      <c r="Q965" s="2129"/>
    </row>
    <row r="966" spans="1:17">
      <c r="B966" s="935"/>
      <c r="C966" s="944"/>
      <c r="D966" s="944"/>
      <c r="E966" s="944"/>
      <c r="F966" s="944"/>
      <c r="G966" s="944"/>
      <c r="H966" s="944"/>
      <c r="I966" s="944"/>
      <c r="J966" s="944"/>
      <c r="K966" s="944"/>
      <c r="L966" s="944"/>
      <c r="M966" s="944"/>
      <c r="N966" s="944"/>
      <c r="O966" s="944"/>
      <c r="P966" s="944"/>
      <c r="Q966" s="890"/>
    </row>
    <row r="967" spans="1:17">
      <c r="A967" s="885">
        <v>3</v>
      </c>
      <c r="B967" s="586" t="s">
        <v>1256</v>
      </c>
      <c r="C967" s="586"/>
      <c r="D967" s="586"/>
      <c r="E967" s="944"/>
      <c r="F967" s="944"/>
      <c r="G967" s="944"/>
      <c r="H967" s="944"/>
      <c r="M967" s="944"/>
      <c r="O967" s="936" t="s">
        <v>1989</v>
      </c>
      <c r="P967" s="2137">
        <f>'Part VIII-Threshold Criteria'!P58</f>
        <v>0</v>
      </c>
      <c r="Q967" s="2137"/>
    </row>
    <row r="969" spans="1:17">
      <c r="A969" s="947"/>
      <c r="C969" s="946" t="s">
        <v>102</v>
      </c>
      <c r="D969" s="946"/>
      <c r="E969" s="946"/>
      <c r="F969" s="946"/>
      <c r="G969" s="946"/>
      <c r="H969" s="946"/>
      <c r="K969" s="2165" t="str">
        <f>'Part VIII-Threshold Criteria'!K60</f>
        <v>HFOP</v>
      </c>
      <c r="L969" s="2165"/>
      <c r="M969" s="2165"/>
      <c r="N969" s="944"/>
    </row>
    <row r="970" spans="1:17">
      <c r="B970" s="953" t="s">
        <v>1987</v>
      </c>
      <c r="D970" s="953"/>
      <c r="E970" s="953"/>
      <c r="F970" s="953"/>
      <c r="G970" s="953"/>
      <c r="H970" s="938"/>
      <c r="I970" s="935"/>
      <c r="J970" s="935"/>
      <c r="K970" s="942" t="s">
        <v>1988</v>
      </c>
      <c r="L970" s="890"/>
      <c r="M970" s="890"/>
      <c r="N970" s="890"/>
      <c r="O970" s="890"/>
      <c r="P970" s="890"/>
      <c r="Q970" s="890"/>
    </row>
    <row r="971" spans="1:17">
      <c r="A971" s="2129" t="str">
        <f>'Part VIII-Threshold Criteria'!A62</f>
        <v xml:space="preserve">The project is designed for HFOP. </v>
      </c>
      <c r="B971" s="2129"/>
      <c r="C971" s="2129"/>
      <c r="D971" s="2129"/>
      <c r="E971" s="2129"/>
      <c r="F971" s="2129"/>
      <c r="G971" s="2129"/>
      <c r="H971" s="2129"/>
      <c r="I971" s="2129"/>
      <c r="J971" s="2129"/>
      <c r="K971" s="2129">
        <f>'Part VIII-Threshold Criteria'!K62</f>
        <v>0</v>
      </c>
      <c r="L971" s="2129"/>
      <c r="M971" s="2129"/>
      <c r="N971" s="2129"/>
      <c r="O971" s="2129"/>
      <c r="P971" s="2129"/>
      <c r="Q971" s="2129"/>
    </row>
    <row r="972" spans="1:17">
      <c r="A972" s="890"/>
      <c r="B972" s="935"/>
      <c r="C972" s="944"/>
      <c r="D972" s="944"/>
      <c r="E972" s="944"/>
      <c r="F972" s="944"/>
      <c r="G972" s="944"/>
      <c r="H972" s="944"/>
      <c r="I972" s="944"/>
      <c r="J972" s="944"/>
      <c r="K972" s="944"/>
      <c r="L972" s="944"/>
      <c r="M972" s="944"/>
      <c r="N972" s="944"/>
      <c r="O972" s="944"/>
      <c r="P972" s="944"/>
      <c r="Q972" s="890"/>
    </row>
    <row r="973" spans="1:17">
      <c r="A973" s="885">
        <v>4</v>
      </c>
      <c r="B973" s="885" t="s">
        <v>2840</v>
      </c>
      <c r="C973" s="954"/>
      <c r="D973" s="944"/>
      <c r="E973" s="944"/>
      <c r="F973" s="944"/>
      <c r="G973" s="944"/>
      <c r="H973" s="944"/>
      <c r="I973" s="944"/>
      <c r="J973" s="944"/>
      <c r="K973" s="944"/>
      <c r="L973" s="944"/>
      <c r="M973" s="944"/>
      <c r="O973" s="936" t="s">
        <v>1989</v>
      </c>
      <c r="P973" s="2137">
        <f>'Part VIII-Threshold Criteria'!P64</f>
        <v>0</v>
      </c>
      <c r="Q973" s="2137"/>
    </row>
    <row r="975" spans="1:17">
      <c r="B975" s="937" t="s">
        <v>2110</v>
      </c>
      <c r="C975" s="2129" t="s">
        <v>3401</v>
      </c>
      <c r="D975" s="2129"/>
      <c r="E975" s="2129"/>
      <c r="F975" s="2129"/>
      <c r="G975" s="2129"/>
      <c r="H975" s="2129"/>
      <c r="I975" s="2129"/>
      <c r="J975" s="2129"/>
      <c r="K975" s="2129"/>
      <c r="L975" s="2129"/>
      <c r="M975" s="2129"/>
      <c r="O975" s="955"/>
      <c r="P975" s="960" t="str">
        <f>'Part VIII-Threshold Criteria'!P66</f>
        <v>Agree</v>
      </c>
    </row>
    <row r="976" spans="1:17">
      <c r="B976" s="940" t="s">
        <v>2113</v>
      </c>
      <c r="C976" s="938" t="s">
        <v>2957</v>
      </c>
      <c r="D976" s="938"/>
      <c r="E976" s="938"/>
      <c r="F976" s="938"/>
      <c r="G976" s="938"/>
      <c r="H976" s="938"/>
      <c r="I976" s="938"/>
      <c r="J976" s="938"/>
      <c r="K976" s="938"/>
      <c r="L976" s="938"/>
      <c r="M976" s="938"/>
      <c r="O976" s="938"/>
      <c r="P976" s="938"/>
      <c r="Q976" s="938"/>
    </row>
    <row r="977" spans="1:17">
      <c r="A977" s="956"/>
      <c r="B977" s="583"/>
      <c r="C977" s="939" t="s">
        <v>1850</v>
      </c>
      <c r="D977" s="938" t="s">
        <v>606</v>
      </c>
      <c r="E977" s="901"/>
      <c r="F977" s="901"/>
      <c r="G977" s="901"/>
      <c r="H977" s="583"/>
      <c r="I977" s="583"/>
      <c r="J977" s="584" t="s">
        <v>2927</v>
      </c>
      <c r="K977" s="2141" t="str">
        <f>'Part VIII-Threshold Criteria'!K68</f>
        <v>Holiday and semi-monthly birthday parties, pot luck dinners</v>
      </c>
      <c r="L977" s="2141"/>
      <c r="M977" s="2141"/>
      <c r="N977" s="2141"/>
      <c r="O977" s="2141"/>
      <c r="P977" s="2141"/>
      <c r="Q977" s="938"/>
    </row>
    <row r="978" spans="1:17">
      <c r="A978" s="956"/>
      <c r="B978" s="583"/>
      <c r="C978" s="939" t="s">
        <v>1851</v>
      </c>
      <c r="D978" s="938" t="s">
        <v>1926</v>
      </c>
      <c r="E978" s="901"/>
      <c r="F978" s="901"/>
      <c r="G978" s="901"/>
      <c r="H978" s="583"/>
      <c r="I978" s="583"/>
      <c r="J978" s="584" t="s">
        <v>2927</v>
      </c>
      <c r="K978" s="2141" t="str">
        <f>'Part VIII-Threshold Criteria'!K69</f>
        <v>Computer training, aerobics classes</v>
      </c>
      <c r="L978" s="2141"/>
      <c r="M978" s="2141"/>
      <c r="N978" s="2141"/>
      <c r="O978" s="2141"/>
      <c r="P978" s="2141"/>
      <c r="Q978" s="938"/>
    </row>
    <row r="979" spans="1:17">
      <c r="A979" s="956"/>
      <c r="B979" s="583"/>
      <c r="C979" s="939" t="s">
        <v>1852</v>
      </c>
      <c r="D979" s="938" t="s">
        <v>323</v>
      </c>
      <c r="E979" s="901"/>
      <c r="J979" s="584" t="s">
        <v>2927</v>
      </c>
      <c r="K979" s="2141">
        <f>'Part VIII-Threshold Criteria'!K70</f>
        <v>0</v>
      </c>
      <c r="L979" s="2141"/>
      <c r="M979" s="2141"/>
      <c r="N979" s="2141"/>
      <c r="O979" s="2141"/>
      <c r="P979" s="2141"/>
      <c r="Q979" s="938"/>
    </row>
    <row r="980" spans="1:17">
      <c r="B980" s="953" t="s">
        <v>1987</v>
      </c>
      <c r="D980" s="953"/>
      <c r="E980" s="953"/>
      <c r="F980" s="953"/>
      <c r="G980" s="953"/>
      <c r="H980" s="938"/>
      <c r="I980" s="935"/>
      <c r="J980" s="935"/>
      <c r="K980" s="935"/>
      <c r="L980" s="890"/>
      <c r="M980" s="890"/>
      <c r="N980" s="890"/>
      <c r="O980" s="890"/>
      <c r="P980" s="890"/>
      <c r="Q980" s="890"/>
    </row>
    <row r="981" spans="1:17">
      <c r="A981" s="2129" t="str">
        <f>'Part VIII-Threshold Criteria'!A72</f>
        <v xml:space="preserve">Applicant agrees to two basic ongoing servies for seniors(HFOP). </v>
      </c>
      <c r="B981" s="2129"/>
      <c r="C981" s="2129"/>
      <c r="D981" s="2129"/>
      <c r="E981" s="2129"/>
      <c r="F981" s="2129"/>
      <c r="G981" s="2129"/>
      <c r="H981" s="2129"/>
      <c r="I981" s="2129"/>
      <c r="J981" s="2129"/>
      <c r="K981" s="2129"/>
      <c r="L981" s="2129"/>
      <c r="M981" s="2129"/>
      <c r="N981" s="2129"/>
      <c r="O981" s="2129"/>
      <c r="P981" s="2129"/>
      <c r="Q981" s="2129"/>
    </row>
    <row r="982" spans="1:17">
      <c r="B982" s="942" t="s">
        <v>1988</v>
      </c>
      <c r="C982" s="943"/>
      <c r="D982" s="944"/>
      <c r="E982" s="944"/>
      <c r="F982" s="944"/>
      <c r="G982" s="944"/>
      <c r="H982" s="944"/>
      <c r="I982" s="944"/>
      <c r="J982" s="944"/>
      <c r="K982" s="944"/>
      <c r="L982" s="944"/>
      <c r="M982" s="944"/>
      <c r="N982" s="944"/>
      <c r="O982" s="944"/>
      <c r="P982" s="944"/>
      <c r="Q982" s="944"/>
    </row>
    <row r="983" spans="1:17">
      <c r="A983" s="2136">
        <f>'Part VIII-Threshold Criteria'!A74</f>
        <v>0</v>
      </c>
      <c r="B983" s="2136"/>
      <c r="C983" s="2136"/>
      <c r="D983" s="2136"/>
      <c r="E983" s="2136"/>
      <c r="F983" s="2136"/>
      <c r="G983" s="2136"/>
      <c r="H983" s="2136"/>
      <c r="I983" s="2136"/>
      <c r="J983" s="2136"/>
      <c r="K983" s="2136"/>
      <c r="L983" s="2136"/>
      <c r="M983" s="2136"/>
      <c r="N983" s="2136"/>
      <c r="O983" s="2136"/>
      <c r="P983" s="2136"/>
      <c r="Q983" s="2136"/>
    </row>
    <row r="984" spans="1:17">
      <c r="A984" s="890"/>
      <c r="B984" s="935"/>
      <c r="C984" s="944"/>
      <c r="D984" s="944"/>
      <c r="E984" s="944"/>
      <c r="F984" s="944"/>
      <c r="G984" s="944"/>
      <c r="H984" s="944"/>
      <c r="I984" s="944"/>
      <c r="J984" s="944"/>
      <c r="K984" s="944"/>
      <c r="L984" s="944"/>
      <c r="M984" s="944"/>
      <c r="N984" s="944"/>
      <c r="O984" s="944"/>
      <c r="P984" s="944"/>
      <c r="Q984" s="890"/>
    </row>
    <row r="985" spans="1:17">
      <c r="A985" s="885">
        <v>5</v>
      </c>
      <c r="B985" s="885" t="s">
        <v>2841</v>
      </c>
      <c r="C985" s="885"/>
      <c r="D985" s="944"/>
      <c r="E985" s="944"/>
      <c r="F985" s="944"/>
      <c r="G985" s="944"/>
      <c r="H985" s="944"/>
      <c r="I985" s="944"/>
      <c r="J985" s="944"/>
      <c r="K985" s="944"/>
      <c r="O985" s="936" t="s">
        <v>1989</v>
      </c>
      <c r="P985" s="2137">
        <f>'Part VIII-Threshold Criteria'!P76</f>
        <v>0</v>
      </c>
      <c r="Q985" s="2137"/>
    </row>
    <row r="987" spans="1:17">
      <c r="B987" s="940" t="s">
        <v>2110</v>
      </c>
      <c r="C987" s="566" t="s">
        <v>2617</v>
      </c>
      <c r="D987" s="903"/>
      <c r="E987" s="903"/>
      <c r="F987" s="903"/>
      <c r="G987" s="903"/>
      <c r="H987" s="903"/>
      <c r="I987" s="583"/>
      <c r="J987" s="583"/>
      <c r="K987" s="583"/>
      <c r="L987" s="939" t="s">
        <v>2110</v>
      </c>
      <c r="M987" s="2141" t="str">
        <f>'Part VIII-Threshold Criteria'!M78</f>
        <v>Koontz and Salinger</v>
      </c>
      <c r="N987" s="2141"/>
      <c r="O987" s="2141"/>
      <c r="P987" s="2149"/>
      <c r="Q987" s="960">
        <f>'Part VIII-Threshold Criteria'!Q78</f>
        <v>0</v>
      </c>
    </row>
    <row r="988" spans="1:17">
      <c r="B988" s="940" t="s">
        <v>2113</v>
      </c>
      <c r="C988" s="584" t="s">
        <v>2165</v>
      </c>
      <c r="D988" s="903"/>
      <c r="E988" s="903"/>
      <c r="F988" s="903"/>
      <c r="L988" s="939" t="s">
        <v>2113</v>
      </c>
      <c r="M988" s="2141" t="str">
        <f>'Part VIII-Threshold Criteria'!M79</f>
        <v>9 Months</v>
      </c>
      <c r="N988" s="2141"/>
      <c r="O988" s="2141"/>
      <c r="P988" s="2149"/>
      <c r="Q988" s="960">
        <f>'Part VIII-Threshold Criteria'!Q79</f>
        <v>0</v>
      </c>
    </row>
    <row r="989" spans="1:17">
      <c r="B989" s="940" t="s">
        <v>793</v>
      </c>
      <c r="C989" s="584" t="s">
        <v>3268</v>
      </c>
      <c r="D989" s="903"/>
      <c r="E989" s="903"/>
      <c r="F989" s="903"/>
      <c r="L989" s="939" t="s">
        <v>793</v>
      </c>
      <c r="M989" s="2161">
        <f>'Part VIII-Threshold Criteria'!M80</f>
        <v>0.93600000000000005</v>
      </c>
      <c r="N989" s="2161"/>
      <c r="O989" s="2161"/>
      <c r="P989" s="2162"/>
      <c r="Q989" s="960">
        <f>'Part VIII-Threshold Criteria'!Q80</f>
        <v>0</v>
      </c>
    </row>
    <row r="990" spans="1:17">
      <c r="B990" s="940" t="s">
        <v>2245</v>
      </c>
      <c r="C990" s="584" t="s">
        <v>2618</v>
      </c>
      <c r="D990" s="903"/>
      <c r="E990" s="903"/>
      <c r="F990" s="903"/>
      <c r="L990" s="939" t="s">
        <v>2245</v>
      </c>
      <c r="M990" s="2161">
        <f>'Part VIII-Threshold Criteria'!M81</f>
        <v>0.11799999999999999</v>
      </c>
      <c r="N990" s="2161"/>
      <c r="O990" s="2161"/>
      <c r="P990" s="2162"/>
      <c r="Q990" s="960">
        <f>'Part VIII-Threshold Criteria'!Q81</f>
        <v>0</v>
      </c>
    </row>
    <row r="991" spans="1:17">
      <c r="B991" s="937" t="s">
        <v>1848</v>
      </c>
      <c r="C991" s="2129" t="s">
        <v>3269</v>
      </c>
      <c r="D991" s="2129"/>
      <c r="E991" s="2129"/>
      <c r="F991" s="2129"/>
      <c r="G991" s="2129"/>
      <c r="H991" s="2129"/>
      <c r="I991" s="2129"/>
      <c r="J991" s="2129"/>
      <c r="K991" s="2129"/>
      <c r="L991" s="2129"/>
      <c r="M991" s="2129"/>
      <c r="N991" s="2129"/>
      <c r="O991" s="2129"/>
      <c r="P991" s="2129"/>
      <c r="Q991" s="2129"/>
    </row>
    <row r="992" spans="1:17">
      <c r="B992" s="940"/>
      <c r="C992" s="584"/>
      <c r="D992" s="935" t="s">
        <v>2526</v>
      </c>
      <c r="E992" s="938" t="s">
        <v>653</v>
      </c>
      <c r="F992" s="938"/>
      <c r="H992" s="584"/>
      <c r="I992" s="935" t="s">
        <v>2526</v>
      </c>
      <c r="J992" s="938" t="s">
        <v>653</v>
      </c>
      <c r="K992" s="938"/>
      <c r="M992" s="584"/>
      <c r="N992" s="935" t="s">
        <v>2526</v>
      </c>
      <c r="O992" s="938" t="s">
        <v>653</v>
      </c>
      <c r="P992" s="938"/>
      <c r="Q992" s="939"/>
    </row>
    <row r="993" spans="1:17">
      <c r="B993" s="940"/>
      <c r="C993" s="584">
        <v>1</v>
      </c>
      <c r="D993" s="960">
        <f>'Part VIII-Threshold Criteria'!D84</f>
        <v>0</v>
      </c>
      <c r="E993" s="2141" t="str">
        <f>'Part VIII-Threshold Criteria'!E84</f>
        <v>None.</v>
      </c>
      <c r="F993" s="2141"/>
      <c r="G993" s="2141"/>
      <c r="H993" s="584">
        <v>3</v>
      </c>
      <c r="I993" s="960">
        <f>'Part VIII-Threshold Criteria'!I84</f>
        <v>0</v>
      </c>
      <c r="J993" s="2141">
        <f>'Part VIII-Threshold Criteria'!J84</f>
        <v>0</v>
      </c>
      <c r="K993" s="2141"/>
      <c r="L993" s="2141"/>
      <c r="M993" s="584">
        <v>5</v>
      </c>
      <c r="N993" s="960">
        <f>'Part VIII-Threshold Criteria'!N84</f>
        <v>0</v>
      </c>
      <c r="O993" s="2141">
        <f>'Part VIII-Threshold Criteria'!O84</f>
        <v>0</v>
      </c>
      <c r="P993" s="2141"/>
      <c r="Q993" s="2141"/>
    </row>
    <row r="994" spans="1:17">
      <c r="B994" s="940"/>
      <c r="C994" s="584">
        <v>2</v>
      </c>
      <c r="D994" s="960">
        <f>'Part VIII-Threshold Criteria'!D85</f>
        <v>0</v>
      </c>
      <c r="E994" s="2141">
        <f>'Part VIII-Threshold Criteria'!E85</f>
        <v>0</v>
      </c>
      <c r="F994" s="2141"/>
      <c r="G994" s="2141"/>
      <c r="H994" s="584">
        <v>4</v>
      </c>
      <c r="I994" s="960">
        <f>'Part VIII-Threshold Criteria'!I85</f>
        <v>0</v>
      </c>
      <c r="J994" s="2141">
        <f>'Part VIII-Threshold Criteria'!J85</f>
        <v>0</v>
      </c>
      <c r="K994" s="2141"/>
      <c r="L994" s="2141"/>
      <c r="M994" s="584">
        <v>6</v>
      </c>
      <c r="N994" s="960">
        <f>'Part VIII-Threshold Criteria'!N85</f>
        <v>0</v>
      </c>
      <c r="O994" s="2141">
        <f>'Part VIII-Threshold Criteria'!O85</f>
        <v>0</v>
      </c>
      <c r="P994" s="2141"/>
      <c r="Q994" s="2141"/>
    </row>
    <row r="995" spans="1:17">
      <c r="B995" s="940" t="s">
        <v>1849</v>
      </c>
      <c r="C995" s="584" t="s">
        <v>0</v>
      </c>
      <c r="D995" s="903"/>
      <c r="E995" s="903"/>
      <c r="F995" s="903"/>
      <c r="G995" s="903"/>
      <c r="H995" s="903"/>
      <c r="I995" s="583"/>
      <c r="J995" s="583"/>
      <c r="K995" s="903"/>
      <c r="L995" s="901"/>
      <c r="M995" s="901"/>
      <c r="O995" s="939" t="s">
        <v>1849</v>
      </c>
      <c r="P995" s="960" t="str">
        <f>'Part VIII-Threshold Criteria'!P86</f>
        <v>Yes</v>
      </c>
      <c r="Q995" s="960">
        <f>'Part VIII-Threshold Criteria'!Q86</f>
        <v>0</v>
      </c>
    </row>
    <row r="996" spans="1:17">
      <c r="B996" s="953" t="s">
        <v>1987</v>
      </c>
      <c r="D996" s="953"/>
      <c r="E996" s="953"/>
      <c r="F996" s="953"/>
      <c r="G996" s="953"/>
      <c r="H996" s="938"/>
      <c r="I996" s="935"/>
      <c r="J996" s="935"/>
      <c r="K996" s="935"/>
      <c r="L996" s="890"/>
      <c r="M996" s="890"/>
      <c r="N996" s="890"/>
      <c r="O996" s="890"/>
      <c r="P996" s="890"/>
      <c r="Q996" s="890"/>
    </row>
    <row r="997" spans="1:17">
      <c r="A997" s="2129" t="str">
        <f>'Part VIII-Threshold Criteria'!A88</f>
        <v xml:space="preserve">See market study in tab 5. </v>
      </c>
      <c r="B997" s="2129"/>
      <c r="C997" s="2129"/>
      <c r="D997" s="2129"/>
      <c r="E997" s="2129"/>
      <c r="F997" s="2129"/>
      <c r="G997" s="2129"/>
      <c r="H997" s="2129"/>
      <c r="I997" s="2129"/>
      <c r="J997" s="2129"/>
      <c r="K997" s="2129"/>
      <c r="L997" s="2129"/>
      <c r="M997" s="2129"/>
      <c r="N997" s="2129"/>
      <c r="O997" s="2129"/>
      <c r="P997" s="2129"/>
      <c r="Q997" s="2129"/>
    </row>
    <row r="998" spans="1:17">
      <c r="B998" s="942" t="s">
        <v>1988</v>
      </c>
      <c r="C998" s="943"/>
      <c r="D998" s="944"/>
      <c r="E998" s="944"/>
      <c r="F998" s="944"/>
      <c r="G998" s="944"/>
      <c r="H998" s="944"/>
      <c r="I998" s="944"/>
      <c r="J998" s="944"/>
      <c r="K998" s="944"/>
      <c r="L998" s="944"/>
      <c r="M998" s="944"/>
      <c r="N998" s="944"/>
      <c r="O998" s="944"/>
      <c r="P998" s="944"/>
      <c r="Q998" s="944"/>
    </row>
    <row r="999" spans="1:17">
      <c r="A999" s="2136">
        <f>'Part VIII-Threshold Criteria'!A90</f>
        <v>0</v>
      </c>
      <c r="B999" s="2136"/>
      <c r="C999" s="2136"/>
      <c r="D999" s="2136"/>
      <c r="E999" s="2136"/>
      <c r="F999" s="2136"/>
      <c r="G999" s="2136"/>
      <c r="H999" s="2136"/>
      <c r="I999" s="2136"/>
      <c r="J999" s="2136"/>
      <c r="K999" s="2136"/>
      <c r="L999" s="2136"/>
      <c r="M999" s="2136"/>
      <c r="N999" s="2136"/>
      <c r="O999" s="2136"/>
      <c r="P999" s="2136"/>
      <c r="Q999" s="2136"/>
    </row>
    <row r="1000" spans="1:17">
      <c r="A1000" s="885">
        <v>6</v>
      </c>
      <c r="B1000" s="885" t="s">
        <v>2842</v>
      </c>
      <c r="C1000" s="885"/>
      <c r="D1000" s="944"/>
      <c r="E1000" s="944"/>
      <c r="F1000" s="944"/>
      <c r="G1000" s="944"/>
      <c r="H1000" s="944"/>
      <c r="I1000" s="944"/>
      <c r="J1000" s="944"/>
      <c r="K1000" s="944"/>
      <c r="L1000" s="944"/>
      <c r="M1000" s="944"/>
      <c r="O1000" s="936" t="s">
        <v>1989</v>
      </c>
      <c r="P1000" s="2137">
        <f>'Part VIII-Threshold Criteria'!P91</f>
        <v>0</v>
      </c>
      <c r="Q1000" s="2137"/>
    </row>
    <row r="1002" spans="1:17">
      <c r="B1002" s="940" t="s">
        <v>2110</v>
      </c>
      <c r="C1002" s="584" t="s">
        <v>520</v>
      </c>
      <c r="D1002" s="584"/>
      <c r="E1002" s="584"/>
      <c r="F1002" s="584"/>
      <c r="G1002" s="584"/>
      <c r="H1002" s="584"/>
      <c r="I1002" s="584"/>
      <c r="J1002" s="584"/>
      <c r="K1002" s="584"/>
      <c r="L1002" s="584"/>
      <c r="M1002" s="584"/>
      <c r="O1002" s="939" t="s">
        <v>2110</v>
      </c>
      <c r="P1002" s="960" t="str">
        <f>'Part VIII-Threshold Criteria'!P93</f>
        <v>No</v>
      </c>
      <c r="Q1002" s="960">
        <f>'Part VIII-Threshold Criteria'!Q93</f>
        <v>0</v>
      </c>
    </row>
    <row r="1003" spans="1:17">
      <c r="B1003" s="940" t="s">
        <v>2113</v>
      </c>
      <c r="C1003" s="584" t="s">
        <v>1384</v>
      </c>
      <c r="D1003" s="584"/>
      <c r="E1003" s="584"/>
      <c r="F1003" s="584"/>
      <c r="G1003" s="584"/>
      <c r="H1003" s="584"/>
      <c r="I1003" s="584"/>
      <c r="J1003" s="584"/>
      <c r="K1003" s="584"/>
      <c r="L1003" s="938"/>
      <c r="M1003" s="938"/>
      <c r="O1003" s="939" t="s">
        <v>2113</v>
      </c>
      <c r="P1003" s="960" t="str">
        <f>'Part VIII-Threshold Criteria'!P94</f>
        <v>No</v>
      </c>
      <c r="Q1003" s="960">
        <f>'Part VIII-Threshold Criteria'!Q94</f>
        <v>0</v>
      </c>
    </row>
    <row r="1004" spans="1:17">
      <c r="A1004" s="957"/>
      <c r="B1004" s="584"/>
      <c r="D1004" s="584" t="s">
        <v>582</v>
      </c>
      <c r="E1004" s="583"/>
      <c r="F1004" s="583"/>
      <c r="G1004" s="583"/>
      <c r="H1004" s="583"/>
      <c r="I1004" s="583"/>
      <c r="L1004" s="939" t="s">
        <v>583</v>
      </c>
      <c r="M1004" s="2141">
        <f>'Part VIII-Threshold Criteria'!M95</f>
        <v>0</v>
      </c>
      <c r="N1004" s="2141"/>
      <c r="O1004" s="2141"/>
      <c r="P1004" s="2149"/>
      <c r="Q1004" s="960">
        <f>'Part VIII-Threshold Criteria'!Q95</f>
        <v>0</v>
      </c>
    </row>
    <row r="1005" spans="1:17">
      <c r="A1005" s="956"/>
      <c r="B1005" s="935"/>
      <c r="C1005" s="958" t="s">
        <v>1850</v>
      </c>
      <c r="D1005" s="2138" t="s">
        <v>486</v>
      </c>
      <c r="E1005" s="2150"/>
      <c r="F1005" s="2150"/>
      <c r="G1005" s="2150"/>
      <c r="H1005" s="2150"/>
      <c r="I1005" s="2150"/>
      <c r="J1005" s="2150"/>
      <c r="K1005" s="2150"/>
      <c r="L1005" s="2150"/>
      <c r="M1005" s="2150"/>
      <c r="N1005" s="2150"/>
      <c r="O1005" s="958" t="s">
        <v>1850</v>
      </c>
      <c r="P1005" s="960">
        <f>'Part VIII-Threshold Criteria'!P96</f>
        <v>0</v>
      </c>
      <c r="Q1005" s="960">
        <f>'Part VIII-Threshold Criteria'!Q96</f>
        <v>0</v>
      </c>
    </row>
    <row r="1006" spans="1:17">
      <c r="A1006" s="956"/>
      <c r="B1006" s="935"/>
      <c r="C1006" s="939" t="s">
        <v>1851</v>
      </c>
      <c r="D1006" s="584" t="s">
        <v>3271</v>
      </c>
      <c r="E1006" s="584"/>
      <c r="F1006" s="584"/>
      <c r="G1006" s="584"/>
      <c r="H1006" s="584"/>
      <c r="I1006" s="584"/>
      <c r="J1006" s="584"/>
      <c r="K1006" s="584"/>
      <c r="L1006" s="584"/>
      <c r="M1006" s="584"/>
      <c r="O1006" s="939" t="s">
        <v>1851</v>
      </c>
      <c r="P1006" s="960">
        <f>'Part VIII-Threshold Criteria'!P97</f>
        <v>0</v>
      </c>
      <c r="Q1006" s="960">
        <f>'Part VIII-Threshold Criteria'!Q97</f>
        <v>0</v>
      </c>
    </row>
    <row r="1007" spans="1:17">
      <c r="A1007" s="956"/>
      <c r="B1007" s="935"/>
      <c r="C1007" s="958" t="s">
        <v>1852</v>
      </c>
      <c r="D1007" s="584" t="s">
        <v>3270</v>
      </c>
      <c r="E1007" s="584"/>
      <c r="F1007" s="584"/>
      <c r="G1007" s="584"/>
      <c r="H1007" s="584"/>
      <c r="I1007" s="584"/>
      <c r="J1007" s="584"/>
      <c r="K1007" s="584"/>
      <c r="L1007" s="584"/>
      <c r="M1007" s="584"/>
      <c r="O1007" s="958" t="s">
        <v>1852</v>
      </c>
      <c r="P1007" s="960">
        <f>'Part VIII-Threshold Criteria'!P98</f>
        <v>0</v>
      </c>
      <c r="Q1007" s="960">
        <f>'Part VIII-Threshold Criteria'!Q98</f>
        <v>0</v>
      </c>
    </row>
    <row r="1008" spans="1:17">
      <c r="A1008" s="956"/>
      <c r="B1008" s="959"/>
      <c r="C1008" s="958" t="s">
        <v>2511</v>
      </c>
      <c r="D1008" s="2129" t="s">
        <v>2906</v>
      </c>
      <c r="E1008" s="2129"/>
      <c r="F1008" s="2129"/>
      <c r="G1008" s="2129"/>
      <c r="H1008" s="2129"/>
      <c r="I1008" s="2129"/>
      <c r="J1008" s="2129"/>
      <c r="K1008" s="2129"/>
      <c r="L1008" s="2129"/>
      <c r="M1008" s="2129"/>
      <c r="N1008" s="2129"/>
      <c r="O1008" s="958" t="s">
        <v>2511</v>
      </c>
      <c r="P1008" s="960">
        <f>'Part VIII-Threshold Criteria'!P99</f>
        <v>0</v>
      </c>
      <c r="Q1008" s="960">
        <f>'Part VIII-Threshold Criteria'!Q99</f>
        <v>0</v>
      </c>
    </row>
    <row r="1009" spans="1:17">
      <c r="B1009" s="940" t="s">
        <v>793</v>
      </c>
      <c r="C1009" s="584" t="s">
        <v>149</v>
      </c>
      <c r="D1009" s="584"/>
      <c r="E1009" s="584"/>
      <c r="F1009" s="584"/>
      <c r="G1009" s="584"/>
      <c r="H1009" s="584"/>
      <c r="I1009" s="584"/>
      <c r="J1009" s="584"/>
      <c r="K1009" s="584"/>
      <c r="L1009" s="584"/>
      <c r="M1009" s="584"/>
      <c r="O1009" s="939" t="s">
        <v>793</v>
      </c>
      <c r="P1009" s="960" t="str">
        <f>'Part VIII-Threshold Criteria'!P100</f>
        <v>No</v>
      </c>
      <c r="Q1009" s="960">
        <f>'Part VIII-Threshold Criteria'!Q100</f>
        <v>0</v>
      </c>
    </row>
    <row r="1010" spans="1:17">
      <c r="B1010" s="940" t="s">
        <v>2245</v>
      </c>
      <c r="C1010" s="584" t="s">
        <v>1515</v>
      </c>
      <c r="D1010" s="584"/>
      <c r="E1010" s="584"/>
      <c r="G1010" s="584"/>
      <c r="I1010" s="584"/>
      <c r="K1010" s="584"/>
      <c r="L1010" s="938"/>
      <c r="M1010" s="938"/>
      <c r="N1010" s="938"/>
      <c r="O1010" s="938"/>
      <c r="P1010" s="938"/>
      <c r="Q1010" s="938"/>
    </row>
    <row r="1011" spans="1:17">
      <c r="B1011" s="940"/>
      <c r="C1011" s="939" t="s">
        <v>1850</v>
      </c>
      <c r="D1011" s="584" t="s">
        <v>1516</v>
      </c>
      <c r="E1011" s="584"/>
      <c r="F1011" s="584"/>
      <c r="G1011" s="584"/>
      <c r="H1011" s="584"/>
      <c r="I1011" s="584"/>
      <c r="J1011" s="584"/>
      <c r="K1011" s="584"/>
      <c r="L1011" s="938"/>
      <c r="M1011" s="938"/>
      <c r="O1011" s="939" t="s">
        <v>1850</v>
      </c>
      <c r="P1011" s="960" t="str">
        <f>'Part VIII-Threshold Criteria'!P102</f>
        <v>Yes</v>
      </c>
      <c r="Q1011" s="960">
        <f>'Part VIII-Threshold Criteria'!Q102</f>
        <v>0</v>
      </c>
    </row>
    <row r="1012" spans="1:17">
      <c r="B1012" s="940"/>
      <c r="C1012" s="939" t="s">
        <v>1851</v>
      </c>
      <c r="D1012" s="584" t="s">
        <v>1517</v>
      </c>
      <c r="E1012" s="584"/>
      <c r="F1012" s="584"/>
      <c r="G1012" s="584"/>
      <c r="H1012" s="584"/>
      <c r="I1012" s="584"/>
      <c r="J1012" s="584"/>
      <c r="K1012" s="584"/>
      <c r="L1012" s="938"/>
      <c r="M1012" s="938"/>
      <c r="O1012" s="939" t="s">
        <v>1851</v>
      </c>
      <c r="P1012" s="960" t="str">
        <f>'Part VIII-Threshold Criteria'!P103</f>
        <v>No</v>
      </c>
      <c r="Q1012" s="960">
        <f>'Part VIII-Threshold Criteria'!Q103</f>
        <v>0</v>
      </c>
    </row>
    <row r="1013" spans="1:17">
      <c r="B1013" s="940"/>
      <c r="C1013" s="939" t="s">
        <v>1852</v>
      </c>
      <c r="D1013" s="584" t="s">
        <v>1518</v>
      </c>
      <c r="E1013" s="584"/>
      <c r="F1013" s="584"/>
      <c r="G1013" s="584"/>
      <c r="H1013" s="584"/>
      <c r="I1013" s="584"/>
      <c r="J1013" s="584"/>
      <c r="K1013" s="584"/>
      <c r="L1013" s="938"/>
      <c r="M1013" s="938"/>
      <c r="O1013" s="939" t="s">
        <v>1852</v>
      </c>
      <c r="P1013" s="960" t="str">
        <f>'Part VIII-Threshold Criteria'!P104</f>
        <v>No</v>
      </c>
      <c r="Q1013" s="960">
        <f>'Part VIII-Threshold Criteria'!Q104</f>
        <v>0</v>
      </c>
    </row>
    <row r="1014" spans="1:17">
      <c r="B1014" s="953" t="s">
        <v>1987</v>
      </c>
      <c r="D1014" s="953"/>
      <c r="E1014" s="953"/>
      <c r="F1014" s="953"/>
      <c r="G1014" s="953"/>
      <c r="H1014" s="938"/>
      <c r="I1014" s="935"/>
      <c r="J1014" s="935"/>
      <c r="K1014" s="935"/>
      <c r="L1014" s="890"/>
      <c r="M1014" s="890"/>
      <c r="N1014" s="890"/>
      <c r="O1014" s="890"/>
      <c r="P1014" s="890"/>
      <c r="Q1014" s="890"/>
    </row>
    <row r="1015" spans="1:17">
      <c r="A1015" s="2129" t="str">
        <f>'Part VIII-Threshold Criteria'!A106</f>
        <v xml:space="preserve">The property is currently zoned M-R, Multi Family Residential. See tab 10 for zoning documenation. </v>
      </c>
      <c r="B1015" s="2129"/>
      <c r="C1015" s="2129"/>
      <c r="D1015" s="2129"/>
      <c r="E1015" s="2129"/>
      <c r="F1015" s="2129"/>
      <c r="G1015" s="2129"/>
      <c r="H1015" s="2129"/>
      <c r="I1015" s="2129"/>
      <c r="J1015" s="2129"/>
      <c r="K1015" s="2129"/>
      <c r="L1015" s="2129"/>
      <c r="M1015" s="2129"/>
      <c r="N1015" s="2129"/>
      <c r="O1015" s="2129"/>
      <c r="P1015" s="2129"/>
      <c r="Q1015" s="2129"/>
    </row>
    <row r="1016" spans="1:17">
      <c r="B1016" s="942" t="s">
        <v>1988</v>
      </c>
      <c r="C1016" s="943"/>
      <c r="D1016" s="944"/>
      <c r="E1016" s="944"/>
      <c r="F1016" s="944"/>
      <c r="G1016" s="944"/>
      <c r="H1016" s="944"/>
      <c r="I1016" s="944"/>
      <c r="J1016" s="944"/>
      <c r="K1016" s="944"/>
      <c r="L1016" s="944"/>
      <c r="M1016" s="944"/>
      <c r="N1016" s="944"/>
      <c r="O1016" s="944"/>
      <c r="P1016" s="944"/>
      <c r="Q1016" s="944"/>
    </row>
    <row r="1017" spans="1:17">
      <c r="A1017" s="2136">
        <f>'Part VIII-Threshold Criteria'!A108</f>
        <v>0</v>
      </c>
      <c r="B1017" s="2136"/>
      <c r="C1017" s="2136"/>
      <c r="D1017" s="2136"/>
      <c r="E1017" s="2136"/>
      <c r="F1017" s="2136"/>
      <c r="G1017" s="2136"/>
      <c r="H1017" s="2136"/>
      <c r="I1017" s="2136"/>
      <c r="J1017" s="2136"/>
      <c r="K1017" s="2136"/>
      <c r="L1017" s="2136"/>
      <c r="M1017" s="2136"/>
      <c r="N1017" s="2136"/>
      <c r="O1017" s="2136"/>
      <c r="P1017" s="2136"/>
      <c r="Q1017" s="2136"/>
    </row>
    <row r="1018" spans="1:17">
      <c r="A1018" s="890"/>
      <c r="B1018" s="935"/>
      <c r="C1018" s="944"/>
      <c r="D1018" s="944"/>
      <c r="E1018" s="944"/>
      <c r="F1018" s="944"/>
      <c r="G1018" s="944"/>
      <c r="H1018" s="944"/>
      <c r="I1018" s="944"/>
      <c r="J1018" s="944"/>
      <c r="K1018" s="944"/>
      <c r="L1018" s="944"/>
      <c r="M1018" s="944"/>
      <c r="N1018" s="944"/>
      <c r="O1018" s="944"/>
      <c r="P1018" s="944"/>
      <c r="Q1018" s="890"/>
    </row>
    <row r="1019" spans="1:17">
      <c r="A1019" s="885">
        <v>7</v>
      </c>
      <c r="B1019" s="885" t="s">
        <v>2843</v>
      </c>
      <c r="C1019" s="938"/>
      <c r="D1019" s="944"/>
      <c r="E1019" s="944"/>
      <c r="F1019" s="944"/>
      <c r="G1019" s="944"/>
      <c r="H1019" s="944"/>
      <c r="I1019" s="944"/>
      <c r="J1019" s="944"/>
      <c r="K1019" s="944"/>
      <c r="L1019" s="944"/>
      <c r="M1019" s="944"/>
      <c r="O1019" s="936" t="s">
        <v>1989</v>
      </c>
      <c r="P1019" s="2137">
        <f>'Part VIII-Threshold Criteria'!P110</f>
        <v>0</v>
      </c>
      <c r="Q1019" s="2137"/>
    </row>
    <row r="1021" spans="1:17">
      <c r="B1021" s="940" t="s">
        <v>2110</v>
      </c>
      <c r="C1021" s="584" t="s">
        <v>2904</v>
      </c>
      <c r="D1021" s="903"/>
      <c r="E1021" s="903"/>
      <c r="F1021" s="903"/>
      <c r="G1021" s="903"/>
      <c r="H1021" s="903"/>
      <c r="I1021" s="583"/>
      <c r="J1021" s="583"/>
      <c r="K1021" s="583"/>
      <c r="L1021" s="939" t="s">
        <v>2110</v>
      </c>
      <c r="M1021" s="2141" t="str">
        <f>'Part VIII-Threshold Criteria'!M112</f>
        <v>Geotechnical &amp; Environmental Consultants, Inc.</v>
      </c>
      <c r="N1021" s="2141"/>
      <c r="O1021" s="2141"/>
      <c r="P1021" s="2141"/>
      <c r="Q1021" s="960">
        <f>'Part VIII-Threshold Criteria'!Q112</f>
        <v>0</v>
      </c>
    </row>
    <row r="1022" spans="1:17">
      <c r="B1022" s="940" t="s">
        <v>2113</v>
      </c>
      <c r="C1022" s="584" t="s">
        <v>1637</v>
      </c>
      <c r="D1022" s="903"/>
      <c r="E1022" s="903"/>
      <c r="F1022" s="903"/>
      <c r="G1022" s="903"/>
      <c r="H1022" s="903"/>
      <c r="I1022" s="583"/>
      <c r="J1022" s="583"/>
      <c r="K1022" s="903"/>
      <c r="L1022" s="903"/>
      <c r="M1022" s="901"/>
      <c r="O1022" s="939" t="s">
        <v>2113</v>
      </c>
      <c r="P1022" s="960" t="str">
        <f>'Part VIII-Threshold Criteria'!P113</f>
        <v>No</v>
      </c>
      <c r="Q1022" s="960">
        <f>'Part VIII-Threshold Criteria'!Q113</f>
        <v>0</v>
      </c>
    </row>
    <row r="1023" spans="1:17">
      <c r="B1023" s="940" t="s">
        <v>793</v>
      </c>
      <c r="C1023" s="584" t="s">
        <v>157</v>
      </c>
      <c r="D1023" s="903"/>
      <c r="E1023" s="903"/>
      <c r="F1023" s="903"/>
      <c r="G1023" s="903"/>
      <c r="H1023" s="903"/>
      <c r="I1023" s="583"/>
      <c r="J1023" s="583"/>
      <c r="K1023" s="903"/>
      <c r="L1023" s="901"/>
      <c r="M1023" s="901"/>
      <c r="O1023" s="939" t="s">
        <v>793</v>
      </c>
      <c r="P1023" s="960" t="str">
        <f>'Part VIII-Threshold Criteria'!P114</f>
        <v>Yes</v>
      </c>
      <c r="Q1023" s="960">
        <f>'Part VIII-Threshold Criteria'!Q114</f>
        <v>0</v>
      </c>
    </row>
    <row r="1024" spans="1:17">
      <c r="B1024" s="940"/>
      <c r="C1024" s="939" t="s">
        <v>1850</v>
      </c>
      <c r="D1024" s="584" t="s">
        <v>2905</v>
      </c>
      <c r="E1024" s="903"/>
      <c r="F1024" s="903"/>
      <c r="G1024" s="903"/>
      <c r="H1024" s="903"/>
      <c r="I1024" s="583"/>
      <c r="J1024" s="583"/>
      <c r="K1024" s="903"/>
      <c r="L1024" s="939" t="s">
        <v>1850</v>
      </c>
      <c r="M1024" s="2141" t="str">
        <f>'Part VIII-Threshold Criteria'!M115</f>
        <v>Geotechnical &amp; Environmental Consultants, Inc</v>
      </c>
      <c r="N1024" s="2141"/>
      <c r="O1024" s="2141"/>
      <c r="P1024" s="2141"/>
      <c r="Q1024" s="960">
        <f>'Part VIII-Threshold Criteria'!Q115</f>
        <v>0</v>
      </c>
    </row>
    <row r="1025" spans="2:17">
      <c r="B1025" s="947"/>
      <c r="C1025" s="939" t="s">
        <v>1851</v>
      </c>
      <c r="D1025" s="584" t="s">
        <v>2777</v>
      </c>
      <c r="E1025" s="583"/>
      <c r="F1025" s="583"/>
      <c r="G1025" s="583"/>
      <c r="H1025" s="584"/>
      <c r="I1025" s="583"/>
      <c r="J1025" s="583"/>
      <c r="K1025" s="903"/>
      <c r="L1025" s="901"/>
      <c r="M1025" s="901"/>
      <c r="O1025" s="939" t="s">
        <v>1851</v>
      </c>
      <c r="P1025" s="960">
        <f>'Part VIII-Threshold Criteria'!P116</f>
        <v>64.900000000000006</v>
      </c>
      <c r="Q1025" s="960">
        <f>'Part VIII-Threshold Criteria'!Q116</f>
        <v>0</v>
      </c>
    </row>
    <row r="1026" spans="2:17">
      <c r="B1026" s="947"/>
      <c r="C1026" s="939" t="s">
        <v>1852</v>
      </c>
      <c r="D1026" s="584" t="s">
        <v>1465</v>
      </c>
      <c r="E1026" s="583"/>
      <c r="F1026" s="583"/>
      <c r="G1026" s="583"/>
      <c r="H1026" s="584"/>
      <c r="I1026" s="583"/>
      <c r="J1026" s="583"/>
      <c r="K1026" s="903"/>
      <c r="L1026" s="901"/>
      <c r="M1026" s="901"/>
      <c r="N1026" s="901"/>
      <c r="O1026" s="901"/>
    </row>
    <row r="1027" spans="2:17">
      <c r="B1027" s="890"/>
      <c r="C1027" s="939"/>
      <c r="D1027" s="2138" t="str">
        <f>'Part VIII-Threshold Criteria'!D118</f>
        <v>Roadway Noise, Aircraft Noise, Railway Noise</v>
      </c>
      <c r="E1027" s="2138"/>
      <c r="F1027" s="2138"/>
      <c r="G1027" s="2138"/>
      <c r="H1027" s="2138"/>
      <c r="I1027" s="2138"/>
      <c r="J1027" s="2138"/>
      <c r="K1027" s="2138"/>
      <c r="L1027" s="2138"/>
      <c r="M1027" s="2138"/>
      <c r="N1027" s="2138"/>
      <c r="O1027" s="2138"/>
      <c r="P1027" s="2138"/>
      <c r="Q1027" s="2138"/>
    </row>
    <row r="1028" spans="2:17">
      <c r="B1028" s="940" t="s">
        <v>2245</v>
      </c>
      <c r="C1028" s="584" t="s">
        <v>1334</v>
      </c>
      <c r="D1028" s="903"/>
      <c r="E1028" s="903"/>
      <c r="F1028" s="903"/>
      <c r="G1028" s="903"/>
      <c r="H1028" s="903"/>
      <c r="I1028" s="583"/>
      <c r="J1028" s="583"/>
      <c r="K1028" s="903"/>
      <c r="L1028" s="901"/>
      <c r="M1028" s="901"/>
      <c r="N1028" s="901"/>
      <c r="O1028" s="939" t="s">
        <v>2245</v>
      </c>
    </row>
    <row r="1029" spans="2:17">
      <c r="B1029" s="940"/>
      <c r="C1029" s="939" t="s">
        <v>1850</v>
      </c>
      <c r="D1029" s="584" t="s">
        <v>155</v>
      </c>
      <c r="E1029" s="903"/>
      <c r="F1029" s="903"/>
      <c r="G1029" s="903"/>
      <c r="H1029" s="903"/>
      <c r="I1029" s="583"/>
      <c r="J1029" s="583"/>
      <c r="K1029" s="903"/>
      <c r="L1029" s="901"/>
      <c r="M1029" s="901"/>
      <c r="O1029" s="939" t="s">
        <v>1850</v>
      </c>
      <c r="P1029" s="960" t="str">
        <f>'Part VIII-Threshold Criteria'!P120</f>
        <v>No</v>
      </c>
      <c r="Q1029" s="960">
        <f>'Part VIII-Threshold Criteria'!Q120</f>
        <v>0</v>
      </c>
    </row>
    <row r="1030" spans="2:17">
      <c r="B1030" s="940"/>
      <c r="C1030" s="939" t="s">
        <v>1851</v>
      </c>
      <c r="D1030" s="584" t="s">
        <v>1335</v>
      </c>
      <c r="E1030" s="903"/>
      <c r="F1030" s="903"/>
      <c r="G1030" s="903"/>
      <c r="H1030" s="583"/>
      <c r="I1030" s="583"/>
      <c r="J1030" s="583"/>
      <c r="K1030" s="903"/>
      <c r="L1030" s="901"/>
      <c r="M1030" s="901"/>
      <c r="O1030" s="939" t="s">
        <v>1851</v>
      </c>
      <c r="P1030" s="960" t="str">
        <f>'Part VIII-Threshold Criteria'!P121</f>
        <v>No</v>
      </c>
      <c r="Q1030" s="960">
        <f>'Part VIII-Threshold Criteria'!Q121</f>
        <v>0</v>
      </c>
    </row>
    <row r="1031" spans="2:17">
      <c r="B1031" s="940"/>
      <c r="C1031" s="939"/>
      <c r="D1031" s="584" t="s">
        <v>2818</v>
      </c>
      <c r="E1031" s="961" t="s">
        <v>2590</v>
      </c>
      <c r="F1031" s="584" t="s">
        <v>2819</v>
      </c>
      <c r="G1031" s="583"/>
      <c r="H1031" s="584"/>
      <c r="I1031" s="583"/>
      <c r="J1031" s="583"/>
      <c r="K1031" s="903"/>
      <c r="L1031" s="901"/>
      <c r="M1031" s="901"/>
      <c r="O1031" s="961" t="s">
        <v>2590</v>
      </c>
      <c r="P1031" s="1069">
        <f>'Part VIII-Threshold Criteria'!P122</f>
        <v>0</v>
      </c>
      <c r="Q1031" s="1069">
        <f>'Part VIII-Threshold Criteria'!Q122</f>
        <v>0</v>
      </c>
    </row>
    <row r="1032" spans="2:17">
      <c r="B1032" s="940"/>
      <c r="C1032" s="939"/>
      <c r="E1032" s="961" t="s">
        <v>2591</v>
      </c>
      <c r="F1032" s="584" t="s">
        <v>2820</v>
      </c>
      <c r="G1032" s="583"/>
      <c r="H1032" s="584"/>
      <c r="I1032" s="583"/>
      <c r="J1032" s="583"/>
      <c r="K1032" s="903"/>
      <c r="L1032" s="901"/>
      <c r="M1032" s="901"/>
      <c r="O1032" s="961" t="s">
        <v>2591</v>
      </c>
      <c r="P1032" s="960">
        <f>'Part VIII-Threshold Criteria'!P123</f>
        <v>0</v>
      </c>
      <c r="Q1032" s="960">
        <f>'Part VIII-Threshold Criteria'!Q123</f>
        <v>0</v>
      </c>
    </row>
    <row r="1033" spans="2:17">
      <c r="B1033" s="940"/>
      <c r="C1033" s="939"/>
      <c r="E1033" s="961" t="s">
        <v>2592</v>
      </c>
      <c r="F1033" s="584" t="s">
        <v>2821</v>
      </c>
      <c r="G1033" s="583"/>
      <c r="H1033" s="584"/>
      <c r="I1033" s="583"/>
      <c r="J1033" s="583"/>
      <c r="K1033" s="903"/>
      <c r="L1033" s="901"/>
      <c r="M1033" s="901"/>
      <c r="O1033" s="961" t="s">
        <v>2592</v>
      </c>
      <c r="P1033" s="960">
        <f>'Part VIII-Threshold Criteria'!P124</f>
        <v>0</v>
      </c>
      <c r="Q1033" s="960">
        <f>'Part VIII-Threshold Criteria'!Q124</f>
        <v>0</v>
      </c>
    </row>
    <row r="1034" spans="2:17">
      <c r="B1034" s="940"/>
      <c r="C1034" s="939" t="s">
        <v>1852</v>
      </c>
      <c r="D1034" s="584" t="s">
        <v>1336</v>
      </c>
      <c r="E1034" s="903"/>
      <c r="F1034" s="903"/>
      <c r="G1034" s="903"/>
      <c r="H1034" s="584"/>
      <c r="I1034" s="583"/>
      <c r="J1034" s="583"/>
      <c r="K1034" s="903"/>
      <c r="L1034" s="901"/>
      <c r="M1034" s="901"/>
      <c r="O1034" s="939" t="s">
        <v>1852</v>
      </c>
      <c r="P1034" s="960" t="str">
        <f>'Part VIII-Threshold Criteria'!P125</f>
        <v>Yes</v>
      </c>
      <c r="Q1034" s="960">
        <f>'Part VIII-Threshold Criteria'!Q125</f>
        <v>0</v>
      </c>
    </row>
    <row r="1035" spans="2:17">
      <c r="B1035" s="940"/>
      <c r="C1035" s="939"/>
      <c r="D1035" s="584" t="s">
        <v>2818</v>
      </c>
      <c r="E1035" s="961" t="s">
        <v>2590</v>
      </c>
      <c r="F1035" s="584" t="s">
        <v>2822</v>
      </c>
      <c r="G1035" s="583"/>
      <c r="H1035" s="584"/>
      <c r="I1035" s="583"/>
      <c r="J1035" s="583"/>
      <c r="K1035" s="903"/>
      <c r="L1035" s="901"/>
      <c r="O1035" s="961" t="s">
        <v>2590</v>
      </c>
      <c r="P1035" s="1069">
        <f>'Part VIII-Threshold Criteria'!P126</f>
        <v>1.1690000000000001E-2</v>
      </c>
      <c r="Q1035" s="1069">
        <f>'Part VIII-Threshold Criteria'!Q126</f>
        <v>0</v>
      </c>
    </row>
    <row r="1036" spans="2:17">
      <c r="B1036" s="940"/>
      <c r="C1036" s="939"/>
      <c r="E1036" s="961" t="s">
        <v>2591</v>
      </c>
      <c r="F1036" s="584" t="s">
        <v>2823</v>
      </c>
      <c r="G1036" s="583"/>
      <c r="H1036" s="584"/>
      <c r="I1036" s="583"/>
      <c r="J1036" s="583"/>
      <c r="O1036" s="961" t="s">
        <v>2591</v>
      </c>
      <c r="P1036" s="960" t="str">
        <f>'Part VIII-Threshold Criteria'!P127</f>
        <v>No</v>
      </c>
      <c r="Q1036" s="960">
        <f>'Part VIII-Threshold Criteria'!Q127</f>
        <v>0</v>
      </c>
    </row>
    <row r="1037" spans="2:17">
      <c r="B1037" s="940"/>
      <c r="C1037" s="939"/>
      <c r="E1037" s="961" t="s">
        <v>2592</v>
      </c>
      <c r="F1037" s="584" t="s">
        <v>2821</v>
      </c>
      <c r="G1037" s="583"/>
      <c r="H1037" s="584"/>
      <c r="I1037" s="583"/>
      <c r="J1037" s="583"/>
      <c r="O1037" s="961" t="s">
        <v>2592</v>
      </c>
      <c r="P1037" s="960" t="str">
        <f>'Part VIII-Threshold Criteria'!P128</f>
        <v>Yes</v>
      </c>
      <c r="Q1037" s="960">
        <f>'Part VIII-Threshold Criteria'!Q128</f>
        <v>0</v>
      </c>
    </row>
    <row r="1038" spans="2:17">
      <c r="B1038" s="584"/>
      <c r="C1038" s="939" t="s">
        <v>2511</v>
      </c>
      <c r="D1038" s="584" t="s">
        <v>2824</v>
      </c>
      <c r="E1038" s="903"/>
      <c r="F1038" s="903"/>
      <c r="G1038" s="903"/>
      <c r="H1038" s="903"/>
      <c r="I1038" s="583"/>
      <c r="J1038" s="583"/>
      <c r="O1038" s="939" t="s">
        <v>2511</v>
      </c>
      <c r="P1038" s="960" t="str">
        <f>'Part VIII-Threshold Criteria'!P129</f>
        <v>Yes</v>
      </c>
      <c r="Q1038" s="960">
        <f>'Part VIII-Threshold Criteria'!Q129</f>
        <v>0</v>
      </c>
    </row>
    <row r="1039" spans="2:17">
      <c r="B1039" s="940" t="s">
        <v>1848</v>
      </c>
      <c r="C1039" s="938" t="s">
        <v>2569</v>
      </c>
      <c r="D1039" s="903"/>
      <c r="E1039" s="903"/>
      <c r="F1039" s="903"/>
      <c r="G1039" s="903"/>
      <c r="H1039" s="903"/>
      <c r="I1039" s="583"/>
      <c r="J1039" s="583"/>
      <c r="K1039" s="903"/>
      <c r="L1039" s="901"/>
      <c r="M1039" s="901"/>
      <c r="N1039" s="901"/>
      <c r="O1039" s="901"/>
      <c r="P1039" s="901"/>
      <c r="Q1039" s="901"/>
    </row>
    <row r="1040" spans="2:17">
      <c r="C1040" s="939" t="s">
        <v>1850</v>
      </c>
      <c r="D1040" s="584" t="s">
        <v>2654</v>
      </c>
      <c r="E1040" s="903"/>
      <c r="F1040" s="960" t="str">
        <f>'Part VIII-Threshold Criteria'!F131</f>
        <v>No</v>
      </c>
      <c r="G1040" s="960">
        <f>'Part VIII-Threshold Criteria'!G131</f>
        <v>0</v>
      </c>
      <c r="H1040" s="939" t="s">
        <v>1648</v>
      </c>
      <c r="I1040" s="566" t="s">
        <v>2826</v>
      </c>
      <c r="L1040" s="960" t="str">
        <f>'Part VIII-Threshold Criteria'!L131</f>
        <v>No</v>
      </c>
      <c r="M1040" s="960">
        <f>'Part VIII-Threshold Criteria'!M131</f>
        <v>0</v>
      </c>
      <c r="N1040" s="939" t="s">
        <v>540</v>
      </c>
      <c r="O1040" s="584" t="s">
        <v>1651</v>
      </c>
      <c r="P1040" s="960" t="str">
        <f>'Part VIII-Threshold Criteria'!P131</f>
        <v>No</v>
      </c>
      <c r="Q1040" s="960">
        <f>'Part VIII-Threshold Criteria'!Q131</f>
        <v>0</v>
      </c>
    </row>
    <row r="1041" spans="1:17">
      <c r="B1041" s="584"/>
      <c r="C1041" s="939" t="s">
        <v>1851</v>
      </c>
      <c r="D1041" s="584" t="s">
        <v>3085</v>
      </c>
      <c r="E1041" s="903"/>
      <c r="F1041" s="960" t="str">
        <f>'Part VIII-Threshold Criteria'!F132</f>
        <v>No</v>
      </c>
      <c r="G1041" s="960">
        <f>'Part VIII-Threshold Criteria'!G132</f>
        <v>0</v>
      </c>
      <c r="H1041" s="939" t="s">
        <v>1649</v>
      </c>
      <c r="I1041" s="566" t="s">
        <v>2827</v>
      </c>
      <c r="L1041" s="960" t="str">
        <f>'Part VIII-Threshold Criteria'!L132</f>
        <v>No</v>
      </c>
      <c r="M1041" s="960">
        <f>'Part VIII-Threshold Criteria'!M132</f>
        <v>0</v>
      </c>
      <c r="N1041" s="939" t="s">
        <v>541</v>
      </c>
      <c r="O1041" s="584" t="s">
        <v>1650</v>
      </c>
      <c r="P1041" s="960" t="str">
        <f>'Part VIII-Threshold Criteria'!P132</f>
        <v>No</v>
      </c>
      <c r="Q1041" s="960">
        <f>'Part VIII-Threshold Criteria'!Q132</f>
        <v>0</v>
      </c>
    </row>
    <row r="1042" spans="1:17">
      <c r="B1042" s="584"/>
      <c r="C1042" s="939" t="s">
        <v>1852</v>
      </c>
      <c r="D1042" s="584" t="s">
        <v>2825</v>
      </c>
      <c r="E1042" s="903"/>
      <c r="F1042" s="960" t="str">
        <f>'Part VIII-Threshold Criteria'!F133</f>
        <v>No</v>
      </c>
      <c r="G1042" s="960">
        <f>'Part VIII-Threshold Criteria'!G133</f>
        <v>0</v>
      </c>
      <c r="H1042" s="939" t="s">
        <v>101</v>
      </c>
      <c r="I1042" s="566" t="s">
        <v>3086</v>
      </c>
      <c r="L1042" s="960" t="str">
        <f>'Part VIII-Threshold Criteria'!L133</f>
        <v>No</v>
      </c>
      <c r="M1042" s="960">
        <f>'Part VIII-Threshold Criteria'!M133</f>
        <v>0</v>
      </c>
      <c r="N1042" s="939" t="s">
        <v>3088</v>
      </c>
      <c r="O1042" s="584" t="s">
        <v>1652</v>
      </c>
      <c r="P1042" s="960" t="str">
        <f>'Part VIII-Threshold Criteria'!P133</f>
        <v>No</v>
      </c>
      <c r="Q1042" s="960">
        <f>'Part VIII-Threshold Criteria'!Q133</f>
        <v>0</v>
      </c>
    </row>
    <row r="1043" spans="1:17">
      <c r="B1043" s="584"/>
      <c r="C1043" s="939" t="s">
        <v>2511</v>
      </c>
      <c r="D1043" s="584" t="s">
        <v>3089</v>
      </c>
      <c r="E1043" s="903"/>
      <c r="F1043" s="960" t="str">
        <f>'Part VIII-Threshold Criteria'!F134</f>
        <v>No</v>
      </c>
      <c r="G1043" s="960">
        <f>'Part VIII-Threshold Criteria'!G134</f>
        <v>0</v>
      </c>
      <c r="H1043" s="939" t="s">
        <v>539</v>
      </c>
      <c r="I1043" s="584" t="s">
        <v>3084</v>
      </c>
      <c r="L1043" s="960" t="str">
        <f>'Part VIII-Threshold Criteria'!L134</f>
        <v>No</v>
      </c>
      <c r="M1043" s="960">
        <f>'Part VIII-Threshold Criteria'!M134</f>
        <v>0</v>
      </c>
      <c r="O1043" s="939"/>
    </row>
    <row r="1044" spans="1:17">
      <c r="B1044" s="584"/>
      <c r="C1044" s="939" t="s">
        <v>3307</v>
      </c>
      <c r="D1044" s="584" t="s">
        <v>3087</v>
      </c>
      <c r="E1044" s="903"/>
      <c r="F1044" s="903"/>
      <c r="G1044" s="903"/>
      <c r="H1044" s="903"/>
      <c r="I1044" s="903"/>
      <c r="J1044" s="903"/>
      <c r="K1044" s="903"/>
      <c r="L1044" s="903"/>
      <c r="M1044" s="584"/>
      <c r="O1044" s="939"/>
      <c r="P1044" s="939"/>
    </row>
    <row r="1045" spans="1:17">
      <c r="B1045" s="584"/>
      <c r="D1045" s="2141">
        <f>'Part VIII-Threshold Criteria'!D136</f>
        <v>0</v>
      </c>
      <c r="E1045" s="2141"/>
      <c r="F1045" s="2141"/>
      <c r="G1045" s="2141"/>
      <c r="H1045" s="2141"/>
      <c r="I1045" s="2141"/>
      <c r="J1045" s="2141"/>
      <c r="K1045" s="2141"/>
      <c r="L1045" s="2141"/>
      <c r="M1045" s="2141"/>
      <c r="N1045" s="2141"/>
      <c r="O1045" s="2141"/>
      <c r="P1045" s="2141"/>
      <c r="Q1045" s="960">
        <f>'Part VIII-Threshold Criteria'!Q136</f>
        <v>0</v>
      </c>
    </row>
    <row r="1046" spans="1:17">
      <c r="B1046" s="940" t="s">
        <v>1849</v>
      </c>
      <c r="C1046" s="584" t="s">
        <v>1364</v>
      </c>
      <c r="D1046" s="903"/>
      <c r="E1046" s="903"/>
      <c r="F1046" s="903"/>
      <c r="G1046" s="903"/>
      <c r="H1046" s="903"/>
      <c r="I1046" s="583"/>
      <c r="J1046" s="583"/>
      <c r="K1046" s="903"/>
      <c r="L1046" s="903"/>
      <c r="M1046" s="901"/>
      <c r="O1046" s="939" t="s">
        <v>1849</v>
      </c>
      <c r="P1046" s="960" t="str">
        <f>'Part VIII-Threshold Criteria'!P137</f>
        <v>N/A</v>
      </c>
      <c r="Q1046" s="960">
        <f>'Part VIII-Threshold Criteria'!Q137</f>
        <v>0</v>
      </c>
    </row>
    <row r="1047" spans="1:17">
      <c r="A1047" s="956"/>
      <c r="B1047" s="583"/>
      <c r="C1047" s="939" t="s">
        <v>1850</v>
      </c>
      <c r="D1047" s="584" t="s">
        <v>3090</v>
      </c>
      <c r="E1047" s="903"/>
      <c r="F1047" s="903"/>
      <c r="G1047" s="903"/>
      <c r="H1047" s="903"/>
      <c r="O1047" s="939" t="s">
        <v>1850</v>
      </c>
      <c r="P1047" s="960">
        <f>'Part VIII-Threshold Criteria'!P138</f>
        <v>0</v>
      </c>
      <c r="Q1047" s="960">
        <f>'Part VIII-Threshold Criteria'!Q138</f>
        <v>0</v>
      </c>
    </row>
    <row r="1048" spans="1:17">
      <c r="A1048" s="956"/>
      <c r="B1048" s="935"/>
      <c r="C1048" s="939" t="s">
        <v>1851</v>
      </c>
      <c r="D1048" s="584" t="s">
        <v>517</v>
      </c>
      <c r="E1048" s="584"/>
      <c r="F1048" s="584"/>
      <c r="G1048" s="584"/>
      <c r="H1048" s="584"/>
      <c r="I1048" s="583"/>
      <c r="J1048" s="583"/>
      <c r="K1048" s="584"/>
      <c r="L1048" s="584"/>
      <c r="M1048" s="584"/>
      <c r="O1048" s="939" t="s">
        <v>1851</v>
      </c>
      <c r="P1048" s="960">
        <f>'Part VIII-Threshold Criteria'!P139</f>
        <v>0</v>
      </c>
      <c r="Q1048" s="960">
        <f>'Part VIII-Threshold Criteria'!Q139</f>
        <v>0</v>
      </c>
    </row>
    <row r="1049" spans="1:17">
      <c r="A1049" s="956"/>
      <c r="B1049" s="935"/>
      <c r="C1049" s="939" t="s">
        <v>1852</v>
      </c>
      <c r="D1049" s="584" t="s">
        <v>721</v>
      </c>
      <c r="E1049" s="584"/>
      <c r="F1049" s="584"/>
      <c r="G1049" s="584"/>
      <c r="H1049" s="584"/>
      <c r="I1049" s="583"/>
      <c r="J1049" s="583"/>
      <c r="K1049" s="584"/>
      <c r="L1049" s="584"/>
      <c r="M1049" s="584"/>
      <c r="O1049" s="939" t="s">
        <v>1852</v>
      </c>
      <c r="P1049" s="960">
        <f>'Part VIII-Threshold Criteria'!P140</f>
        <v>0</v>
      </c>
      <c r="Q1049" s="960">
        <f>'Part VIII-Threshold Criteria'!Q140</f>
        <v>0</v>
      </c>
    </row>
    <row r="1050" spans="1:17">
      <c r="B1050" s="940" t="s">
        <v>2073</v>
      </c>
      <c r="C1050" s="584" t="s">
        <v>1867</v>
      </c>
      <c r="D1050" s="903"/>
      <c r="E1050" s="903"/>
      <c r="F1050" s="903"/>
      <c r="G1050" s="903"/>
      <c r="H1050" s="903"/>
      <c r="I1050" s="583"/>
      <c r="J1050" s="583"/>
      <c r="K1050" s="903"/>
      <c r="L1050" s="903"/>
      <c r="M1050" s="901"/>
      <c r="O1050" s="939" t="s">
        <v>2073</v>
      </c>
      <c r="P1050" s="960" t="str">
        <f>'Part VIII-Threshold Criteria'!P141</f>
        <v>N/A</v>
      </c>
      <c r="Q1050" s="960">
        <f>'Part VIII-Threshold Criteria'!Q141</f>
        <v>0</v>
      </c>
    </row>
    <row r="1052" spans="1:17">
      <c r="B1052" s="953" t="s">
        <v>1987</v>
      </c>
      <c r="D1052" s="953"/>
      <c r="E1052" s="953"/>
      <c r="F1052" s="953"/>
      <c r="G1052" s="953"/>
      <c r="H1052" s="938"/>
      <c r="I1052" s="935"/>
      <c r="J1052" s="935"/>
      <c r="K1052" s="935"/>
      <c r="L1052" s="890"/>
      <c r="M1052" s="890"/>
      <c r="N1052" s="890"/>
      <c r="O1052" s="890"/>
      <c r="P1052" s="890"/>
      <c r="Q1052" s="890"/>
    </row>
    <row r="1053" spans="1:17">
      <c r="A1053" s="2129" t="str">
        <f>'Part VIII-Threshold Criteria'!A144</f>
        <v>Our drive is crossing the wetland.  However, we will be disturbing less than 1/10th of an acre and a nationwide permit will be used to do this.</v>
      </c>
      <c r="B1053" s="2129"/>
      <c r="C1053" s="2129"/>
      <c r="D1053" s="2129"/>
      <c r="E1053" s="2129"/>
      <c r="F1053" s="2129"/>
      <c r="G1053" s="2129"/>
      <c r="H1053" s="2129"/>
      <c r="I1053" s="2129"/>
      <c r="J1053" s="2129"/>
      <c r="K1053" s="2129"/>
      <c r="L1053" s="2129"/>
      <c r="M1053" s="2129"/>
      <c r="N1053" s="2129"/>
      <c r="O1053" s="2129"/>
      <c r="P1053" s="2129"/>
      <c r="Q1053" s="2129"/>
    </row>
    <row r="1054" spans="1:17">
      <c r="B1054" s="942" t="s">
        <v>1988</v>
      </c>
      <c r="C1054" s="943"/>
      <c r="D1054" s="944"/>
      <c r="E1054" s="944"/>
      <c r="F1054" s="944"/>
      <c r="G1054" s="944"/>
      <c r="H1054" s="944"/>
      <c r="I1054" s="944"/>
      <c r="J1054" s="944"/>
      <c r="K1054" s="944"/>
      <c r="L1054" s="944"/>
      <c r="M1054" s="944"/>
      <c r="N1054" s="944"/>
      <c r="O1054" s="944"/>
      <c r="P1054" s="944"/>
      <c r="Q1054" s="944"/>
    </row>
    <row r="1055" spans="1:17">
      <c r="A1055" s="2136">
        <f>'Part VIII-Threshold Criteria'!A146</f>
        <v>0</v>
      </c>
      <c r="B1055" s="2136"/>
      <c r="C1055" s="2136"/>
      <c r="D1055" s="2136"/>
      <c r="E1055" s="2136"/>
      <c r="F1055" s="2136"/>
      <c r="G1055" s="2136"/>
      <c r="H1055" s="2136"/>
      <c r="I1055" s="2136"/>
      <c r="J1055" s="2136"/>
      <c r="K1055" s="2136"/>
      <c r="L1055" s="2136"/>
      <c r="M1055" s="2136"/>
      <c r="N1055" s="2136"/>
      <c r="O1055" s="2136"/>
      <c r="P1055" s="2136"/>
      <c r="Q1055" s="2136"/>
    </row>
    <row r="1056" spans="1:17">
      <c r="A1056" s="890"/>
      <c r="B1056" s="935"/>
      <c r="C1056" s="944"/>
      <c r="D1056" s="944"/>
      <c r="E1056" s="944"/>
      <c r="F1056" s="944"/>
      <c r="G1056" s="944"/>
      <c r="H1056" s="944"/>
      <c r="I1056" s="944"/>
      <c r="J1056" s="944"/>
      <c r="K1056" s="944"/>
      <c r="L1056" s="944"/>
      <c r="M1056" s="944"/>
      <c r="N1056" s="944"/>
      <c r="O1056" s="944"/>
      <c r="P1056" s="944"/>
      <c r="Q1056" s="890"/>
    </row>
    <row r="1057" spans="1:17">
      <c r="A1057" s="885">
        <v>8</v>
      </c>
      <c r="B1057" s="885" t="s">
        <v>2844</v>
      </c>
      <c r="C1057" s="885"/>
      <c r="D1057" s="944"/>
      <c r="E1057" s="944"/>
      <c r="F1057" s="944"/>
      <c r="G1057" s="944"/>
      <c r="H1057" s="944"/>
      <c r="I1057" s="944"/>
      <c r="J1057" s="944"/>
      <c r="K1057" s="944"/>
      <c r="O1057" s="936" t="s">
        <v>1989</v>
      </c>
      <c r="P1057" s="2137">
        <f>'Part VIII-Threshold Criteria'!P148</f>
        <v>0</v>
      </c>
      <c r="Q1057" s="2137"/>
    </row>
    <row r="1058" spans="1:17">
      <c r="B1058" s="940" t="s">
        <v>2110</v>
      </c>
      <c r="C1058" s="584" t="s">
        <v>3083</v>
      </c>
      <c r="D1058" s="584"/>
      <c r="E1058" s="584"/>
      <c r="F1058" s="584"/>
      <c r="G1058" s="584"/>
      <c r="I1058" s="584" t="s">
        <v>2930</v>
      </c>
      <c r="K1058" s="2147">
        <f>'Part VIII-Threshold Criteria'!K149</f>
        <v>42108</v>
      </c>
      <c r="L1058" s="2147"/>
      <c r="N1058" s="584"/>
      <c r="O1058" s="939" t="s">
        <v>2110</v>
      </c>
      <c r="P1058" s="960" t="str">
        <f>'Part VIII-Threshold Criteria'!P149</f>
        <v>Yes</v>
      </c>
      <c r="Q1058" s="960">
        <f>'Part VIII-Threshold Criteria'!Q149</f>
        <v>0</v>
      </c>
    </row>
    <row r="1059" spans="1:17">
      <c r="A1059" s="947"/>
      <c r="B1059" s="940" t="s">
        <v>2113</v>
      </c>
      <c r="C1059" s="946" t="s">
        <v>156</v>
      </c>
      <c r="D1059" s="946"/>
      <c r="E1059" s="946"/>
      <c r="F1059" s="946"/>
      <c r="G1059" s="946"/>
      <c r="H1059" s="946"/>
      <c r="M1059" s="939" t="s">
        <v>2113</v>
      </c>
      <c r="N1059" s="2148" t="str">
        <f>'Part VIII-Threshold Criteria'!N150</f>
        <v>Contract/Option</v>
      </c>
      <c r="O1059" s="2148"/>
      <c r="P1059" s="2148">
        <f>'Part VIII-Threshold Criteria'!P150</f>
        <v>0</v>
      </c>
      <c r="Q1059" s="2148"/>
    </row>
    <row r="1060" spans="1:17">
      <c r="A1060" s="947"/>
      <c r="B1060" s="940" t="s">
        <v>793</v>
      </c>
      <c r="C1060" s="946" t="s">
        <v>722</v>
      </c>
      <c r="D1060" s="946"/>
      <c r="E1060" s="946"/>
      <c r="F1060" s="946"/>
      <c r="G1060" s="946"/>
      <c r="H1060" s="946"/>
      <c r="J1060" s="939" t="s">
        <v>793</v>
      </c>
      <c r="K1060" s="2141" t="str">
        <f>'Part VIII-Threshold Criteria'!K151</f>
        <v>Highland Estates of Rome, LP</v>
      </c>
      <c r="L1060" s="2141"/>
      <c r="M1060" s="2141"/>
      <c r="N1060" s="2141"/>
      <c r="O1060" s="2141"/>
      <c r="P1060" s="2141"/>
      <c r="Q1060" s="960">
        <f>'Part VIII-Threshold Criteria'!Q151</f>
        <v>0</v>
      </c>
    </row>
    <row r="1061" spans="1:17">
      <c r="A1061" s="947"/>
      <c r="B1061" s="940" t="s">
        <v>2245</v>
      </c>
      <c r="C1061" s="946" t="s">
        <v>3288</v>
      </c>
      <c r="D1061" s="946"/>
      <c r="E1061" s="946"/>
      <c r="F1061" s="946"/>
      <c r="G1061" s="946"/>
      <c r="H1061" s="946"/>
      <c r="J1061" s="939"/>
      <c r="K1061" s="939"/>
      <c r="L1061" s="939"/>
      <c r="M1061" s="939"/>
      <c r="N1061" s="939"/>
      <c r="O1061" s="939" t="s">
        <v>2245</v>
      </c>
      <c r="P1061" s="960" t="str">
        <f>'Part VIII-Threshold Criteria'!P152</f>
        <v>No</v>
      </c>
      <c r="Q1061" s="960">
        <f>'Part VIII-Threshold Criteria'!Q152</f>
        <v>0</v>
      </c>
    </row>
    <row r="1062" spans="1:17">
      <c r="B1062" s="953" t="s">
        <v>1987</v>
      </c>
      <c r="D1062" s="953"/>
      <c r="E1062" s="953"/>
      <c r="F1062" s="953"/>
      <c r="G1062" s="953"/>
      <c r="H1062" s="938"/>
      <c r="I1062" s="935"/>
      <c r="J1062" s="935"/>
      <c r="K1062" s="935"/>
      <c r="L1062" s="890"/>
      <c r="M1062" s="890"/>
      <c r="N1062" s="890"/>
      <c r="O1062" s="890"/>
      <c r="P1062" s="890"/>
      <c r="Q1062" s="890"/>
    </row>
    <row r="1063" spans="1:17">
      <c r="A1063" s="2129" t="str">
        <f>'Part VIII-Threshold Criteria'!A154</f>
        <v xml:space="preserve">The owner has site control through 4/4/15. See tab 8. </v>
      </c>
      <c r="B1063" s="2129"/>
      <c r="C1063" s="2129"/>
      <c r="D1063" s="2129"/>
      <c r="E1063" s="2129"/>
      <c r="F1063" s="2129"/>
      <c r="G1063" s="2129"/>
      <c r="H1063" s="2129"/>
      <c r="I1063" s="2129"/>
      <c r="J1063" s="2129"/>
      <c r="K1063" s="2129"/>
      <c r="L1063" s="2129"/>
      <c r="M1063" s="2129"/>
      <c r="N1063" s="2129"/>
      <c r="O1063" s="2129"/>
      <c r="P1063" s="2129"/>
      <c r="Q1063" s="2129"/>
    </row>
    <row r="1064" spans="1:17">
      <c r="B1064" s="942" t="s">
        <v>1988</v>
      </c>
      <c r="C1064" s="943"/>
      <c r="D1064" s="944"/>
      <c r="E1064" s="944"/>
      <c r="F1064" s="944"/>
      <c r="G1064" s="944"/>
      <c r="H1064" s="944"/>
      <c r="I1064" s="944"/>
      <c r="J1064" s="944"/>
      <c r="K1064" s="944"/>
      <c r="L1064" s="944"/>
      <c r="M1064" s="944"/>
      <c r="N1064" s="944"/>
      <c r="O1064" s="944"/>
      <c r="P1064" s="944"/>
      <c r="Q1064" s="944"/>
    </row>
    <row r="1065" spans="1:17">
      <c r="A1065" s="2136">
        <f>'Part VIII-Threshold Criteria'!A156</f>
        <v>0</v>
      </c>
      <c r="B1065" s="2136"/>
      <c r="C1065" s="2136"/>
      <c r="D1065" s="2136"/>
      <c r="E1065" s="2136"/>
      <c r="F1065" s="2136"/>
      <c r="G1065" s="2136"/>
      <c r="H1065" s="2136"/>
      <c r="I1065" s="2136"/>
      <c r="J1065" s="2136"/>
      <c r="K1065" s="2136"/>
      <c r="L1065" s="2136"/>
      <c r="M1065" s="2136"/>
      <c r="N1065" s="2136"/>
      <c r="O1065" s="2136"/>
      <c r="P1065" s="2136"/>
      <c r="Q1065" s="2136"/>
    </row>
    <row r="1066" spans="1:17">
      <c r="A1066" s="890"/>
      <c r="B1066" s="935"/>
      <c r="C1066" s="944"/>
      <c r="D1066" s="944"/>
      <c r="E1066" s="944"/>
      <c r="F1066" s="944"/>
      <c r="G1066" s="944"/>
      <c r="H1066" s="944"/>
      <c r="I1066" s="944"/>
      <c r="J1066" s="944"/>
      <c r="K1066" s="944"/>
      <c r="L1066" s="944"/>
      <c r="M1066" s="944"/>
      <c r="Q1066" s="890"/>
    </row>
    <row r="1067" spans="1:17">
      <c r="A1067" s="885">
        <v>9</v>
      </c>
      <c r="B1067" s="885" t="s">
        <v>2845</v>
      </c>
      <c r="C1067" s="885"/>
      <c r="D1067" s="944"/>
      <c r="E1067" s="944"/>
      <c r="F1067" s="944"/>
      <c r="G1067" s="944"/>
      <c r="H1067" s="944"/>
      <c r="I1067" s="944"/>
      <c r="J1067" s="944"/>
      <c r="K1067" s="944"/>
      <c r="L1067" s="944"/>
      <c r="M1067" s="944"/>
      <c r="O1067" s="936" t="s">
        <v>1989</v>
      </c>
      <c r="P1067" s="2137">
        <f>'Part VIII-Threshold Criteria'!P158</f>
        <v>0</v>
      </c>
      <c r="Q1067" s="2137"/>
    </row>
    <row r="1068" spans="1:17">
      <c r="B1068" s="937" t="s">
        <v>2110</v>
      </c>
      <c r="C1068" s="2129" t="s">
        <v>3272</v>
      </c>
      <c r="D1068" s="2129"/>
      <c r="E1068" s="2129"/>
      <c r="F1068" s="2129"/>
      <c r="G1068" s="2129"/>
      <c r="H1068" s="2129"/>
      <c r="I1068" s="2129"/>
      <c r="J1068" s="2129"/>
      <c r="K1068" s="2129"/>
      <c r="L1068" s="2129"/>
      <c r="M1068" s="2129"/>
      <c r="N1068" s="2129"/>
      <c r="O1068" s="958" t="s">
        <v>2110</v>
      </c>
      <c r="P1068" s="960" t="str">
        <f>'Part VIII-Threshold Criteria'!P159</f>
        <v>Yes</v>
      </c>
      <c r="Q1068" s="960">
        <f>'Part VIII-Threshold Criteria'!Q159</f>
        <v>0</v>
      </c>
    </row>
    <row r="1069" spans="1:17">
      <c r="B1069" s="937" t="s">
        <v>2113</v>
      </c>
      <c r="C1069" s="2129" t="s">
        <v>2669</v>
      </c>
      <c r="D1069" s="2129"/>
      <c r="E1069" s="2129"/>
      <c r="F1069" s="2129"/>
      <c r="G1069" s="2129"/>
      <c r="H1069" s="2129"/>
      <c r="I1069" s="2129"/>
      <c r="J1069" s="2129"/>
      <c r="K1069" s="2129"/>
      <c r="L1069" s="2129"/>
      <c r="M1069" s="2129"/>
      <c r="N1069" s="2129"/>
      <c r="O1069" s="958" t="s">
        <v>2113</v>
      </c>
      <c r="P1069" s="960">
        <f>'Part VIII-Threshold Criteria'!P160</f>
        <v>0</v>
      </c>
      <c r="Q1069" s="960">
        <f>'Part VIII-Threshold Criteria'!Q160</f>
        <v>0</v>
      </c>
    </row>
    <row r="1070" spans="1:17">
      <c r="B1070" s="937" t="s">
        <v>793</v>
      </c>
      <c r="C1070" s="2129" t="s">
        <v>2828</v>
      </c>
      <c r="D1070" s="2129"/>
      <c r="E1070" s="2129"/>
      <c r="F1070" s="2129"/>
      <c r="G1070" s="2129"/>
      <c r="H1070" s="2129"/>
      <c r="I1070" s="2129"/>
      <c r="J1070" s="2129"/>
      <c r="K1070" s="2129"/>
      <c r="L1070" s="2129"/>
      <c r="M1070" s="2129"/>
      <c r="N1070" s="2129"/>
      <c r="O1070" s="958" t="s">
        <v>793</v>
      </c>
      <c r="P1070" s="960">
        <f>'Part VIII-Threshold Criteria'!P161</f>
        <v>0</v>
      </c>
      <c r="Q1070" s="960">
        <f>'Part VIII-Threshold Criteria'!Q161</f>
        <v>0</v>
      </c>
    </row>
    <row r="1071" spans="1:17">
      <c r="B1071" s="953" t="s">
        <v>1987</v>
      </c>
      <c r="D1071" s="953"/>
      <c r="E1071" s="953"/>
      <c r="F1071" s="953"/>
      <c r="G1071" s="953"/>
      <c r="H1071" s="938"/>
      <c r="I1071" s="935"/>
      <c r="J1071" s="935"/>
      <c r="K1071" s="935"/>
      <c r="L1071" s="890"/>
      <c r="M1071" s="890"/>
      <c r="N1071" s="890"/>
      <c r="O1071" s="890"/>
      <c r="P1071" s="890"/>
      <c r="Q1071" s="890"/>
    </row>
    <row r="1072" spans="1:17">
      <c r="A1072" s="2129" t="str">
        <f>'Part VIII-Threshold Criteria'!A163</f>
        <v xml:space="preserve">See tab 9 for site access drawing. </v>
      </c>
      <c r="B1072" s="2129"/>
      <c r="C1072" s="2129"/>
      <c r="D1072" s="2129"/>
      <c r="E1072" s="2129"/>
      <c r="F1072" s="2129"/>
      <c r="G1072" s="2129"/>
      <c r="H1072" s="2129"/>
      <c r="I1072" s="2129"/>
      <c r="J1072" s="2129"/>
      <c r="K1072" s="2129"/>
      <c r="L1072" s="2129"/>
      <c r="M1072" s="2129"/>
      <c r="N1072" s="2129"/>
      <c r="O1072" s="2129"/>
      <c r="P1072" s="2129"/>
      <c r="Q1072" s="2129"/>
    </row>
    <row r="1073" spans="1:17">
      <c r="B1073" s="942" t="s">
        <v>1988</v>
      </c>
      <c r="C1073" s="943"/>
      <c r="D1073" s="944"/>
      <c r="E1073" s="944"/>
      <c r="F1073" s="944"/>
      <c r="G1073" s="944"/>
      <c r="H1073" s="944"/>
      <c r="I1073" s="944"/>
      <c r="J1073" s="944"/>
      <c r="K1073" s="944"/>
      <c r="L1073" s="944"/>
      <c r="M1073" s="944"/>
      <c r="N1073" s="944"/>
      <c r="O1073" s="944"/>
      <c r="P1073" s="944"/>
      <c r="Q1073" s="944"/>
    </row>
    <row r="1074" spans="1:17">
      <c r="A1074" s="2136">
        <f>'Part VIII-Threshold Criteria'!A165</f>
        <v>0</v>
      </c>
      <c r="B1074" s="2136"/>
      <c r="C1074" s="2136"/>
      <c r="D1074" s="2136"/>
      <c r="E1074" s="2136"/>
      <c r="F1074" s="2136"/>
      <c r="G1074" s="2136"/>
      <c r="H1074" s="2136"/>
      <c r="I1074" s="2136"/>
      <c r="J1074" s="2136"/>
      <c r="K1074" s="2136"/>
      <c r="L1074" s="2136"/>
      <c r="M1074" s="2136"/>
      <c r="N1074" s="2136"/>
      <c r="O1074" s="2136"/>
      <c r="P1074" s="2136"/>
      <c r="Q1074" s="2136"/>
    </row>
    <row r="1075" spans="1:17">
      <c r="B1075" s="935"/>
      <c r="C1075" s="944"/>
      <c r="D1075" s="944"/>
      <c r="E1075" s="944"/>
      <c r="F1075" s="944"/>
      <c r="G1075" s="944"/>
      <c r="H1075" s="944"/>
      <c r="I1075" s="944"/>
      <c r="J1075" s="944"/>
      <c r="K1075" s="944"/>
      <c r="L1075" s="944"/>
      <c r="M1075" s="944"/>
      <c r="N1075" s="944"/>
      <c r="O1075" s="944"/>
      <c r="P1075" s="944"/>
      <c r="Q1075" s="890"/>
    </row>
    <row r="1076" spans="1:17">
      <c r="A1076" s="889">
        <v>10</v>
      </c>
      <c r="B1076" s="2146" t="s">
        <v>2846</v>
      </c>
      <c r="C1076" s="2146"/>
      <c r="D1076" s="2146"/>
      <c r="O1076" s="936" t="s">
        <v>1989</v>
      </c>
      <c r="P1076" s="2137">
        <f>'Part VIII-Threshold Criteria'!P167</f>
        <v>0</v>
      </c>
      <c r="Q1076" s="2137"/>
    </row>
    <row r="1077" spans="1:17">
      <c r="B1077" s="937" t="s">
        <v>2110</v>
      </c>
      <c r="C1077" s="951" t="s">
        <v>493</v>
      </c>
      <c r="D1077" s="951"/>
      <c r="E1077" s="951"/>
      <c r="F1077" s="951"/>
      <c r="G1077" s="951"/>
      <c r="H1077" s="951"/>
      <c r="I1077" s="951"/>
      <c r="J1077" s="951"/>
      <c r="K1077" s="951"/>
      <c r="L1077" s="951"/>
      <c r="M1077" s="951"/>
      <c r="O1077" s="958" t="s">
        <v>2110</v>
      </c>
      <c r="P1077" s="960" t="str">
        <f>'Part VIII-Threshold Criteria'!P168</f>
        <v>Yes</v>
      </c>
      <c r="Q1077" s="960">
        <f>'Part VIII-Threshold Criteria'!Q168</f>
        <v>0</v>
      </c>
    </row>
    <row r="1078" spans="1:17">
      <c r="B1078" s="937" t="s">
        <v>2113</v>
      </c>
      <c r="C1078" s="951" t="s">
        <v>2829</v>
      </c>
      <c r="D1078" s="951"/>
      <c r="E1078" s="951"/>
      <c r="F1078" s="951"/>
      <c r="G1078" s="951"/>
      <c r="H1078" s="951"/>
      <c r="I1078" s="951"/>
      <c r="J1078" s="951"/>
      <c r="K1078" s="951"/>
      <c r="L1078" s="951"/>
      <c r="M1078" s="951"/>
      <c r="O1078" s="958" t="s">
        <v>2113</v>
      </c>
      <c r="P1078" s="960" t="str">
        <f>'Part VIII-Threshold Criteria'!P169</f>
        <v>Yes</v>
      </c>
      <c r="Q1078" s="960">
        <f>'Part VIII-Threshold Criteria'!Q169</f>
        <v>0</v>
      </c>
    </row>
    <row r="1079" spans="1:17">
      <c r="B1079" s="937" t="s">
        <v>793</v>
      </c>
      <c r="C1079" s="951" t="s">
        <v>2830</v>
      </c>
      <c r="D1079" s="951"/>
      <c r="E1079" s="951"/>
      <c r="F1079" s="951"/>
      <c r="G1079" s="951"/>
      <c r="H1079" s="951"/>
      <c r="I1079" s="951"/>
      <c r="J1079" s="951"/>
      <c r="K1079" s="951"/>
      <c r="L1079" s="951"/>
      <c r="M1079" s="951"/>
      <c r="O1079" s="958" t="s">
        <v>793</v>
      </c>
      <c r="P1079" s="960" t="str">
        <f>'Part VIII-Threshold Criteria'!P170</f>
        <v>Yes</v>
      </c>
      <c r="Q1079" s="960">
        <f>'Part VIII-Threshold Criteria'!Q170</f>
        <v>0</v>
      </c>
    </row>
    <row r="1080" spans="1:17">
      <c r="B1080" s="937"/>
      <c r="C1080" s="951" t="s">
        <v>2818</v>
      </c>
      <c r="D1080" s="951"/>
      <c r="E1080" s="961" t="s">
        <v>1850</v>
      </c>
      <c r="F1080" s="951" t="s">
        <v>2831</v>
      </c>
      <c r="G1080" s="951"/>
      <c r="H1080" s="951"/>
      <c r="I1080" s="951"/>
      <c r="J1080" s="951"/>
      <c r="K1080" s="951"/>
      <c r="L1080" s="951"/>
      <c r="M1080" s="951"/>
      <c r="O1080" s="961" t="s">
        <v>1850</v>
      </c>
      <c r="P1080" s="960" t="str">
        <f>'Part VIII-Threshold Criteria'!P171</f>
        <v>Yes</v>
      </c>
      <c r="Q1080" s="960">
        <f>'Part VIII-Threshold Criteria'!Q171</f>
        <v>0</v>
      </c>
    </row>
    <row r="1081" spans="1:17">
      <c r="B1081" s="937"/>
      <c r="C1081" s="951"/>
      <c r="D1081" s="951"/>
      <c r="E1081" s="961" t="s">
        <v>1851</v>
      </c>
      <c r="F1081" s="951" t="s">
        <v>3402</v>
      </c>
      <c r="G1081" s="951"/>
      <c r="H1081" s="951"/>
      <c r="I1081" s="951"/>
      <c r="J1081" s="951"/>
      <c r="K1081" s="951"/>
      <c r="L1081" s="951"/>
      <c r="M1081" s="951"/>
      <c r="O1081" s="961" t="s">
        <v>1851</v>
      </c>
      <c r="P1081" s="960" t="str">
        <f>'Part VIII-Threshold Criteria'!P172</f>
        <v>Yes</v>
      </c>
      <c r="Q1081" s="960">
        <f>'Part VIII-Threshold Criteria'!Q172</f>
        <v>0</v>
      </c>
    </row>
    <row r="1082" spans="1:17">
      <c r="A1082" s="957"/>
      <c r="B1082" s="937"/>
      <c r="C1082" s="951"/>
      <c r="D1082" s="951"/>
      <c r="E1082" s="958" t="s">
        <v>1852</v>
      </c>
      <c r="F1082" s="2129" t="s">
        <v>2833</v>
      </c>
      <c r="G1082" s="2129"/>
      <c r="H1082" s="2129"/>
      <c r="I1082" s="2129"/>
      <c r="J1082" s="2129"/>
      <c r="K1082" s="2129"/>
      <c r="L1082" s="2129"/>
      <c r="M1082" s="2129"/>
      <c r="N1082" s="2129"/>
      <c r="O1082" s="958" t="s">
        <v>1852</v>
      </c>
      <c r="P1082" s="960" t="str">
        <f>'Part VIII-Threshold Criteria'!P173</f>
        <v>Yes</v>
      </c>
      <c r="Q1082" s="960">
        <f>'Part VIII-Threshold Criteria'!Q173</f>
        <v>0</v>
      </c>
    </row>
    <row r="1083" spans="1:17">
      <c r="B1083" s="937"/>
      <c r="C1083" s="951"/>
      <c r="D1083" s="951"/>
      <c r="E1083" s="961" t="s">
        <v>2511</v>
      </c>
      <c r="F1083" s="951" t="s">
        <v>2834</v>
      </c>
      <c r="G1083" s="951"/>
      <c r="H1083" s="951"/>
      <c r="I1083" s="951"/>
      <c r="J1083" s="951"/>
      <c r="K1083" s="951"/>
      <c r="L1083" s="951"/>
      <c r="M1083" s="951"/>
      <c r="O1083" s="961" t="s">
        <v>2511</v>
      </c>
      <c r="P1083" s="960" t="str">
        <f>'Part VIII-Threshold Criteria'!P174</f>
        <v>Yes</v>
      </c>
      <c r="Q1083" s="960">
        <f>'Part VIII-Threshold Criteria'!Q174</f>
        <v>0</v>
      </c>
    </row>
    <row r="1084" spans="1:17">
      <c r="A1084" s="957"/>
      <c r="B1084" s="937"/>
      <c r="C1084" s="951"/>
      <c r="D1084" s="951"/>
      <c r="E1084" s="958" t="s">
        <v>1648</v>
      </c>
      <c r="F1084" s="2129" t="s">
        <v>2835</v>
      </c>
      <c r="G1084" s="2129"/>
      <c r="H1084" s="2129"/>
      <c r="I1084" s="2129"/>
      <c r="J1084" s="2129"/>
      <c r="K1084" s="2129"/>
      <c r="L1084" s="2129"/>
      <c r="M1084" s="2129"/>
      <c r="N1084" s="2129"/>
      <c r="O1084" s="958" t="s">
        <v>1648</v>
      </c>
      <c r="P1084" s="960">
        <f>'Part VIII-Threshold Criteria'!P175</f>
        <v>0</v>
      </c>
      <c r="Q1084" s="960">
        <f>'Part VIII-Threshold Criteria'!Q175</f>
        <v>0</v>
      </c>
    </row>
    <row r="1085" spans="1:17">
      <c r="B1085" s="937" t="s">
        <v>2245</v>
      </c>
      <c r="C1085" s="2129" t="s">
        <v>2836</v>
      </c>
      <c r="D1085" s="2129"/>
      <c r="E1085" s="2129"/>
      <c r="F1085" s="2129"/>
      <c r="G1085" s="2129"/>
      <c r="H1085" s="2129"/>
      <c r="I1085" s="2129"/>
      <c r="J1085" s="2129"/>
      <c r="K1085" s="2129"/>
      <c r="L1085" s="2129"/>
      <c r="M1085" s="2129"/>
      <c r="N1085" s="2129"/>
      <c r="O1085" s="958" t="s">
        <v>2245</v>
      </c>
      <c r="P1085" s="960" t="str">
        <f>'Part VIII-Threshold Criteria'!P176</f>
        <v>Yes</v>
      </c>
      <c r="Q1085" s="960">
        <f>'Part VIII-Threshold Criteria'!Q176</f>
        <v>0</v>
      </c>
    </row>
    <row r="1086" spans="1:17">
      <c r="B1086" s="937" t="s">
        <v>1848</v>
      </c>
      <c r="C1086" s="951" t="s">
        <v>2527</v>
      </c>
      <c r="D1086" s="951"/>
      <c r="E1086" s="951"/>
      <c r="F1086" s="951"/>
      <c r="G1086" s="951"/>
      <c r="H1086" s="951"/>
      <c r="I1086" s="951"/>
      <c r="J1086" s="951"/>
      <c r="K1086" s="951"/>
      <c r="L1086" s="951"/>
      <c r="M1086" s="951"/>
      <c r="O1086" s="958" t="s">
        <v>1848</v>
      </c>
      <c r="P1086" s="960" t="str">
        <f>'Part VIII-Threshold Criteria'!P177</f>
        <v>Yes</v>
      </c>
      <c r="Q1086" s="960">
        <f>'Part VIII-Threshold Criteria'!Q177</f>
        <v>0</v>
      </c>
    </row>
    <row r="1087" spans="1:17">
      <c r="B1087" s="953" t="s">
        <v>1987</v>
      </c>
      <c r="D1087" s="953"/>
      <c r="E1087" s="953"/>
      <c r="F1087" s="953"/>
      <c r="G1087" s="953"/>
      <c r="H1087" s="938"/>
      <c r="I1087" s="935"/>
      <c r="J1087" s="935"/>
      <c r="K1087" s="935"/>
      <c r="L1087" s="890"/>
      <c r="M1087" s="890"/>
      <c r="N1087" s="890"/>
      <c r="O1087" s="890"/>
      <c r="P1087" s="890"/>
      <c r="Q1087" s="890"/>
    </row>
    <row r="1088" spans="1:17">
      <c r="A1088" s="2129" t="str">
        <f>'Part VIII-Threshold Criteria'!A179</f>
        <v xml:space="preserve">See tab 10 for zoning documentation. </v>
      </c>
      <c r="B1088" s="2129"/>
      <c r="C1088" s="2129"/>
      <c r="D1088" s="2129"/>
      <c r="E1088" s="2129"/>
      <c r="F1088" s="2129"/>
      <c r="G1088" s="2129"/>
      <c r="H1088" s="2129"/>
      <c r="I1088" s="2129"/>
      <c r="J1088" s="2129"/>
      <c r="K1088" s="2129"/>
      <c r="L1088" s="2129"/>
      <c r="M1088" s="2129"/>
      <c r="N1088" s="2129"/>
      <c r="O1088" s="2129"/>
      <c r="P1088" s="2129"/>
      <c r="Q1088" s="2129"/>
    </row>
    <row r="1089" spans="1:17">
      <c r="B1089" s="942" t="s">
        <v>1988</v>
      </c>
      <c r="C1089" s="943"/>
      <c r="D1089" s="944"/>
      <c r="E1089" s="944"/>
      <c r="F1089" s="944"/>
      <c r="G1089" s="944"/>
      <c r="H1089" s="944"/>
      <c r="I1089" s="944"/>
      <c r="J1089" s="944"/>
      <c r="K1089" s="944"/>
      <c r="L1089" s="944"/>
      <c r="M1089" s="944"/>
      <c r="N1089" s="944"/>
      <c r="O1089" s="944"/>
      <c r="P1089" s="944"/>
      <c r="Q1089" s="944"/>
    </row>
    <row r="1090" spans="1:17">
      <c r="A1090" s="2136">
        <f>'Part VIII-Threshold Criteria'!A181</f>
        <v>0</v>
      </c>
      <c r="B1090" s="2136"/>
      <c r="C1090" s="2136"/>
      <c r="D1090" s="2136"/>
      <c r="E1090" s="2136"/>
      <c r="F1090" s="2136"/>
      <c r="G1090" s="2136"/>
      <c r="H1090" s="2136"/>
      <c r="I1090" s="2136"/>
      <c r="J1090" s="2136"/>
      <c r="K1090" s="2136"/>
      <c r="L1090" s="2136"/>
      <c r="M1090" s="2136"/>
      <c r="N1090" s="2136"/>
      <c r="O1090" s="2136"/>
      <c r="P1090" s="2136"/>
      <c r="Q1090" s="2136"/>
    </row>
    <row r="1091" spans="1:17">
      <c r="A1091" s="890"/>
      <c r="B1091" s="935"/>
      <c r="C1091" s="944"/>
      <c r="D1091" s="944"/>
      <c r="E1091" s="944"/>
      <c r="F1091" s="944"/>
      <c r="G1091" s="944"/>
      <c r="H1091" s="944"/>
      <c r="I1091" s="944"/>
      <c r="J1091" s="944"/>
      <c r="K1091" s="944"/>
      <c r="L1091" s="944"/>
      <c r="M1091" s="944"/>
      <c r="N1091" s="944"/>
      <c r="O1091" s="944"/>
      <c r="P1091" s="944"/>
      <c r="Q1091" s="890"/>
    </row>
    <row r="1092" spans="1:17">
      <c r="A1092" s="885">
        <v>11</v>
      </c>
      <c r="B1092" s="885" t="s">
        <v>2847</v>
      </c>
      <c r="C1092" s="885"/>
      <c r="D1092" s="944"/>
      <c r="E1092" s="962"/>
      <c r="F1092" s="962"/>
      <c r="G1092" s="944"/>
      <c r="J1092" s="955"/>
      <c r="K1092" s="955"/>
      <c r="L1092" s="955"/>
      <c r="M1092" s="955"/>
      <c r="N1092" s="955"/>
      <c r="O1092" s="936" t="s">
        <v>1989</v>
      </c>
      <c r="P1092" s="2137">
        <f>'Part VIII-Threshold Criteria'!P183</f>
        <v>0</v>
      </c>
      <c r="Q1092" s="2137"/>
    </row>
    <row r="1093" spans="1:17">
      <c r="A1093" s="947"/>
      <c r="B1093" s="940" t="s">
        <v>2110</v>
      </c>
      <c r="C1093" s="2129" t="s">
        <v>100</v>
      </c>
      <c r="D1093" s="2129"/>
      <c r="E1093" s="2129"/>
      <c r="F1093" s="2129"/>
      <c r="G1093" s="2129"/>
      <c r="H1093" s="939" t="s">
        <v>1850</v>
      </c>
      <c r="I1093" s="584" t="s">
        <v>158</v>
      </c>
      <c r="K1093" s="2141" t="str">
        <f>'Part VIII-Threshold Criteria'!K184</f>
        <v>&lt;&lt;Enter Provider Name Here&gt;&gt;</v>
      </c>
      <c r="L1093" s="2141"/>
      <c r="M1093" s="2141"/>
      <c r="N1093" s="2141"/>
      <c r="O1093" s="939" t="s">
        <v>1850</v>
      </c>
      <c r="P1093" s="960" t="str">
        <f>'Part VIII-Threshold Criteria'!P184</f>
        <v>No</v>
      </c>
      <c r="Q1093" s="960">
        <f>'Part VIII-Threshold Criteria'!Q184</f>
        <v>0</v>
      </c>
    </row>
    <row r="1094" spans="1:17">
      <c r="A1094" s="947"/>
      <c r="B1094" s="935"/>
      <c r="C1094" s="1070"/>
      <c r="D1094" s="1070"/>
      <c r="E1094" s="1070"/>
      <c r="F1094" s="1070"/>
      <c r="H1094" s="939" t="s">
        <v>1851</v>
      </c>
      <c r="I1094" s="584" t="s">
        <v>1695</v>
      </c>
      <c r="K1094" s="2141" t="str">
        <f>'Part VIII-Threshold Criteria'!K185</f>
        <v>Georgia Power</v>
      </c>
      <c r="L1094" s="2141"/>
      <c r="M1094" s="2141"/>
      <c r="N1094" s="2141"/>
      <c r="O1094" s="939" t="s">
        <v>1851</v>
      </c>
      <c r="P1094" s="960" t="str">
        <f>'Part VIII-Threshold Criteria'!P185</f>
        <v>Yes</v>
      </c>
      <c r="Q1094" s="960">
        <f>'Part VIII-Threshold Criteria'!Q185</f>
        <v>0</v>
      </c>
    </row>
    <row r="1095" spans="1:17">
      <c r="B1095" s="953" t="s">
        <v>1987</v>
      </c>
      <c r="D1095" s="953"/>
      <c r="E1095" s="953"/>
      <c r="F1095" s="953"/>
      <c r="G1095" s="953"/>
      <c r="J1095" s="935"/>
      <c r="K1095" s="935"/>
      <c r="L1095" s="890"/>
      <c r="M1095" s="890"/>
      <c r="N1095" s="890"/>
      <c r="O1095" s="890"/>
      <c r="P1095" s="890"/>
      <c r="Q1095" s="890"/>
    </row>
    <row r="1096" spans="1:17">
      <c r="A1096" s="2129" t="str">
        <f>'Part VIII-Threshold Criteria'!A187</f>
        <v xml:space="preserve">All utilities are available. Gas will not be used. </v>
      </c>
      <c r="B1096" s="2129"/>
      <c r="C1096" s="2129"/>
      <c r="D1096" s="2129"/>
      <c r="E1096" s="2129"/>
      <c r="F1096" s="2129"/>
      <c r="G1096" s="2129"/>
      <c r="H1096" s="2129"/>
      <c r="I1096" s="2129"/>
      <c r="J1096" s="2129"/>
      <c r="K1096" s="2129"/>
      <c r="L1096" s="2129"/>
      <c r="M1096" s="2129"/>
      <c r="N1096" s="2129"/>
      <c r="O1096" s="2129"/>
      <c r="P1096" s="2129"/>
      <c r="Q1096" s="2129"/>
    </row>
    <row r="1097" spans="1:17">
      <c r="B1097" s="942" t="s">
        <v>1988</v>
      </c>
      <c r="C1097" s="943"/>
      <c r="D1097" s="944"/>
      <c r="E1097" s="944"/>
      <c r="F1097" s="944"/>
      <c r="G1097" s="944"/>
      <c r="H1097" s="944"/>
      <c r="I1097" s="944"/>
      <c r="J1097" s="944"/>
      <c r="K1097" s="944"/>
      <c r="L1097" s="944"/>
      <c r="M1097" s="944"/>
      <c r="N1097" s="944"/>
      <c r="O1097" s="944"/>
      <c r="P1097" s="944"/>
      <c r="Q1097" s="944"/>
    </row>
    <row r="1098" spans="1:17">
      <c r="A1098" s="2136">
        <f>'Part VIII-Threshold Criteria'!A189</f>
        <v>0</v>
      </c>
      <c r="B1098" s="2136"/>
      <c r="C1098" s="2136"/>
      <c r="D1098" s="2136"/>
      <c r="E1098" s="2136"/>
      <c r="F1098" s="2136"/>
      <c r="G1098" s="2136"/>
      <c r="H1098" s="2136"/>
      <c r="I1098" s="2136"/>
      <c r="J1098" s="2136"/>
      <c r="K1098" s="2136"/>
      <c r="L1098" s="2136"/>
      <c r="M1098" s="2136"/>
      <c r="N1098" s="2136"/>
      <c r="O1098" s="2136"/>
      <c r="P1098" s="2136"/>
      <c r="Q1098" s="2136"/>
    </row>
    <row r="1099" spans="1:17">
      <c r="B1099" s="935"/>
      <c r="C1099" s="944"/>
      <c r="D1099" s="944"/>
      <c r="E1099" s="944"/>
      <c r="F1099" s="944"/>
      <c r="G1099" s="944"/>
      <c r="H1099" s="944"/>
      <c r="I1099" s="944"/>
      <c r="J1099" s="944"/>
      <c r="K1099" s="944"/>
      <c r="L1099" s="944"/>
      <c r="M1099" s="944"/>
      <c r="Q1099" s="890"/>
    </row>
    <row r="1100" spans="1:17">
      <c r="A1100" s="885">
        <v>12</v>
      </c>
      <c r="B1100" s="586" t="s">
        <v>2848</v>
      </c>
      <c r="C1100" s="586"/>
      <c r="D1100" s="934"/>
      <c r="E1100" s="934"/>
      <c r="F1100" s="934"/>
      <c r="G1100" s="944"/>
      <c r="H1100" s="944"/>
      <c r="I1100" s="944"/>
      <c r="J1100" s="944"/>
      <c r="K1100" s="944"/>
      <c r="L1100" s="944"/>
      <c r="M1100" s="944"/>
      <c r="O1100" s="936" t="s">
        <v>1989</v>
      </c>
      <c r="P1100" s="2137">
        <f>'Part VIII-Threshold Criteria'!P191</f>
        <v>0</v>
      </c>
      <c r="Q1100" s="2137"/>
    </row>
    <row r="1102" spans="1:17">
      <c r="B1102" s="937" t="s">
        <v>2110</v>
      </c>
      <c r="C1102" s="948" t="s">
        <v>1850</v>
      </c>
      <c r="D1102" s="963" t="s">
        <v>542</v>
      </c>
      <c r="E1102" s="963"/>
      <c r="F1102" s="963"/>
      <c r="G1102" s="963"/>
      <c r="H1102" s="963"/>
      <c r="I1102" s="963"/>
      <c r="J1102" s="963"/>
      <c r="K1102" s="963"/>
      <c r="L1102" s="963"/>
      <c r="M1102" s="963"/>
      <c r="N1102" s="963"/>
      <c r="O1102" s="958" t="s">
        <v>1580</v>
      </c>
      <c r="P1102" s="960" t="str">
        <f>'Part VIII-Threshold Criteria'!P193</f>
        <v>No</v>
      </c>
      <c r="Q1102" s="960">
        <f>'Part VIII-Threshold Criteria'!Q193</f>
        <v>0</v>
      </c>
    </row>
    <row r="1103" spans="1:17">
      <c r="B1103" s="937"/>
      <c r="C1103" s="948" t="s">
        <v>1851</v>
      </c>
      <c r="D1103" s="963" t="s">
        <v>1557</v>
      </c>
      <c r="E1103" s="963"/>
      <c r="F1103" s="963"/>
      <c r="G1103" s="963"/>
      <c r="H1103" s="963"/>
      <c r="I1103" s="963"/>
      <c r="J1103" s="963"/>
      <c r="K1103" s="963"/>
      <c r="L1103" s="963"/>
      <c r="M1103" s="963"/>
      <c r="N1103" s="963"/>
      <c r="O1103" s="958" t="s">
        <v>1851</v>
      </c>
      <c r="P1103" s="960" t="str">
        <f>'Part VIII-Threshold Criteria'!P194</f>
        <v>No</v>
      </c>
      <c r="Q1103" s="960">
        <f>'Part VIII-Threshold Criteria'!Q194</f>
        <v>0</v>
      </c>
    </row>
    <row r="1104" spans="1:17">
      <c r="A1104" s="947"/>
      <c r="B1104" s="937" t="s">
        <v>2113</v>
      </c>
      <c r="C1104" s="2129" t="s">
        <v>1970</v>
      </c>
      <c r="D1104" s="2129"/>
      <c r="E1104" s="2129"/>
      <c r="F1104" s="2129"/>
      <c r="G1104" s="2129"/>
      <c r="H1104" s="939" t="s">
        <v>1850</v>
      </c>
      <c r="I1104" s="584" t="s">
        <v>671</v>
      </c>
      <c r="K1104" s="2141" t="str">
        <f>'Part VIII-Threshold Criteria'!K195</f>
        <v>City of Rome</v>
      </c>
      <c r="L1104" s="2141"/>
      <c r="M1104" s="2141"/>
      <c r="N1104" s="2141"/>
      <c r="O1104" s="939" t="s">
        <v>1535</v>
      </c>
      <c r="P1104" s="960" t="str">
        <f>'Part VIII-Threshold Criteria'!P195</f>
        <v>Yes</v>
      </c>
      <c r="Q1104" s="960">
        <f>'Part VIII-Threshold Criteria'!Q195</f>
        <v>0</v>
      </c>
    </row>
    <row r="1105" spans="1:17">
      <c r="A1105" s="947"/>
      <c r="B1105" s="604"/>
      <c r="C1105" s="2129"/>
      <c r="D1105" s="2129"/>
      <c r="E1105" s="2129"/>
      <c r="F1105" s="2129"/>
      <c r="G1105" s="2129"/>
      <c r="H1105" s="939" t="s">
        <v>1851</v>
      </c>
      <c r="I1105" s="584" t="s">
        <v>119</v>
      </c>
      <c r="K1105" s="2141" t="str">
        <f>'Part VIII-Threshold Criteria'!K196</f>
        <v>City of Rome</v>
      </c>
      <c r="L1105" s="2141"/>
      <c r="M1105" s="2141"/>
      <c r="N1105" s="2141"/>
      <c r="O1105" s="939" t="s">
        <v>1851</v>
      </c>
      <c r="P1105" s="960" t="str">
        <f>'Part VIII-Threshold Criteria'!P196</f>
        <v>Yes</v>
      </c>
      <c r="Q1105" s="960">
        <f>'Part VIII-Threshold Criteria'!Q196</f>
        <v>0</v>
      </c>
    </row>
    <row r="1106" spans="1:17">
      <c r="B1106" s="953" t="s">
        <v>1987</v>
      </c>
      <c r="D1106" s="953"/>
      <c r="E1106" s="953"/>
      <c r="F1106" s="953"/>
      <c r="G1106" s="953"/>
      <c r="H1106" s="938"/>
      <c r="I1106" s="935"/>
      <c r="J1106" s="935"/>
      <c r="K1106" s="935"/>
      <c r="L1106" s="890"/>
      <c r="M1106" s="890"/>
      <c r="N1106" s="890"/>
      <c r="O1106" s="890"/>
      <c r="P1106" s="890"/>
      <c r="Q1106" s="890"/>
    </row>
    <row r="1107" spans="1:17">
      <c r="A1107" s="2129" t="str">
        <f>'Part VIII-Threshold Criteria'!A198</f>
        <v xml:space="preserve">Water and sewer are available to the site and has adequate capacity. See letters in tab 12. </v>
      </c>
      <c r="B1107" s="2129"/>
      <c r="C1107" s="2129"/>
      <c r="D1107" s="2129"/>
      <c r="E1107" s="2129"/>
      <c r="F1107" s="2129"/>
      <c r="G1107" s="2129"/>
      <c r="H1107" s="2129"/>
      <c r="I1107" s="2129"/>
      <c r="J1107" s="2129"/>
      <c r="K1107" s="2129"/>
      <c r="L1107" s="2129"/>
      <c r="M1107" s="2129"/>
      <c r="N1107" s="2129"/>
      <c r="O1107" s="2129"/>
      <c r="P1107" s="2129"/>
      <c r="Q1107" s="2129"/>
    </row>
    <row r="1108" spans="1:17">
      <c r="B1108" s="942" t="s">
        <v>1988</v>
      </c>
      <c r="C1108" s="943"/>
      <c r="D1108" s="944"/>
      <c r="E1108" s="944"/>
      <c r="F1108" s="944"/>
      <c r="G1108" s="944"/>
      <c r="H1108" s="944"/>
      <c r="I1108" s="944"/>
      <c r="J1108" s="944"/>
      <c r="K1108" s="944"/>
      <c r="L1108" s="944"/>
      <c r="M1108" s="944"/>
      <c r="N1108" s="944"/>
      <c r="O1108" s="944"/>
      <c r="P1108" s="944"/>
      <c r="Q1108" s="944"/>
    </row>
    <row r="1109" spans="1:17">
      <c r="A1109" s="2136">
        <f>'Part VIII-Threshold Criteria'!A200</f>
        <v>0</v>
      </c>
      <c r="B1109" s="2136"/>
      <c r="C1109" s="2136"/>
      <c r="D1109" s="2136"/>
      <c r="E1109" s="2136"/>
      <c r="F1109" s="2136"/>
      <c r="G1109" s="2136"/>
      <c r="H1109" s="2136"/>
      <c r="I1109" s="2136"/>
      <c r="J1109" s="2136"/>
      <c r="K1109" s="2136"/>
      <c r="L1109" s="2136"/>
      <c r="M1109" s="2136"/>
      <c r="N1109" s="2136"/>
      <c r="O1109" s="2136"/>
      <c r="P1109" s="2136"/>
      <c r="Q1109" s="2136"/>
    </row>
    <row r="1110" spans="1:17">
      <c r="A1110" s="890"/>
      <c r="B1110" s="935"/>
      <c r="C1110" s="944"/>
      <c r="D1110" s="944"/>
      <c r="E1110" s="944"/>
      <c r="F1110" s="944"/>
      <c r="G1110" s="944"/>
      <c r="H1110" s="944"/>
      <c r="I1110" s="944"/>
      <c r="J1110" s="944"/>
      <c r="K1110" s="944"/>
      <c r="L1110" s="944"/>
      <c r="M1110" s="944"/>
      <c r="Q1110" s="890"/>
    </row>
    <row r="1111" spans="1:17">
      <c r="A1111" s="885">
        <v>13</v>
      </c>
      <c r="B1111" s="586" t="s">
        <v>2849</v>
      </c>
      <c r="C1111" s="586"/>
      <c r="D1111" s="934"/>
      <c r="E1111" s="934"/>
      <c r="F1111" s="934"/>
      <c r="G1111" s="934"/>
      <c r="H1111" s="944"/>
      <c r="I1111" s="944"/>
      <c r="J1111" s="944"/>
      <c r="K1111" s="944"/>
      <c r="L1111" s="944"/>
      <c r="M1111" s="944"/>
      <c r="O1111" s="936" t="s">
        <v>1989</v>
      </c>
      <c r="P1111" s="2137">
        <f>'Part VIII-Threshold Criteria'!P202</f>
        <v>0</v>
      </c>
      <c r="Q1111" s="2137"/>
    </row>
    <row r="1112" spans="1:17">
      <c r="B1112" s="566" t="s">
        <v>150</v>
      </c>
    </row>
    <row r="1113" spans="1:17">
      <c r="B1113" s="940" t="s">
        <v>2110</v>
      </c>
      <c r="C1113" s="584" t="s">
        <v>3091</v>
      </c>
      <c r="D1113" s="583"/>
      <c r="E1113" s="584"/>
      <c r="F1113" s="584"/>
      <c r="G1113" s="584"/>
      <c r="H1113" s="584"/>
      <c r="I1113" s="583"/>
      <c r="J1113" s="583"/>
      <c r="K1113" s="583"/>
      <c r="L1113" s="951"/>
      <c r="M1113" s="951"/>
      <c r="O1113" s="958" t="s">
        <v>2110</v>
      </c>
      <c r="P1113" s="960" t="str">
        <f>'Part VIII-Threshold Criteria'!P204</f>
        <v>Yes</v>
      </c>
      <c r="Q1113" s="960">
        <f>'Part VIII-Threshold Criteria'!Q204</f>
        <v>0</v>
      </c>
    </row>
    <row r="1114" spans="1:17">
      <c r="B1114" s="940"/>
      <c r="C1114" s="584"/>
      <c r="D1114" s="584" t="s">
        <v>3327</v>
      </c>
      <c r="E1114" s="584"/>
      <c r="F1114" s="584"/>
      <c r="G1114" s="1071">
        <f>'Part VIII-Threshold Criteria'!G205</f>
        <v>41715</v>
      </c>
      <c r="H1114" s="584"/>
      <c r="I1114" s="584" t="s">
        <v>3328</v>
      </c>
      <c r="J1114" s="583"/>
      <c r="K1114" s="1071">
        <f>'Part VIII-Threshold Criteria'!K205</f>
        <v>41732</v>
      </c>
      <c r="M1114" s="951"/>
    </row>
    <row r="1115" spans="1:17">
      <c r="B1115" s="940"/>
      <c r="C1115" s="584"/>
      <c r="D1115" s="566" t="s">
        <v>3329</v>
      </c>
      <c r="E1115" s="584"/>
      <c r="F1115" s="584"/>
      <c r="G1115" s="2141" t="str">
        <f>'Part VIII-Threshold Criteria'!G206</f>
        <v>Romes News-Tribune</v>
      </c>
      <c r="H1115" s="2141"/>
      <c r="I1115" s="2141"/>
      <c r="J1115" s="2141"/>
      <c r="K1115" s="2141"/>
      <c r="L1115" s="584"/>
      <c r="M1115" s="584"/>
      <c r="N1115" s="584"/>
      <c r="O1115" s="584"/>
      <c r="P1115" s="584"/>
    </row>
    <row r="1116" spans="1:17">
      <c r="B1116" s="940" t="s">
        <v>2113</v>
      </c>
      <c r="C1116" s="584" t="s">
        <v>3092</v>
      </c>
      <c r="D1116" s="584"/>
      <c r="E1116" s="584"/>
      <c r="F1116" s="584"/>
      <c r="G1116" s="584"/>
      <c r="H1116" s="584"/>
      <c r="I1116" s="583"/>
      <c r="J1116" s="583"/>
      <c r="K1116" s="583"/>
      <c r="L1116" s="946"/>
      <c r="M1116" s="946"/>
      <c r="O1116" s="958" t="s">
        <v>2113</v>
      </c>
      <c r="P1116" s="960" t="str">
        <f>'Part VIII-Threshold Criteria'!P207</f>
        <v>Yes</v>
      </c>
      <c r="Q1116" s="960">
        <f>'Part VIII-Threshold Criteria'!Q207</f>
        <v>0</v>
      </c>
    </row>
    <row r="1117" spans="1:17">
      <c r="B1117" s="940" t="s">
        <v>793</v>
      </c>
      <c r="C1117" s="584" t="s">
        <v>3093</v>
      </c>
      <c r="D1117" s="584"/>
      <c r="E1117" s="584"/>
      <c r="F1117" s="584"/>
      <c r="G1117" s="584"/>
      <c r="H1117" s="584"/>
      <c r="I1117" s="583"/>
      <c r="J1117" s="583"/>
      <c r="K1117" s="583"/>
      <c r="L1117" s="946"/>
      <c r="M1117" s="946"/>
      <c r="O1117" s="958" t="s">
        <v>793</v>
      </c>
      <c r="P1117" s="960" t="str">
        <f>'Part VIII-Threshold Criteria'!P208</f>
        <v>Yes</v>
      </c>
      <c r="Q1117" s="960">
        <f>'Part VIII-Threshold Criteria'!Q208</f>
        <v>0</v>
      </c>
    </row>
    <row r="1118" spans="1:17">
      <c r="B1118" s="940" t="s">
        <v>2245</v>
      </c>
      <c r="C1118" s="584" t="s">
        <v>3324</v>
      </c>
      <c r="D1118" s="584"/>
      <c r="E1118" s="584"/>
      <c r="F1118" s="584"/>
      <c r="G1118" s="584"/>
      <c r="H1118" s="584"/>
      <c r="I1118" s="583"/>
      <c r="J1118" s="583"/>
      <c r="K1118" s="583"/>
      <c r="L1118" s="951"/>
      <c r="M1118" s="951"/>
      <c r="O1118" s="939" t="s">
        <v>2245</v>
      </c>
      <c r="P1118" s="960" t="str">
        <f>'Part VIII-Threshold Criteria'!P209</f>
        <v>Yes</v>
      </c>
      <c r="Q1118" s="960">
        <f>'Part VIII-Threshold Criteria'!Q209</f>
        <v>0</v>
      </c>
    </row>
    <row r="1119" spans="1:17">
      <c r="B1119" s="940" t="s">
        <v>1848</v>
      </c>
      <c r="C1119" s="584" t="s">
        <v>151</v>
      </c>
      <c r="D1119" s="584"/>
      <c r="E1119" s="584"/>
      <c r="F1119" s="584"/>
      <c r="G1119" s="584"/>
      <c r="H1119" s="584"/>
      <c r="I1119" s="583"/>
      <c r="J1119" s="583"/>
      <c r="K1119" s="583"/>
      <c r="L1119" s="583"/>
      <c r="M1119" s="583"/>
      <c r="O1119" s="939" t="s">
        <v>1848</v>
      </c>
      <c r="P1119" s="960" t="str">
        <f>'Part VIII-Threshold Criteria'!P210</f>
        <v>Yes</v>
      </c>
      <c r="Q1119" s="960">
        <f>'Part VIII-Threshold Criteria'!Q210</f>
        <v>0</v>
      </c>
    </row>
    <row r="1120" spans="1:17">
      <c r="B1120" s="953" t="s">
        <v>1987</v>
      </c>
      <c r="D1120" s="953"/>
      <c r="E1120" s="953"/>
      <c r="F1120" s="953"/>
      <c r="G1120" s="953"/>
      <c r="H1120" s="938"/>
      <c r="I1120" s="935"/>
      <c r="J1120" s="935"/>
      <c r="K1120" s="935"/>
      <c r="L1120" s="890"/>
      <c r="M1120" s="890"/>
      <c r="N1120" s="890"/>
      <c r="O1120" s="890"/>
      <c r="P1120" s="890"/>
      <c r="Q1120" s="890"/>
    </row>
    <row r="1121" spans="1:17">
      <c r="A1121" s="2129" t="str">
        <f>'Part VIII-Threshold Criteria'!A212</f>
        <v xml:space="preserve">The dates listed above in Part A pertain to one of the numerous public meetings in Rome about Highland Estates over the past several months.  Please see Tab 13 of the Application Binder. </v>
      </c>
      <c r="B1121" s="2129"/>
      <c r="C1121" s="2129"/>
      <c r="D1121" s="2129"/>
      <c r="E1121" s="2129"/>
      <c r="F1121" s="2129"/>
      <c r="G1121" s="2129"/>
      <c r="H1121" s="2129"/>
      <c r="I1121" s="2129"/>
      <c r="J1121" s="2129"/>
      <c r="K1121" s="2129"/>
      <c r="L1121" s="2129"/>
      <c r="M1121" s="2129"/>
      <c r="N1121" s="2129"/>
      <c r="O1121" s="2129"/>
      <c r="P1121" s="2129"/>
      <c r="Q1121" s="2129"/>
    </row>
    <row r="1123" spans="1:17">
      <c r="B1123" s="942" t="s">
        <v>1988</v>
      </c>
      <c r="C1123" s="943"/>
      <c r="D1123" s="944"/>
      <c r="E1123" s="944"/>
      <c r="F1123" s="944"/>
      <c r="G1123" s="944"/>
      <c r="H1123" s="944"/>
      <c r="I1123" s="944"/>
      <c r="J1123" s="944"/>
      <c r="K1123" s="944"/>
      <c r="L1123" s="944"/>
      <c r="M1123" s="944"/>
      <c r="N1123" s="944"/>
      <c r="O1123" s="944"/>
      <c r="P1123" s="944"/>
      <c r="Q1123" s="944"/>
    </row>
    <row r="1124" spans="1:17">
      <c r="A1124" s="2136">
        <f>'Part VIII-Threshold Criteria'!A215</f>
        <v>0</v>
      </c>
      <c r="B1124" s="2136"/>
      <c r="C1124" s="2136"/>
      <c r="D1124" s="2136"/>
      <c r="E1124" s="2136"/>
      <c r="F1124" s="2136"/>
      <c r="G1124" s="2136"/>
      <c r="H1124" s="2136"/>
      <c r="I1124" s="2136"/>
      <c r="J1124" s="2136"/>
      <c r="K1124" s="2136"/>
      <c r="L1124" s="2136"/>
      <c r="M1124" s="2136"/>
      <c r="N1124" s="2136"/>
      <c r="O1124" s="2136"/>
      <c r="P1124" s="2136"/>
      <c r="Q1124" s="2136"/>
    </row>
    <row r="1125" spans="1:17">
      <c r="A1125" s="890"/>
      <c r="B1125" s="935"/>
      <c r="C1125" s="944"/>
      <c r="D1125" s="944"/>
      <c r="E1125" s="944"/>
      <c r="F1125" s="944"/>
      <c r="G1125" s="944"/>
      <c r="H1125" s="944"/>
      <c r="I1125" s="944"/>
      <c r="J1125" s="944"/>
      <c r="K1125" s="944"/>
      <c r="L1125" s="944"/>
      <c r="M1125" s="944"/>
      <c r="Q1125" s="890"/>
    </row>
    <row r="1126" spans="1:17">
      <c r="A1126" s="885">
        <v>14</v>
      </c>
      <c r="B1126" s="885" t="s">
        <v>2850</v>
      </c>
      <c r="C1126" s="954"/>
      <c r="D1126" s="944"/>
      <c r="E1126" s="944"/>
      <c r="F1126" s="944"/>
      <c r="G1126" s="944"/>
      <c r="H1126" s="944"/>
      <c r="I1126" s="944"/>
      <c r="J1126" s="944"/>
      <c r="K1126" s="944"/>
      <c r="L1126" s="944"/>
      <c r="M1126" s="944"/>
      <c r="O1126" s="936" t="s">
        <v>1989</v>
      </c>
      <c r="P1126" s="2137">
        <f>'Part VIII-Threshold Criteria'!P217</f>
        <v>0</v>
      </c>
      <c r="Q1126" s="2137"/>
    </row>
    <row r="1127" spans="1:17">
      <c r="B1127" s="566" t="s">
        <v>1258</v>
      </c>
      <c r="N1127" s="784"/>
      <c r="P1127" s="960" t="str">
        <f>'Part VIII-Threshold Criteria'!P218</f>
        <v>No</v>
      </c>
      <c r="Q1127" s="960">
        <f>'Part VIII-Threshold Criteria'!Q218</f>
        <v>0</v>
      </c>
    </row>
    <row r="1128" spans="1:17">
      <c r="B1128" s="940" t="s">
        <v>2110</v>
      </c>
      <c r="C1128" s="934" t="s">
        <v>1462</v>
      </c>
      <c r="D1128" s="583"/>
      <c r="E1128" s="583"/>
      <c r="F1128" s="583"/>
      <c r="G1128" s="583"/>
      <c r="H1128" s="583"/>
      <c r="I1128" s="583"/>
      <c r="J1128" s="583"/>
      <c r="K1128" s="583"/>
      <c r="L1128" s="583"/>
      <c r="M1128" s="583"/>
    </row>
    <row r="1129" spans="1:17">
      <c r="B1129" s="940"/>
      <c r="C1129" s="939" t="s">
        <v>1850</v>
      </c>
      <c r="D1129" s="584" t="s">
        <v>2057</v>
      </c>
      <c r="E1129" s="584"/>
      <c r="F1129" s="584"/>
      <c r="G1129" s="584"/>
      <c r="H1129" s="584"/>
      <c r="I1129" s="583"/>
      <c r="K1129" s="939" t="s">
        <v>1580</v>
      </c>
      <c r="L1129" s="2141" t="str">
        <f>'Part VIII-Threshold Criteria'!L220</f>
        <v>Room</v>
      </c>
      <c r="M1129" s="2141"/>
      <c r="Q1129" s="960">
        <f>'Part VIII-Threshold Criteria'!Q220</f>
        <v>0</v>
      </c>
    </row>
    <row r="1130" spans="1:17" ht="13.5">
      <c r="B1130" s="940"/>
      <c r="C1130" s="939" t="s">
        <v>1851</v>
      </c>
      <c r="D1130" s="938" t="s">
        <v>2960</v>
      </c>
      <c r="E1130" s="938"/>
      <c r="F1130" s="938"/>
      <c r="G1130" s="938"/>
      <c r="H1130" s="938"/>
      <c r="I1130" s="583"/>
      <c r="K1130" s="939" t="s">
        <v>1581</v>
      </c>
      <c r="L1130" s="2141" t="str">
        <f>'Part VIII-Threshold Criteria'!L221</f>
        <v>Covered Porch</v>
      </c>
      <c r="M1130" s="2141"/>
      <c r="N1130" s="2142" t="str">
        <f>'Part VIII-Threshold Criteria'!N221</f>
        <v>If "Other", explain here</v>
      </c>
      <c r="O1130" s="2142"/>
      <c r="P1130" s="2142"/>
      <c r="Q1130" s="960">
        <f>'Part VIII-Threshold Criteria'!Q221</f>
        <v>0</v>
      </c>
    </row>
    <row r="1131" spans="1:17">
      <c r="B1131" s="940"/>
      <c r="C1131" s="939" t="s">
        <v>1852</v>
      </c>
      <c r="D1131" s="938" t="s">
        <v>586</v>
      </c>
      <c r="E1131" s="938"/>
      <c r="F1131" s="938"/>
      <c r="G1131" s="938"/>
      <c r="H1131" s="938"/>
      <c r="I1131" s="583"/>
      <c r="K1131" s="939" t="s">
        <v>1582</v>
      </c>
      <c r="L1131" s="2141" t="str">
        <f>'Part VIII-Threshold Criteria'!L222</f>
        <v>On-site laundry</v>
      </c>
      <c r="M1131" s="2141"/>
      <c r="N1131" s="2141"/>
      <c r="Q1131" s="960">
        <f>'Part VIII-Threshold Criteria'!Q222</f>
        <v>0</v>
      </c>
    </row>
    <row r="1132" spans="1:17">
      <c r="B1132" s="940"/>
      <c r="C1132" s="939"/>
      <c r="D1132" s="584"/>
      <c r="E1132" s="584"/>
      <c r="F1132" s="584"/>
      <c r="G1132" s="584"/>
      <c r="H1132" s="584"/>
      <c r="I1132" s="583"/>
      <c r="J1132" s="583"/>
      <c r="K1132" s="583"/>
      <c r="L1132" s="583"/>
      <c r="M1132" s="583"/>
    </row>
    <row r="1133" spans="1:17">
      <c r="B1133" s="940" t="s">
        <v>2113</v>
      </c>
      <c r="C1133" s="934" t="s">
        <v>2671</v>
      </c>
      <c r="D1133" s="584"/>
      <c r="E1133" s="584"/>
      <c r="F1133" s="584"/>
      <c r="G1133" s="584"/>
      <c r="H1133" s="584"/>
      <c r="I1133" s="584"/>
      <c r="J1133" s="584"/>
      <c r="K1133" s="583"/>
      <c r="L1133" s="583"/>
      <c r="M1133" s="583"/>
      <c r="N1133" s="583"/>
      <c r="O1133" s="939" t="s">
        <v>2113</v>
      </c>
      <c r="P1133" s="960" t="str">
        <f>'Part VIII-Threshold Criteria'!P224</f>
        <v>Agree</v>
      </c>
      <c r="Q1133" s="960">
        <f>'Part VIII-Threshold Criteria'!Q224</f>
        <v>0</v>
      </c>
    </row>
    <row r="1134" spans="1:17">
      <c r="B1134" s="940"/>
      <c r="C1134" s="584" t="s">
        <v>3403</v>
      </c>
      <c r="D1134" s="584"/>
      <c r="E1134" s="584"/>
      <c r="F1134" s="584"/>
      <c r="G1134" s="584"/>
      <c r="H1134" s="584"/>
      <c r="I1134" s="584"/>
      <c r="J1134" s="584"/>
      <c r="K1134" s="583"/>
      <c r="L1134" s="583"/>
      <c r="M1134" s="583"/>
      <c r="N1134" s="583"/>
      <c r="O1134" s="583"/>
      <c r="P1134" s="2143" t="s">
        <v>3</v>
      </c>
      <c r="Q1134" s="2143"/>
    </row>
    <row r="1135" spans="1:17">
      <c r="B1135" s="940"/>
      <c r="D1135" s="584" t="s">
        <v>2</v>
      </c>
      <c r="E1135" s="584"/>
      <c r="F1135" s="584"/>
      <c r="G1135" s="584"/>
      <c r="I1135" s="964" t="s">
        <v>819</v>
      </c>
      <c r="J1135" s="807" t="s">
        <v>820</v>
      </c>
      <c r="L1135" s="584" t="s">
        <v>2962</v>
      </c>
      <c r="M1135" s="583"/>
      <c r="N1135" s="583"/>
      <c r="O1135" s="964"/>
      <c r="P1135" s="965" t="s">
        <v>819</v>
      </c>
      <c r="Q1135" s="807" t="s">
        <v>820</v>
      </c>
    </row>
    <row r="1136" spans="1:17">
      <c r="A1136" s="583"/>
      <c r="B1136" s="960"/>
      <c r="C1136" s="939" t="s">
        <v>1850</v>
      </c>
      <c r="D1136" s="2129" t="str">
        <f>'Part VIII-Threshold Criteria'!D227</f>
        <v>Equipped computer center</v>
      </c>
      <c r="E1136" s="2129"/>
      <c r="F1136" s="2129"/>
      <c r="G1136" s="2129"/>
      <c r="H1136" s="2129"/>
      <c r="I1136" s="960">
        <f>'Part VIII-Threshold Criteria'!I227</f>
        <v>0</v>
      </c>
      <c r="J1136" s="960">
        <f>'Part VIII-Threshold Criteria'!J227</f>
        <v>0</v>
      </c>
      <c r="K1136" s="939" t="s">
        <v>1852</v>
      </c>
      <c r="L1136" s="2129">
        <f>'Part VIII-Threshold Criteria'!L227</f>
        <v>0</v>
      </c>
      <c r="M1136" s="2129"/>
      <c r="N1136" s="2129"/>
      <c r="O1136" s="2129"/>
      <c r="P1136" s="960">
        <f>'Part VIII-Threshold Criteria'!P227</f>
        <v>0</v>
      </c>
      <c r="Q1136" s="960">
        <f>'Part VIII-Threshold Criteria'!Q227</f>
        <v>0</v>
      </c>
    </row>
    <row r="1137" spans="1:17">
      <c r="A1137" s="583"/>
      <c r="B1137" s="960"/>
      <c r="C1137" s="939" t="s">
        <v>1851</v>
      </c>
      <c r="D1137" s="2129" t="str">
        <f>'Part VIII-Threshold Criteria'!D228</f>
        <v>Furnished exercise facilities</v>
      </c>
      <c r="E1137" s="2129"/>
      <c r="F1137" s="2129"/>
      <c r="G1137" s="2129"/>
      <c r="H1137" s="2129"/>
      <c r="I1137" s="960">
        <f>'Part VIII-Threshold Criteria'!I228</f>
        <v>0</v>
      </c>
      <c r="J1137" s="960">
        <f>'Part VIII-Threshold Criteria'!J228</f>
        <v>0</v>
      </c>
      <c r="K1137" s="939" t="s">
        <v>2511</v>
      </c>
      <c r="L1137" s="2129">
        <f>'Part VIII-Threshold Criteria'!L228</f>
        <v>0</v>
      </c>
      <c r="M1137" s="2129"/>
      <c r="N1137" s="2129"/>
      <c r="O1137" s="2129"/>
      <c r="P1137" s="960">
        <f>'Part VIII-Threshold Criteria'!P228</f>
        <v>0</v>
      </c>
      <c r="Q1137" s="960">
        <f>'Part VIII-Threshold Criteria'!Q228</f>
        <v>0</v>
      </c>
    </row>
    <row r="1138" spans="1:17">
      <c r="B1138" s="584"/>
      <c r="C1138" s="583"/>
      <c r="D1138" s="583"/>
      <c r="E1138" s="583"/>
      <c r="F1138" s="583"/>
      <c r="G1138" s="583"/>
      <c r="H1138" s="583"/>
      <c r="I1138" s="583"/>
      <c r="J1138" s="583"/>
      <c r="K1138" s="583"/>
      <c r="L1138" s="583"/>
      <c r="M1138" s="583"/>
      <c r="N1138" s="583"/>
      <c r="O1138" s="583"/>
      <c r="P1138" s="583"/>
      <c r="Q1138" s="583"/>
    </row>
    <row r="1139" spans="1:17">
      <c r="B1139" s="940" t="s">
        <v>793</v>
      </c>
      <c r="C1139" s="934" t="s">
        <v>1463</v>
      </c>
      <c r="D1139" s="584"/>
      <c r="E1139" s="584"/>
      <c r="F1139" s="584"/>
      <c r="G1139" s="584"/>
      <c r="H1139" s="584"/>
      <c r="I1139" s="584"/>
      <c r="J1139" s="584"/>
      <c r="K1139" s="583"/>
      <c r="L1139" s="584"/>
      <c r="M1139" s="584"/>
      <c r="O1139" s="939" t="s">
        <v>793</v>
      </c>
      <c r="P1139" s="960" t="str">
        <f>'Part VIII-Threshold Criteria'!P230</f>
        <v>Agree</v>
      </c>
      <c r="Q1139" s="960">
        <f>'Part VIII-Threshold Criteria'!Q230</f>
        <v>0</v>
      </c>
    </row>
    <row r="1140" spans="1:17">
      <c r="B1140" s="940"/>
      <c r="C1140" s="939" t="s">
        <v>1850</v>
      </c>
      <c r="D1140" s="584" t="s">
        <v>159</v>
      </c>
      <c r="E1140" s="584"/>
      <c r="F1140" s="584"/>
      <c r="G1140" s="584"/>
      <c r="H1140" s="584"/>
      <c r="I1140" s="583"/>
      <c r="J1140" s="583"/>
      <c r="K1140" s="583"/>
      <c r="L1140" s="583"/>
      <c r="M1140" s="583"/>
      <c r="O1140" s="939" t="s">
        <v>1850</v>
      </c>
      <c r="P1140" s="960" t="str">
        <f>'Part VIII-Threshold Criteria'!P231</f>
        <v>Yes</v>
      </c>
      <c r="Q1140" s="960">
        <f>'Part VIII-Threshold Criteria'!Q231</f>
        <v>0</v>
      </c>
    </row>
    <row r="1141" spans="1:17">
      <c r="C1141" s="939" t="s">
        <v>1851</v>
      </c>
      <c r="D1141" s="938" t="s">
        <v>3094</v>
      </c>
      <c r="E1141" s="938"/>
      <c r="F1141" s="938"/>
      <c r="G1141" s="938"/>
      <c r="H1141" s="938"/>
      <c r="I1141" s="583"/>
      <c r="J1141" s="583"/>
      <c r="K1141" s="583"/>
      <c r="L1141" s="583"/>
      <c r="M1141" s="583"/>
      <c r="O1141" s="939" t="s">
        <v>1851</v>
      </c>
      <c r="P1141" s="960" t="str">
        <f>'Part VIII-Threshold Criteria'!P232</f>
        <v>Yes</v>
      </c>
      <c r="Q1141" s="960">
        <f>'Part VIII-Threshold Criteria'!Q232</f>
        <v>0</v>
      </c>
    </row>
    <row r="1142" spans="1:17">
      <c r="C1142" s="939" t="s">
        <v>1852</v>
      </c>
      <c r="D1142" s="938" t="s">
        <v>3095</v>
      </c>
      <c r="E1142" s="938"/>
      <c r="F1142" s="938"/>
      <c r="G1142" s="938"/>
      <c r="H1142" s="938"/>
      <c r="I1142" s="583"/>
      <c r="J1142" s="583"/>
      <c r="K1142" s="583"/>
      <c r="L1142" s="583"/>
      <c r="M1142" s="583"/>
      <c r="O1142" s="939" t="s">
        <v>1852</v>
      </c>
      <c r="P1142" s="960" t="str">
        <f>'Part VIII-Threshold Criteria'!P233</f>
        <v>Yes</v>
      </c>
      <c r="Q1142" s="960">
        <f>'Part VIII-Threshold Criteria'!Q233</f>
        <v>0</v>
      </c>
    </row>
    <row r="1143" spans="1:17">
      <c r="B1143" s="940"/>
      <c r="C1143" s="939" t="s">
        <v>2511</v>
      </c>
      <c r="D1143" s="938" t="s">
        <v>3096</v>
      </c>
      <c r="E1143" s="938"/>
      <c r="F1143" s="938"/>
      <c r="G1143" s="938"/>
      <c r="H1143" s="938"/>
      <c r="I1143" s="583"/>
      <c r="J1143" s="583"/>
      <c r="K1143" s="583"/>
      <c r="L1143" s="583"/>
      <c r="M1143" s="583"/>
      <c r="O1143" s="939" t="s">
        <v>2511</v>
      </c>
      <c r="P1143" s="960" t="str">
        <f>'Part VIII-Threshold Criteria'!P234</f>
        <v>Yes</v>
      </c>
      <c r="Q1143" s="960">
        <f>'Part VIII-Threshold Criteria'!Q234</f>
        <v>0</v>
      </c>
    </row>
    <row r="1144" spans="1:17">
      <c r="B1144" s="940"/>
      <c r="C1144" s="939" t="s">
        <v>1648</v>
      </c>
      <c r="D1144" s="938" t="s">
        <v>3097</v>
      </c>
      <c r="E1144" s="938"/>
      <c r="F1144" s="938"/>
      <c r="G1144" s="938"/>
      <c r="H1144" s="938"/>
      <c r="I1144" s="583"/>
      <c r="J1144" s="583"/>
      <c r="K1144" s="583"/>
      <c r="L1144" s="583"/>
      <c r="M1144" s="583"/>
      <c r="O1144" s="939" t="s">
        <v>1648</v>
      </c>
      <c r="P1144" s="960" t="str">
        <f>'Part VIII-Threshold Criteria'!P235</f>
        <v>Yes</v>
      </c>
      <c r="Q1144" s="960">
        <f>'Part VIII-Threshold Criteria'!Q235</f>
        <v>0</v>
      </c>
    </row>
    <row r="1145" spans="1:17">
      <c r="B1145" s="940"/>
      <c r="C1145" s="939" t="s">
        <v>1649</v>
      </c>
      <c r="D1145" s="584" t="s">
        <v>821</v>
      </c>
      <c r="E1145" s="584"/>
      <c r="F1145" s="584"/>
      <c r="G1145" s="584"/>
      <c r="H1145" s="584"/>
      <c r="I1145" s="583"/>
      <c r="J1145" s="583"/>
      <c r="K1145" s="583"/>
      <c r="L1145" s="583"/>
      <c r="M1145" s="583"/>
      <c r="O1145" s="939" t="s">
        <v>3080</v>
      </c>
      <c r="P1145" s="960" t="str">
        <f>'Part VIII-Threshold Criteria'!P236</f>
        <v>Yes</v>
      </c>
      <c r="Q1145" s="960">
        <f>'Part VIII-Threshold Criteria'!Q236</f>
        <v>0</v>
      </c>
    </row>
    <row r="1146" spans="1:17">
      <c r="B1146" s="940"/>
      <c r="C1146" s="939"/>
      <c r="D1146" s="584" t="s">
        <v>1583</v>
      </c>
      <c r="E1146" s="584"/>
      <c r="F1146" s="584"/>
      <c r="G1146" s="584"/>
      <c r="H1146" s="584"/>
      <c r="I1146" s="583"/>
      <c r="J1146" s="583"/>
      <c r="K1146" s="583"/>
      <c r="L1146" s="583"/>
      <c r="M1146" s="583"/>
      <c r="O1146" s="939" t="s">
        <v>3081</v>
      </c>
      <c r="P1146" s="960">
        <f>'Part VIII-Threshold Criteria'!P237</f>
        <v>0</v>
      </c>
      <c r="Q1146" s="960">
        <f>'Part VIII-Threshold Criteria'!Q237</f>
        <v>0</v>
      </c>
    </row>
    <row r="1147" spans="1:17">
      <c r="B1147" s="940"/>
      <c r="C1147" s="939"/>
      <c r="D1147" s="584"/>
      <c r="E1147" s="584"/>
      <c r="F1147" s="584"/>
      <c r="G1147" s="584"/>
      <c r="H1147" s="584"/>
      <c r="I1147" s="583"/>
      <c r="J1147" s="583"/>
      <c r="K1147" s="583"/>
      <c r="L1147" s="583"/>
      <c r="M1147" s="583"/>
    </row>
    <row r="1148" spans="1:17">
      <c r="B1148" s="940" t="s">
        <v>2245</v>
      </c>
      <c r="C1148" s="934" t="s">
        <v>2884</v>
      </c>
      <c r="D1148" s="584"/>
      <c r="E1148" s="584"/>
      <c r="F1148" s="584"/>
      <c r="G1148" s="584"/>
      <c r="H1148" s="584"/>
      <c r="I1148" s="584"/>
      <c r="J1148" s="584"/>
      <c r="K1148" s="583"/>
      <c r="L1148" s="584"/>
      <c r="M1148" s="584"/>
      <c r="O1148" s="939" t="s">
        <v>2245</v>
      </c>
      <c r="P1148" s="960" t="str">
        <f>'Part VIII-Threshold Criteria'!P239</f>
        <v>Agree</v>
      </c>
      <c r="Q1148" s="960">
        <f>'Part VIII-Threshold Criteria'!Q239</f>
        <v>0</v>
      </c>
    </row>
    <row r="1149" spans="1:17">
      <c r="B1149" s="940"/>
      <c r="C1149" s="939" t="s">
        <v>1850</v>
      </c>
      <c r="D1149" s="584" t="s">
        <v>1327</v>
      </c>
      <c r="E1149" s="583"/>
      <c r="F1149" s="583"/>
      <c r="G1149" s="584"/>
      <c r="H1149" s="938"/>
      <c r="I1149" s="583"/>
      <c r="J1149" s="938"/>
      <c r="K1149" s="583"/>
      <c r="L1149" s="938"/>
      <c r="M1149" s="938"/>
      <c r="O1149" s="939" t="s">
        <v>1850</v>
      </c>
      <c r="P1149" s="960" t="str">
        <f>'Part VIII-Threshold Criteria'!P240</f>
        <v>Yes</v>
      </c>
      <c r="Q1149" s="960">
        <f>'Part VIII-Threshold Criteria'!Q240</f>
        <v>0</v>
      </c>
    </row>
    <row r="1150" spans="1:17">
      <c r="B1150" s="940"/>
      <c r="C1150" s="939" t="s">
        <v>1851</v>
      </c>
      <c r="D1150" s="584" t="s">
        <v>152</v>
      </c>
      <c r="E1150" s="583"/>
      <c r="F1150" s="583"/>
      <c r="G1150" s="938"/>
      <c r="H1150" s="938"/>
      <c r="I1150" s="583"/>
      <c r="J1150" s="938"/>
      <c r="K1150" s="583"/>
      <c r="L1150" s="938"/>
      <c r="M1150" s="938"/>
      <c r="O1150" s="939" t="s">
        <v>1851</v>
      </c>
      <c r="P1150" s="960" t="str">
        <f>'Part VIII-Threshold Criteria'!P241</f>
        <v>Yes</v>
      </c>
      <c r="Q1150" s="960">
        <f>'Part VIII-Threshold Criteria'!Q241</f>
        <v>0</v>
      </c>
    </row>
    <row r="1151" spans="1:17">
      <c r="B1151" s="940"/>
      <c r="C1151" s="939" t="s">
        <v>1852</v>
      </c>
      <c r="D1151" s="938" t="s">
        <v>1744</v>
      </c>
      <c r="E1151" s="583"/>
      <c r="F1151" s="583"/>
      <c r="G1151" s="938"/>
      <c r="H1151" s="938"/>
      <c r="I1151" s="583"/>
      <c r="J1151" s="938"/>
      <c r="K1151" s="583"/>
      <c r="L1151" s="938"/>
      <c r="M1151" s="938"/>
      <c r="O1151" s="939" t="s">
        <v>2517</v>
      </c>
      <c r="P1151" s="960" t="str">
        <f>'Part VIII-Threshold Criteria'!P242</f>
        <v>Yes</v>
      </c>
      <c r="Q1151" s="960">
        <f>'Part VIII-Threshold Criteria'!Q242</f>
        <v>0</v>
      </c>
    </row>
    <row r="1152" spans="1:17">
      <c r="B1152" s="584"/>
      <c r="C1152" s="583"/>
      <c r="D1152" s="938" t="s">
        <v>1365</v>
      </c>
      <c r="E1152" s="583"/>
      <c r="F1152" s="583"/>
      <c r="G1152" s="938"/>
      <c r="H1152" s="938"/>
      <c r="I1152" s="583"/>
      <c r="J1152" s="938"/>
      <c r="K1152" s="583"/>
      <c r="L1152" s="938"/>
      <c r="M1152" s="938"/>
      <c r="O1152" s="939" t="s">
        <v>2518</v>
      </c>
      <c r="P1152" s="960">
        <f>'Part VIII-Threshold Criteria'!P243</f>
        <v>0</v>
      </c>
      <c r="Q1152" s="960">
        <f>'Part VIII-Threshold Criteria'!Q243</f>
        <v>0</v>
      </c>
    </row>
    <row r="1153" spans="1:17">
      <c r="B1153" s="953" t="s">
        <v>1987</v>
      </c>
      <c r="D1153" s="953"/>
      <c r="E1153" s="953"/>
      <c r="F1153" s="953"/>
      <c r="G1153" s="953"/>
      <c r="H1153" s="938"/>
      <c r="I1153" s="935"/>
      <c r="J1153" s="935"/>
      <c r="K1153" s="935"/>
      <c r="L1153" s="890"/>
      <c r="M1153" s="890"/>
      <c r="N1153" s="890"/>
      <c r="O1153" s="890"/>
      <c r="P1153" s="890"/>
      <c r="Q1153" s="890"/>
    </row>
    <row r="1154" spans="1:17">
      <c r="A1154" s="2129" t="str">
        <f>'Part VIII-Threshold Criteria'!A245</f>
        <v xml:space="preserve">All amenities selected above wil be provided for the project. </v>
      </c>
      <c r="B1154" s="2129"/>
      <c r="C1154" s="2129"/>
      <c r="D1154" s="2129"/>
      <c r="E1154" s="2129"/>
      <c r="F1154" s="2129"/>
      <c r="G1154" s="2129"/>
      <c r="H1154" s="2129"/>
      <c r="I1154" s="2129"/>
      <c r="J1154" s="2129"/>
      <c r="K1154" s="2129"/>
      <c r="L1154" s="2129"/>
      <c r="M1154" s="2129"/>
      <c r="N1154" s="2129"/>
      <c r="O1154" s="2129"/>
      <c r="P1154" s="2129"/>
      <c r="Q1154" s="2129"/>
    </row>
    <row r="1155" spans="1:17">
      <c r="B1155" s="942" t="s">
        <v>1988</v>
      </c>
      <c r="C1155" s="943"/>
      <c r="D1155" s="944"/>
      <c r="E1155" s="944"/>
      <c r="F1155" s="944"/>
      <c r="G1155" s="944"/>
      <c r="H1155" s="944"/>
      <c r="I1155" s="944"/>
      <c r="J1155" s="944"/>
      <c r="K1155" s="944"/>
      <c r="L1155" s="944"/>
      <c r="M1155" s="944"/>
      <c r="N1155" s="944"/>
      <c r="O1155" s="944"/>
      <c r="P1155" s="944"/>
      <c r="Q1155" s="944"/>
    </row>
    <row r="1156" spans="1:17">
      <c r="A1156" s="2136">
        <f>'Part VIII-Threshold Criteria'!A247</f>
        <v>0</v>
      </c>
      <c r="B1156" s="2136"/>
      <c r="C1156" s="2136"/>
      <c r="D1156" s="2136"/>
      <c r="E1156" s="2136"/>
      <c r="F1156" s="2136"/>
      <c r="G1156" s="2136"/>
      <c r="H1156" s="2136"/>
      <c r="I1156" s="2136"/>
      <c r="J1156" s="2136"/>
      <c r="K1156" s="2136"/>
      <c r="L1156" s="2136"/>
      <c r="M1156" s="2136"/>
      <c r="N1156" s="2136"/>
      <c r="O1156" s="2136"/>
      <c r="P1156" s="2136"/>
      <c r="Q1156" s="2136"/>
    </row>
    <row r="1157" spans="1:17">
      <c r="A1157" s="890"/>
      <c r="B1157" s="935"/>
      <c r="C1157" s="944"/>
      <c r="D1157" s="944"/>
      <c r="E1157" s="944"/>
      <c r="F1157" s="944"/>
      <c r="G1157" s="944"/>
      <c r="H1157" s="944"/>
      <c r="I1157" s="944"/>
      <c r="J1157" s="944"/>
      <c r="K1157" s="944"/>
      <c r="L1157" s="944"/>
      <c r="M1157" s="944"/>
      <c r="Q1157" s="890"/>
    </row>
    <row r="1158" spans="1:17">
      <c r="A1158" s="885">
        <v>15</v>
      </c>
      <c r="B1158" s="586" t="s">
        <v>2851</v>
      </c>
      <c r="C1158" s="586"/>
      <c r="D1158" s="934"/>
      <c r="E1158" s="934"/>
      <c r="F1158" s="934"/>
      <c r="G1158" s="934"/>
      <c r="H1158" s="944"/>
      <c r="I1158" s="944"/>
      <c r="J1158" s="944"/>
      <c r="K1158" s="944"/>
      <c r="L1158" s="944"/>
      <c r="M1158" s="944"/>
      <c r="O1158" s="936" t="s">
        <v>1989</v>
      </c>
      <c r="P1158" s="2137">
        <f>'Part VIII-Threshold Criteria'!P249</f>
        <v>0</v>
      </c>
      <c r="Q1158" s="2137"/>
    </row>
    <row r="1160" spans="1:17">
      <c r="B1160" s="940" t="s">
        <v>2110</v>
      </c>
      <c r="C1160" s="584" t="s">
        <v>1342</v>
      </c>
      <c r="D1160" s="583"/>
      <c r="E1160" s="584"/>
      <c r="F1160" s="584"/>
      <c r="G1160" s="584"/>
      <c r="H1160" s="584"/>
      <c r="I1160" s="583"/>
      <c r="J1160" s="583"/>
      <c r="K1160" s="583"/>
      <c r="L1160" s="939" t="s">
        <v>2110</v>
      </c>
      <c r="M1160" s="2141" t="str">
        <f>'Part VIII-Threshold Criteria'!M251</f>
        <v>&lt;&lt;Select&gt;&gt;</v>
      </c>
      <c r="N1160" s="2141"/>
      <c r="O1160" s="2141"/>
      <c r="P1160" s="2141" t="str">
        <f>'Part VIII-Threshold Criteria'!P251</f>
        <v>&lt;&lt;Select&gt;&gt;</v>
      </c>
      <c r="Q1160" s="2141"/>
    </row>
    <row r="1161" spans="1:17">
      <c r="B1161" s="940" t="s">
        <v>2113</v>
      </c>
      <c r="C1161" s="584" t="s">
        <v>3098</v>
      </c>
      <c r="D1161" s="584"/>
      <c r="E1161" s="584"/>
      <c r="F1161" s="584"/>
      <c r="G1161" s="584"/>
      <c r="H1161" s="584"/>
      <c r="I1161" s="583"/>
      <c r="J1161" s="583"/>
      <c r="K1161" s="583"/>
      <c r="L1161" s="939" t="s">
        <v>2113</v>
      </c>
      <c r="M1161" s="2160">
        <f>'Part VIII-Threshold Criteria'!M252</f>
        <v>0</v>
      </c>
      <c r="N1161" s="2160"/>
      <c r="O1161" s="2160"/>
      <c r="P1161" s="2160">
        <f>'Part VIII-Threshold Criteria'!P252</f>
        <v>0</v>
      </c>
      <c r="Q1161" s="2160"/>
    </row>
    <row r="1162" spans="1:17">
      <c r="B1162" s="940" t="s">
        <v>793</v>
      </c>
      <c r="C1162" s="584" t="s">
        <v>2071</v>
      </c>
      <c r="D1162" s="584"/>
      <c r="E1162" s="584"/>
      <c r="F1162" s="584"/>
      <c r="G1162" s="584"/>
      <c r="H1162" s="584"/>
      <c r="I1162" s="583"/>
      <c r="J1162" s="583"/>
      <c r="K1162" s="583"/>
      <c r="L1162" s="939" t="s">
        <v>793</v>
      </c>
      <c r="M1162" s="2141">
        <f>'Part VIII-Threshold Criteria'!M253</f>
        <v>0</v>
      </c>
      <c r="N1162" s="2141"/>
      <c r="O1162" s="2141"/>
      <c r="P1162" s="2141">
        <f>'Part VIII-Threshold Criteria'!P253</f>
        <v>0</v>
      </c>
      <c r="Q1162" s="2141"/>
    </row>
    <row r="1163" spans="1:17">
      <c r="B1163" s="940" t="s">
        <v>2245</v>
      </c>
      <c r="C1163" s="584" t="s">
        <v>2716</v>
      </c>
      <c r="D1163" s="584"/>
      <c r="E1163" s="584"/>
      <c r="F1163" s="584"/>
      <c r="G1163" s="584"/>
      <c r="H1163" s="584"/>
      <c r="I1163" s="583"/>
      <c r="J1163" s="583"/>
      <c r="K1163" s="583"/>
      <c r="L1163" s="583"/>
      <c r="M1163" s="583"/>
      <c r="O1163" s="939" t="s">
        <v>2245</v>
      </c>
      <c r="P1163" s="960">
        <f>'Part VIII-Threshold Criteria'!P254</f>
        <v>0</v>
      </c>
      <c r="Q1163" s="960">
        <f>'Part VIII-Threshold Criteria'!Q254</f>
        <v>0</v>
      </c>
    </row>
    <row r="1164" spans="1:17">
      <c r="B1164" s="937" t="s">
        <v>1848</v>
      </c>
      <c r="C1164" s="2129" t="s">
        <v>3404</v>
      </c>
      <c r="D1164" s="2129"/>
      <c r="E1164" s="2129"/>
      <c r="F1164" s="2129"/>
      <c r="G1164" s="2129"/>
      <c r="H1164" s="2129"/>
      <c r="I1164" s="2129"/>
      <c r="J1164" s="2129"/>
      <c r="K1164" s="2129"/>
      <c r="L1164" s="2129"/>
      <c r="M1164" s="2129"/>
      <c r="N1164" s="2129"/>
      <c r="O1164" s="958" t="s">
        <v>1848</v>
      </c>
      <c r="P1164" s="960">
        <f>'Part VIII-Threshold Criteria'!P255</f>
        <v>0</v>
      </c>
      <c r="Q1164" s="960">
        <f>'Part VIII-Threshold Criteria'!Q255</f>
        <v>0</v>
      </c>
    </row>
    <row r="1165" spans="1:17">
      <c r="B1165" s="953" t="s">
        <v>1987</v>
      </c>
      <c r="D1165" s="953"/>
      <c r="E1165" s="953"/>
      <c r="F1165" s="953"/>
      <c r="G1165" s="953"/>
      <c r="H1165" s="938"/>
      <c r="I1165" s="935"/>
      <c r="J1165" s="935"/>
      <c r="K1165" s="935"/>
      <c r="L1165" s="890"/>
      <c r="M1165" s="890"/>
      <c r="N1165" s="890"/>
      <c r="O1165" s="890"/>
      <c r="P1165" s="890"/>
      <c r="Q1165" s="890"/>
    </row>
    <row r="1166" spans="1:17">
      <c r="A1166" s="2129">
        <f>'Part VIII-Threshold Criteria'!A257</f>
        <v>0</v>
      </c>
      <c r="B1166" s="2129"/>
      <c r="C1166" s="2129"/>
      <c r="D1166" s="2129"/>
      <c r="E1166" s="2129"/>
      <c r="F1166" s="2129"/>
      <c r="G1166" s="2129"/>
      <c r="H1166" s="2129"/>
      <c r="I1166" s="2129"/>
      <c r="J1166" s="2129"/>
      <c r="K1166" s="2129"/>
      <c r="L1166" s="2129"/>
      <c r="M1166" s="2129"/>
      <c r="N1166" s="2129"/>
      <c r="O1166" s="2129"/>
      <c r="P1166" s="2129"/>
      <c r="Q1166" s="2129"/>
    </row>
    <row r="1167" spans="1:17">
      <c r="B1167" s="942" t="s">
        <v>1988</v>
      </c>
      <c r="C1167" s="943"/>
      <c r="D1167" s="944"/>
      <c r="E1167" s="944"/>
      <c r="F1167" s="944"/>
      <c r="G1167" s="944"/>
      <c r="H1167" s="944"/>
      <c r="I1167" s="944"/>
      <c r="J1167" s="944"/>
      <c r="K1167" s="944"/>
      <c r="L1167" s="944"/>
      <c r="M1167" s="944"/>
      <c r="N1167" s="944"/>
      <c r="O1167" s="944"/>
      <c r="P1167" s="944"/>
      <c r="Q1167" s="944"/>
    </row>
    <row r="1168" spans="1:17">
      <c r="A1168" s="2136">
        <f>'Part VIII-Threshold Criteria'!A259</f>
        <v>0</v>
      </c>
      <c r="B1168" s="2136"/>
      <c r="C1168" s="2136"/>
      <c r="D1168" s="2136"/>
      <c r="E1168" s="2136"/>
      <c r="F1168" s="2136"/>
      <c r="G1168" s="2136"/>
      <c r="H1168" s="2136"/>
      <c r="I1168" s="2136"/>
      <c r="J1168" s="2136"/>
      <c r="K1168" s="2136"/>
      <c r="L1168" s="2136"/>
      <c r="M1168" s="2136"/>
      <c r="N1168" s="2136"/>
      <c r="O1168" s="2136"/>
      <c r="P1168" s="2136"/>
      <c r="Q1168" s="2136"/>
    </row>
    <row r="1169" spans="1:17">
      <c r="A1169" s="890"/>
      <c r="B1169" s="935"/>
      <c r="C1169" s="944"/>
      <c r="D1169" s="944"/>
      <c r="E1169" s="944"/>
      <c r="F1169" s="944"/>
      <c r="G1169" s="944"/>
      <c r="H1169" s="944"/>
      <c r="I1169" s="944"/>
      <c r="J1169" s="944"/>
      <c r="K1169" s="944"/>
      <c r="L1169" s="944"/>
      <c r="M1169" s="944"/>
      <c r="Q1169" s="890"/>
    </row>
    <row r="1170" spans="1:17">
      <c r="A1170" s="885">
        <v>16</v>
      </c>
      <c r="B1170" s="586" t="s">
        <v>2852</v>
      </c>
      <c r="C1170" s="586"/>
      <c r="D1170" s="934"/>
      <c r="E1170" s="934"/>
      <c r="F1170" s="934"/>
      <c r="G1170" s="934"/>
      <c r="H1170" s="944"/>
      <c r="I1170" s="944"/>
      <c r="J1170" s="944"/>
      <c r="K1170" s="944"/>
      <c r="L1170" s="944"/>
      <c r="M1170" s="944"/>
      <c r="O1170" s="936" t="s">
        <v>1989</v>
      </c>
      <c r="P1170" s="2137">
        <f>'Part VIII-Threshold Criteria'!P261</f>
        <v>0</v>
      </c>
      <c r="Q1170" s="2137"/>
    </row>
    <row r="1172" spans="1:17">
      <c r="A1172" s="957"/>
      <c r="B1172" s="937" t="s">
        <v>2110</v>
      </c>
      <c r="C1172" s="2129" t="s">
        <v>3099</v>
      </c>
      <c r="D1172" s="2129"/>
      <c r="E1172" s="2129"/>
      <c r="F1172" s="2129"/>
      <c r="G1172" s="2129"/>
      <c r="H1172" s="2129"/>
      <c r="I1172" s="2129"/>
      <c r="J1172" s="2129"/>
      <c r="K1172" s="2129"/>
      <c r="L1172" s="2129"/>
      <c r="M1172" s="2129"/>
      <c r="N1172" s="2129"/>
      <c r="O1172" s="958" t="s">
        <v>2110</v>
      </c>
      <c r="P1172" s="960" t="str">
        <f>'Part VIII-Threshold Criteria'!P263</f>
        <v>Yes</v>
      </c>
      <c r="Q1172" s="960">
        <f>'Part VIII-Threshold Criteria'!Q263</f>
        <v>0</v>
      </c>
    </row>
    <row r="1173" spans="1:17">
      <c r="B1173" s="940" t="s">
        <v>2113</v>
      </c>
      <c r="C1173" s="584" t="s">
        <v>1489</v>
      </c>
      <c r="D1173" s="584"/>
      <c r="E1173" s="584"/>
      <c r="F1173" s="584"/>
      <c r="G1173" s="584"/>
      <c r="H1173" s="584"/>
      <c r="I1173" s="584"/>
      <c r="J1173" s="584"/>
      <c r="K1173" s="584"/>
      <c r="L1173" s="584"/>
      <c r="M1173" s="584"/>
      <c r="O1173" s="939" t="s">
        <v>2113</v>
      </c>
      <c r="P1173" s="960" t="str">
        <f>'Part VIII-Threshold Criteria'!P264</f>
        <v>Yes</v>
      </c>
      <c r="Q1173" s="960">
        <f>'Part VIII-Threshold Criteria'!Q264</f>
        <v>0</v>
      </c>
    </row>
    <row r="1174" spans="1:17">
      <c r="B1174" s="953" t="s">
        <v>1987</v>
      </c>
      <c r="D1174" s="953"/>
      <c r="E1174" s="953"/>
      <c r="F1174" s="953"/>
      <c r="G1174" s="953"/>
      <c r="H1174" s="938"/>
      <c r="I1174" s="935"/>
      <c r="J1174" s="935"/>
      <c r="K1174" s="935"/>
      <c r="L1174" s="890"/>
      <c r="M1174" s="890"/>
      <c r="N1174" s="890"/>
      <c r="O1174" s="890"/>
      <c r="P1174" s="890"/>
      <c r="Q1174" s="890"/>
    </row>
    <row r="1175" spans="1:17">
      <c r="A1175" s="2129" t="str">
        <f>'Part VIII-Threshold Criteria'!A266</f>
        <v xml:space="preserve">See site plan in tab 16. </v>
      </c>
      <c r="B1175" s="2129"/>
      <c r="C1175" s="2129"/>
      <c r="D1175" s="2129"/>
      <c r="E1175" s="2129"/>
      <c r="F1175" s="2129"/>
      <c r="G1175" s="2129"/>
      <c r="H1175" s="2129"/>
      <c r="I1175" s="2129"/>
      <c r="J1175" s="2129"/>
      <c r="K1175" s="2129"/>
      <c r="L1175" s="2129"/>
      <c r="M1175" s="2129"/>
      <c r="N1175" s="2129"/>
      <c r="O1175" s="2129"/>
      <c r="P1175" s="2129"/>
      <c r="Q1175" s="2129"/>
    </row>
    <row r="1176" spans="1:17">
      <c r="B1176" s="942" t="s">
        <v>1988</v>
      </c>
      <c r="C1176" s="943"/>
      <c r="D1176" s="944"/>
      <c r="E1176" s="944"/>
      <c r="F1176" s="944"/>
      <c r="G1176" s="944"/>
      <c r="H1176" s="944"/>
      <c r="I1176" s="944"/>
      <c r="J1176" s="944"/>
      <c r="K1176" s="944"/>
      <c r="L1176" s="944"/>
      <c r="M1176" s="944"/>
      <c r="N1176" s="944"/>
      <c r="O1176" s="944"/>
      <c r="P1176" s="944"/>
      <c r="Q1176" s="944"/>
    </row>
    <row r="1177" spans="1:17">
      <c r="A1177" s="2136">
        <f>'Part VIII-Threshold Criteria'!A268</f>
        <v>0</v>
      </c>
      <c r="B1177" s="2136"/>
      <c r="C1177" s="2136"/>
      <c r="D1177" s="2136"/>
      <c r="E1177" s="2136"/>
      <c r="F1177" s="2136"/>
      <c r="G1177" s="2136"/>
      <c r="H1177" s="2136"/>
      <c r="I1177" s="2136"/>
      <c r="J1177" s="2136"/>
      <c r="K1177" s="2136"/>
      <c r="L1177" s="2136"/>
      <c r="M1177" s="2136"/>
      <c r="N1177" s="2136"/>
      <c r="O1177" s="2136"/>
      <c r="P1177" s="2136"/>
      <c r="Q1177" s="2136"/>
    </row>
    <row r="1178" spans="1:17">
      <c r="A1178" s="890"/>
      <c r="B1178" s="935"/>
      <c r="C1178" s="944"/>
      <c r="D1178" s="944"/>
      <c r="E1178" s="944"/>
      <c r="F1178" s="944"/>
      <c r="G1178" s="944"/>
      <c r="H1178" s="944"/>
      <c r="I1178" s="944"/>
      <c r="J1178" s="944"/>
      <c r="K1178" s="944"/>
      <c r="L1178" s="944"/>
      <c r="M1178" s="944"/>
      <c r="N1178" s="944"/>
      <c r="O1178" s="944"/>
      <c r="P1178" s="936"/>
      <c r="Q1178" s="890"/>
    </row>
    <row r="1179" spans="1:17">
      <c r="A1179" s="885">
        <v>17</v>
      </c>
      <c r="B1179" s="885" t="s">
        <v>2853</v>
      </c>
      <c r="C1179" s="885"/>
      <c r="D1179" s="944"/>
      <c r="E1179" s="944"/>
      <c r="F1179" s="944"/>
      <c r="G1179" s="944"/>
      <c r="H1179" s="944"/>
      <c r="I1179" s="944"/>
      <c r="J1179" s="944"/>
      <c r="K1179" s="944"/>
      <c r="L1179" s="944"/>
      <c r="M1179" s="944"/>
      <c r="O1179" s="936" t="s">
        <v>1989</v>
      </c>
      <c r="P1179" s="2137">
        <f>'Part VIII-Threshold Criteria'!P270</f>
        <v>0</v>
      </c>
      <c r="Q1179" s="2137"/>
    </row>
    <row r="1181" spans="1:17">
      <c r="A1181" s="957"/>
      <c r="B1181" s="937" t="s">
        <v>2110</v>
      </c>
      <c r="C1181" s="2135" t="s">
        <v>3100</v>
      </c>
      <c r="D1181" s="2159"/>
      <c r="E1181" s="2159"/>
      <c r="F1181" s="2159"/>
      <c r="G1181" s="2159"/>
      <c r="H1181" s="2159"/>
      <c r="I1181" s="2159"/>
      <c r="J1181" s="2159"/>
      <c r="K1181" s="2159"/>
      <c r="L1181" s="2159"/>
      <c r="M1181" s="2159"/>
      <c r="N1181" s="2159"/>
      <c r="O1181" s="958" t="s">
        <v>2110</v>
      </c>
      <c r="P1181" s="960" t="str">
        <f>'Part VIII-Threshold Criteria'!P272</f>
        <v>Agree</v>
      </c>
      <c r="Q1181" s="960">
        <f>'Part VIII-Threshold Criteria'!Q272</f>
        <v>0</v>
      </c>
    </row>
    <row r="1182" spans="1:17">
      <c r="A1182" s="957"/>
      <c r="B1182" s="937" t="s">
        <v>2113</v>
      </c>
      <c r="C1182" s="2135" t="s">
        <v>3101</v>
      </c>
      <c r="D1182" s="2159"/>
      <c r="E1182" s="2159"/>
      <c r="F1182" s="2159"/>
      <c r="G1182" s="2159"/>
      <c r="H1182" s="2159"/>
      <c r="I1182" s="2159"/>
      <c r="J1182" s="2159"/>
      <c r="K1182" s="2159"/>
      <c r="L1182" s="2159"/>
      <c r="M1182" s="2159"/>
      <c r="N1182" s="2159"/>
      <c r="O1182" s="958" t="s">
        <v>2113</v>
      </c>
      <c r="P1182" s="960" t="str">
        <f>'Part VIII-Threshold Criteria'!P273</f>
        <v>Agree</v>
      </c>
      <c r="Q1182" s="960">
        <f>'Part VIII-Threshold Criteria'!Q273</f>
        <v>0</v>
      </c>
    </row>
    <row r="1183" spans="1:17">
      <c r="B1183" s="953" t="s">
        <v>1987</v>
      </c>
      <c r="D1183" s="953"/>
      <c r="E1183" s="953"/>
      <c r="F1183" s="953"/>
      <c r="G1183" s="953"/>
      <c r="H1183" s="938"/>
      <c r="I1183" s="935"/>
      <c r="J1183" s="935"/>
      <c r="K1183" s="935"/>
      <c r="L1183" s="890"/>
      <c r="M1183" s="890"/>
      <c r="N1183" s="890"/>
      <c r="O1183" s="890"/>
      <c r="P1183" s="890"/>
      <c r="Q1183" s="890"/>
    </row>
    <row r="1184" spans="1:17">
      <c r="A1184" s="2129" t="str">
        <f>'Part VIII-Threshold Criteria'!A275</f>
        <v xml:space="preserve">The project will meet all energy requirements of the QAP and architectural manual. </v>
      </c>
      <c r="B1184" s="2129"/>
      <c r="C1184" s="2129"/>
      <c r="D1184" s="2129"/>
      <c r="E1184" s="2129"/>
      <c r="F1184" s="2129"/>
      <c r="G1184" s="2129"/>
      <c r="H1184" s="2129"/>
      <c r="I1184" s="2129"/>
      <c r="J1184" s="2129"/>
      <c r="K1184" s="2129"/>
      <c r="L1184" s="2129"/>
      <c r="M1184" s="2129"/>
      <c r="N1184" s="2129"/>
      <c r="O1184" s="2129"/>
      <c r="P1184" s="2129"/>
      <c r="Q1184" s="2129"/>
    </row>
    <row r="1185" spans="1:17">
      <c r="B1185" s="942" t="s">
        <v>1988</v>
      </c>
      <c r="C1185" s="943"/>
      <c r="D1185" s="944"/>
      <c r="E1185" s="944"/>
      <c r="F1185" s="944"/>
      <c r="G1185" s="944"/>
      <c r="H1185" s="944"/>
      <c r="I1185" s="944"/>
      <c r="J1185" s="944"/>
      <c r="K1185" s="944"/>
      <c r="L1185" s="944"/>
      <c r="M1185" s="944"/>
      <c r="N1185" s="944"/>
      <c r="O1185" s="944"/>
      <c r="P1185" s="944"/>
      <c r="Q1185" s="944"/>
    </row>
    <row r="1186" spans="1:17">
      <c r="A1186" s="2136">
        <f>'Part VIII-Threshold Criteria'!A277</f>
        <v>0</v>
      </c>
      <c r="B1186" s="2136"/>
      <c r="C1186" s="2136"/>
      <c r="D1186" s="2136"/>
      <c r="E1186" s="2136"/>
      <c r="F1186" s="2136"/>
      <c r="G1186" s="2136"/>
      <c r="H1186" s="2136"/>
      <c r="I1186" s="2136"/>
      <c r="J1186" s="2136"/>
      <c r="K1186" s="2136"/>
      <c r="L1186" s="2136"/>
      <c r="M1186" s="2136"/>
      <c r="N1186" s="2136"/>
      <c r="O1186" s="2136"/>
      <c r="P1186" s="2136"/>
      <c r="Q1186" s="2136"/>
    </row>
    <row r="1187" spans="1:17">
      <c r="A1187" s="890"/>
      <c r="B1187" s="935"/>
      <c r="C1187" s="944"/>
      <c r="D1187" s="944"/>
      <c r="E1187" s="944"/>
      <c r="F1187" s="944"/>
      <c r="G1187" s="944"/>
      <c r="H1187" s="944"/>
      <c r="I1187" s="944"/>
      <c r="J1187" s="944"/>
      <c r="K1187" s="944"/>
      <c r="L1187" s="944"/>
      <c r="M1187" s="944"/>
      <c r="Q1187" s="890"/>
    </row>
    <row r="1188" spans="1:17">
      <c r="A1188" s="885">
        <v>18</v>
      </c>
      <c r="B1188" s="885" t="s">
        <v>2854</v>
      </c>
      <c r="C1188" s="966"/>
      <c r="D1188" s="967"/>
      <c r="E1188" s="944"/>
      <c r="F1188" s="944"/>
      <c r="G1188" s="944"/>
      <c r="H1188" s="944"/>
      <c r="I1188" s="944"/>
      <c r="J1188" s="944"/>
      <c r="K1188" s="944"/>
      <c r="L1188" s="944"/>
      <c r="M1188" s="944"/>
      <c r="O1188" s="936" t="s">
        <v>1989</v>
      </c>
      <c r="P1188" s="2137">
        <f>'Part VIII-Threshold Criteria'!P279</f>
        <v>0</v>
      </c>
      <c r="Q1188" s="2137"/>
    </row>
    <row r="1189" spans="1:17">
      <c r="B1189" s="937" t="s">
        <v>2110</v>
      </c>
      <c r="C1189" s="958" t="s">
        <v>1850</v>
      </c>
      <c r="D1189" s="2135" t="s">
        <v>3102</v>
      </c>
      <c r="E1189" s="2135"/>
      <c r="F1189" s="2135"/>
      <c r="G1189" s="2135"/>
      <c r="H1189" s="2135"/>
      <c r="I1189" s="2135"/>
      <c r="J1189" s="2135"/>
      <c r="K1189" s="2135"/>
      <c r="L1189" s="2135"/>
      <c r="M1189" s="2135"/>
      <c r="N1189" s="2135"/>
      <c r="O1189" s="958" t="s">
        <v>2965</v>
      </c>
      <c r="P1189" s="960" t="str">
        <f>'Part VIII-Threshold Criteria'!P280</f>
        <v>Yes</v>
      </c>
      <c r="Q1189" s="960">
        <f>'Part VIII-Threshold Criteria'!Q280</f>
        <v>0</v>
      </c>
    </row>
    <row r="1190" spans="1:17">
      <c r="A1190" s="583"/>
      <c r="B1190" s="940"/>
      <c r="C1190" s="939" t="s">
        <v>1851</v>
      </c>
      <c r="D1190" s="2158" t="s">
        <v>3103</v>
      </c>
      <c r="E1190" s="2158"/>
      <c r="F1190" s="2158"/>
      <c r="G1190" s="2158"/>
      <c r="H1190" s="2158"/>
      <c r="I1190" s="2158"/>
      <c r="J1190" s="2158"/>
      <c r="K1190" s="2158"/>
      <c r="L1190" s="2158"/>
      <c r="M1190" s="2158"/>
      <c r="N1190" s="2158"/>
      <c r="O1190" s="939" t="s">
        <v>1851</v>
      </c>
      <c r="P1190" s="960" t="str">
        <f>'Part VIII-Threshold Criteria'!P281</f>
        <v>Yes</v>
      </c>
      <c r="Q1190" s="960">
        <f>'Part VIII-Threshold Criteria'!Q281</f>
        <v>0</v>
      </c>
    </row>
    <row r="1191" spans="1:17">
      <c r="A1191" s="583"/>
      <c r="B1191" s="937" t="s">
        <v>2113</v>
      </c>
      <c r="C1191" s="958" t="s">
        <v>1850</v>
      </c>
      <c r="D1191" s="2135" t="s">
        <v>2963</v>
      </c>
      <c r="E1191" s="2135"/>
      <c r="F1191" s="2135"/>
      <c r="G1191" s="2135"/>
      <c r="H1191" s="2135"/>
      <c r="I1191" s="2135"/>
      <c r="J1191" s="2135"/>
      <c r="K1191" s="2135"/>
      <c r="L1191" s="2135"/>
      <c r="M1191" s="2135"/>
      <c r="N1191" s="2135"/>
      <c r="O1191" s="939" t="s">
        <v>2966</v>
      </c>
      <c r="P1191" s="960" t="str">
        <f>'Part VIII-Threshold Criteria'!P282</f>
        <v>Yes</v>
      </c>
      <c r="Q1191" s="960">
        <f>'Part VIII-Threshold Criteria'!Q282</f>
        <v>0</v>
      </c>
    </row>
    <row r="1192" spans="1:17">
      <c r="A1192" s="583"/>
      <c r="B1192" s="937"/>
      <c r="C1192" s="958" t="s">
        <v>1851</v>
      </c>
      <c r="D1192" s="2135" t="s">
        <v>2964</v>
      </c>
      <c r="E1192" s="2135"/>
      <c r="F1192" s="2135"/>
      <c r="G1192" s="2135"/>
      <c r="H1192" s="2135"/>
      <c r="I1192" s="2135"/>
      <c r="J1192" s="2135"/>
      <c r="K1192" s="2135"/>
      <c r="L1192" s="2135"/>
      <c r="M1192" s="2135"/>
      <c r="N1192" s="2135"/>
      <c r="O1192" s="939" t="s">
        <v>3104</v>
      </c>
      <c r="P1192" s="960" t="str">
        <f>'Part VIII-Threshold Criteria'!P283</f>
        <v>Yes</v>
      </c>
      <c r="Q1192" s="960">
        <f>'Part VIII-Threshold Criteria'!Q283</f>
        <v>0</v>
      </c>
    </row>
    <row r="1193" spans="1:17">
      <c r="A1193" s="957"/>
      <c r="B1193" s="937" t="s">
        <v>793</v>
      </c>
      <c r="C1193" s="958"/>
      <c r="D1193" s="2135" t="s">
        <v>3219</v>
      </c>
      <c r="E1193" s="2135"/>
      <c r="F1193" s="2135"/>
      <c r="G1193" s="2135"/>
      <c r="H1193" s="2135"/>
      <c r="I1193" s="2135"/>
      <c r="J1193" s="2135"/>
      <c r="K1193" s="2135"/>
      <c r="L1193" s="2135"/>
      <c r="M1193" s="2135"/>
      <c r="N1193" s="2135"/>
      <c r="O1193" s="958" t="s">
        <v>793</v>
      </c>
      <c r="P1193" s="960" t="str">
        <f>'Part VIII-Threshold Criteria'!P284</f>
        <v>Yes</v>
      </c>
      <c r="Q1193" s="960">
        <f>'Part VIII-Threshold Criteria'!Q284</f>
        <v>0</v>
      </c>
    </row>
    <row r="1194" spans="1:17">
      <c r="B1194" s="953" t="s">
        <v>1987</v>
      </c>
      <c r="D1194" s="953"/>
      <c r="E1194" s="953"/>
      <c r="F1194" s="953"/>
      <c r="G1194" s="953"/>
      <c r="H1194" s="938"/>
      <c r="I1194" s="935"/>
      <c r="J1194" s="935"/>
      <c r="K1194" s="935"/>
      <c r="L1194" s="890"/>
      <c r="M1194" s="890"/>
      <c r="N1194" s="890"/>
      <c r="O1194" s="890"/>
      <c r="P1194" s="890"/>
      <c r="Q1194" s="890"/>
    </row>
    <row r="1195" spans="1:17">
      <c r="A1195" s="2129" t="str">
        <f>'Part VIII-Threshold Criteria'!A286</f>
        <v xml:space="preserve">The project will meet all accessibilty standards. </v>
      </c>
      <c r="B1195" s="2129"/>
      <c r="C1195" s="2129"/>
      <c r="D1195" s="2129"/>
      <c r="E1195" s="2129"/>
      <c r="F1195" s="2129"/>
      <c r="G1195" s="2129"/>
      <c r="H1195" s="2129"/>
      <c r="I1195" s="2129"/>
      <c r="J1195" s="2129"/>
      <c r="K1195" s="2129"/>
      <c r="L1195" s="2129"/>
      <c r="M1195" s="2129"/>
      <c r="N1195" s="2129"/>
      <c r="O1195" s="2129"/>
      <c r="P1195" s="2129"/>
      <c r="Q1195" s="2129"/>
    </row>
    <row r="1196" spans="1:17">
      <c r="B1196" s="942" t="s">
        <v>1988</v>
      </c>
      <c r="C1196" s="943"/>
      <c r="D1196" s="944"/>
      <c r="E1196" s="944"/>
      <c r="F1196" s="944"/>
      <c r="G1196" s="944"/>
      <c r="H1196" s="944"/>
      <c r="I1196" s="944"/>
      <c r="J1196" s="944"/>
      <c r="K1196" s="944"/>
      <c r="L1196" s="944"/>
      <c r="M1196" s="944"/>
      <c r="N1196" s="944"/>
      <c r="O1196" s="944"/>
      <c r="P1196" s="944"/>
      <c r="Q1196" s="944"/>
    </row>
    <row r="1197" spans="1:17">
      <c r="A1197" s="2136">
        <f>'Part VIII-Threshold Criteria'!A288</f>
        <v>0</v>
      </c>
      <c r="B1197" s="2136"/>
      <c r="C1197" s="2136"/>
      <c r="D1197" s="2136"/>
      <c r="E1197" s="2136"/>
      <c r="F1197" s="2136"/>
      <c r="G1197" s="2136"/>
      <c r="H1197" s="2136"/>
      <c r="I1197" s="2136"/>
      <c r="J1197" s="2136"/>
      <c r="K1197" s="2136"/>
      <c r="L1197" s="2136"/>
      <c r="M1197" s="2136"/>
      <c r="N1197" s="2136"/>
      <c r="O1197" s="2136"/>
      <c r="P1197" s="2136"/>
      <c r="Q1197" s="2136"/>
    </row>
    <row r="1198" spans="1:17">
      <c r="A1198" s="885">
        <v>19</v>
      </c>
      <c r="B1198" s="586" t="s">
        <v>2855</v>
      </c>
      <c r="C1198" s="586"/>
      <c r="D1198" s="586"/>
      <c r="E1198" s="586"/>
      <c r="F1198" s="586"/>
      <c r="G1198" s="586"/>
      <c r="H1198" s="944"/>
      <c r="I1198" s="944"/>
      <c r="J1198" s="944"/>
      <c r="K1198" s="944"/>
      <c r="L1198" s="944"/>
      <c r="M1198" s="944"/>
      <c r="O1198" s="936" t="s">
        <v>1989</v>
      </c>
      <c r="P1198" s="2137">
        <f>'Part VIII-Threshold Criteria'!P289</f>
        <v>0</v>
      </c>
      <c r="Q1198" s="2137"/>
    </row>
    <row r="1199" spans="1:17">
      <c r="B1199" s="566" t="s">
        <v>2392</v>
      </c>
      <c r="P1199" s="960" t="str">
        <f>'Part VIII-Threshold Criteria'!P290</f>
        <v>No</v>
      </c>
      <c r="Q1199" s="960">
        <f>'Part VIII-Threshold Criteria'!Q290</f>
        <v>0</v>
      </c>
    </row>
    <row r="1200" spans="1:17">
      <c r="B1200" s="951" t="s">
        <v>2347</v>
      </c>
      <c r="C1200" s="951"/>
      <c r="D1200" s="951"/>
      <c r="E1200" s="951"/>
      <c r="F1200" s="951"/>
      <c r="G1200" s="951"/>
      <c r="H1200" s="951"/>
      <c r="I1200" s="951"/>
      <c r="J1200" s="951"/>
      <c r="K1200" s="951"/>
      <c r="L1200" s="951"/>
      <c r="P1200" s="960" t="str">
        <f>'Part VIII-Threshold Criteria'!P291</f>
        <v>Yes</v>
      </c>
      <c r="Q1200" s="960">
        <f>'Part VIII-Threshold Criteria'!Q291</f>
        <v>0</v>
      </c>
    </row>
    <row r="1201" spans="1:17">
      <c r="B1201" s="937" t="s">
        <v>2110</v>
      </c>
      <c r="C1201" s="954" t="s">
        <v>3405</v>
      </c>
      <c r="D1201" s="938"/>
      <c r="E1201" s="938"/>
      <c r="F1201" s="938"/>
      <c r="G1201" s="938"/>
      <c r="H1201" s="938"/>
      <c r="I1201" s="938"/>
      <c r="J1201" s="938"/>
      <c r="K1201" s="938"/>
      <c r="L1201" s="938"/>
      <c r="M1201" s="938"/>
      <c r="N1201" s="958"/>
    </row>
    <row r="1202" spans="1:17">
      <c r="A1202" s="956"/>
      <c r="C1202" s="2135" t="s">
        <v>3273</v>
      </c>
      <c r="D1202" s="2135"/>
      <c r="E1202" s="2135"/>
      <c r="F1202" s="2135"/>
      <c r="G1202" s="2135"/>
      <c r="H1202" s="2135"/>
      <c r="I1202" s="2135"/>
      <c r="J1202" s="2135"/>
      <c r="K1202" s="2135"/>
      <c r="L1202" s="2135"/>
      <c r="M1202" s="2135"/>
      <c r="N1202" s="2135"/>
      <c r="O1202" s="958" t="s">
        <v>2110</v>
      </c>
      <c r="P1202" s="960">
        <f>'Part VIII-Threshold Criteria'!P293</f>
        <v>0</v>
      </c>
      <c r="Q1202" s="960">
        <f>'Part VIII-Threshold Criteria'!Q293</f>
        <v>0</v>
      </c>
    </row>
    <row r="1203" spans="1:17">
      <c r="B1203" s="937" t="s">
        <v>2113</v>
      </c>
      <c r="C1203" s="2134" t="s">
        <v>482</v>
      </c>
      <c r="D1203" s="2134"/>
      <c r="E1203" s="2134"/>
      <c r="F1203" s="2134"/>
      <c r="G1203" s="2134"/>
      <c r="H1203" s="2134"/>
      <c r="I1203" s="2134"/>
      <c r="J1203" s="2134"/>
      <c r="K1203" s="2134"/>
      <c r="L1203" s="2134"/>
      <c r="M1203" s="2134"/>
      <c r="O1203" s="958" t="s">
        <v>2113</v>
      </c>
      <c r="P1203" s="890"/>
      <c r="Q1203" s="890"/>
    </row>
    <row r="1204" spans="1:17">
      <c r="A1204" s="956"/>
      <c r="C1204" s="959" t="s">
        <v>1850</v>
      </c>
      <c r="D1204" s="946" t="s">
        <v>1191</v>
      </c>
      <c r="E1204" s="957"/>
      <c r="F1204" s="957"/>
      <c r="G1204" s="2131" t="str">
        <f>'Part VIII-Threshold Criteria'!G295</f>
        <v>Exterior wall faces will have an excess of 40% brick or stone on each total wall surface</v>
      </c>
      <c r="H1204" s="2132"/>
      <c r="I1204" s="2132"/>
      <c r="J1204" s="2132"/>
      <c r="K1204" s="2132"/>
      <c r="L1204" s="2132"/>
      <c r="M1204" s="2132"/>
      <c r="N1204" s="2132"/>
      <c r="O1204" s="958" t="s">
        <v>1850</v>
      </c>
      <c r="P1204" s="960" t="str">
        <f>'Part VIII-Threshold Criteria'!P295</f>
        <v>Yes</v>
      </c>
      <c r="Q1204" s="960">
        <f>'Part VIII-Threshold Criteria'!Q295</f>
        <v>0</v>
      </c>
    </row>
    <row r="1205" spans="1:17" ht="12.75" customHeight="1">
      <c r="A1205" s="956"/>
      <c r="C1205" s="959" t="s">
        <v>1851</v>
      </c>
      <c r="D1205" s="2129" t="s">
        <v>1192</v>
      </c>
      <c r="E1205" s="2130"/>
      <c r="F1205" s="2130"/>
      <c r="G1205" s="2131" t="str">
        <f>'Part VIII-Threshold Criteria'!G296</f>
        <v xml:space="preserve">Fiber cement siding or other 40 year warranty product installed on all exterior wall surfaces not already required to be brick </v>
      </c>
      <c r="H1205" s="2132"/>
      <c r="I1205" s="2132"/>
      <c r="J1205" s="2132"/>
      <c r="K1205" s="2132"/>
      <c r="L1205" s="2132"/>
      <c r="M1205" s="2132"/>
      <c r="N1205" s="2132"/>
      <c r="O1205" s="958" t="s">
        <v>1851</v>
      </c>
      <c r="P1205" s="960" t="str">
        <f>'Part VIII-Threshold Criteria'!P296</f>
        <v>Yes</v>
      </c>
      <c r="Q1205" s="960">
        <f>'Part VIII-Threshold Criteria'!Q296</f>
        <v>0</v>
      </c>
    </row>
    <row r="1206" spans="1:17">
      <c r="A1206" s="890"/>
      <c r="B1206" s="890"/>
      <c r="C1206" s="890"/>
      <c r="D1206" s="890"/>
      <c r="E1206" s="890"/>
      <c r="F1206" s="890"/>
      <c r="G1206" s="890"/>
      <c r="H1206" s="890"/>
      <c r="I1206" s="890"/>
      <c r="J1206" s="890"/>
      <c r="K1206" s="890"/>
      <c r="L1206" s="890"/>
      <c r="M1206" s="890"/>
      <c r="N1206" s="890"/>
      <c r="O1206" s="890"/>
      <c r="P1206" s="890"/>
      <c r="Q1206" s="890"/>
    </row>
    <row r="1207" spans="1:17">
      <c r="A1207" s="957"/>
      <c r="B1207" s="937" t="s">
        <v>793</v>
      </c>
      <c r="C1207" s="2133" t="s">
        <v>3406</v>
      </c>
      <c r="D1207" s="2133"/>
      <c r="E1207" s="2133"/>
      <c r="F1207" s="2133"/>
      <c r="G1207" s="2133"/>
      <c r="H1207" s="2133"/>
      <c r="I1207" s="2133"/>
      <c r="J1207" s="2133"/>
      <c r="K1207" s="2133"/>
      <c r="L1207" s="2133"/>
      <c r="M1207" s="2133"/>
      <c r="N1207" s="2133"/>
      <c r="O1207" s="961" t="s">
        <v>793</v>
      </c>
      <c r="P1207" s="890"/>
      <c r="Q1207" s="890"/>
    </row>
    <row r="1208" spans="1:17">
      <c r="A1208" s="956"/>
      <c r="B1208" s="957"/>
      <c r="C1208" s="959" t="s">
        <v>1850</v>
      </c>
      <c r="D1208" s="2129">
        <f>'Part VIII-Threshold Criteria'!D299</f>
        <v>0</v>
      </c>
      <c r="E1208" s="2129"/>
      <c r="F1208" s="2129"/>
      <c r="G1208" s="2129"/>
      <c r="H1208" s="2129"/>
      <c r="I1208" s="2129"/>
      <c r="J1208" s="2129"/>
      <c r="K1208" s="2129"/>
      <c r="L1208" s="2129"/>
      <c r="M1208" s="2129"/>
      <c r="N1208" s="2129"/>
      <c r="O1208" s="958" t="s">
        <v>1850</v>
      </c>
      <c r="P1208" s="960">
        <f>'Part VIII-Threshold Criteria'!P299</f>
        <v>0</v>
      </c>
      <c r="Q1208" s="960">
        <f>'Part VIII-Threshold Criteria'!Q299</f>
        <v>0</v>
      </c>
    </row>
    <row r="1209" spans="1:17">
      <c r="A1209" s="956"/>
      <c r="B1209" s="957"/>
      <c r="C1209" s="959" t="s">
        <v>1851</v>
      </c>
      <c r="D1209" s="2129">
        <f>'Part VIII-Threshold Criteria'!D300</f>
        <v>0</v>
      </c>
      <c r="E1209" s="2129"/>
      <c r="F1209" s="2129"/>
      <c r="G1209" s="2129"/>
      <c r="H1209" s="2129"/>
      <c r="I1209" s="2129"/>
      <c r="J1209" s="2129"/>
      <c r="K1209" s="2129"/>
      <c r="L1209" s="2129"/>
      <c r="M1209" s="2129"/>
      <c r="N1209" s="2129"/>
      <c r="O1209" s="958" t="s">
        <v>1851</v>
      </c>
      <c r="P1209" s="960">
        <f>'Part VIII-Threshold Criteria'!P300</f>
        <v>0</v>
      </c>
      <c r="Q1209" s="960">
        <f>'Part VIII-Threshold Criteria'!Q300</f>
        <v>0</v>
      </c>
    </row>
    <row r="1210" spans="1:17">
      <c r="A1210" s="890"/>
      <c r="B1210" s="890"/>
      <c r="C1210" s="890"/>
      <c r="D1210" s="890"/>
      <c r="E1210" s="890"/>
      <c r="F1210" s="890"/>
      <c r="G1210" s="890"/>
      <c r="H1210" s="890"/>
      <c r="I1210" s="890"/>
      <c r="J1210" s="890"/>
      <c r="K1210" s="890"/>
      <c r="L1210" s="890"/>
      <c r="M1210" s="890"/>
      <c r="N1210" s="890"/>
      <c r="O1210" s="890"/>
      <c r="P1210" s="890"/>
      <c r="Q1210" s="890"/>
    </row>
    <row r="1211" spans="1:17">
      <c r="B1211" s="953" t="s">
        <v>1987</v>
      </c>
      <c r="D1211" s="953"/>
      <c r="E1211" s="953"/>
      <c r="F1211" s="953"/>
      <c r="G1211" s="953"/>
      <c r="H1211" s="938"/>
      <c r="I1211" s="935"/>
      <c r="J1211" s="935"/>
      <c r="K1211" s="935"/>
      <c r="L1211" s="890"/>
      <c r="M1211" s="890"/>
      <c r="N1211" s="890"/>
      <c r="O1211" s="890"/>
      <c r="P1211" s="890"/>
      <c r="Q1211" s="890"/>
    </row>
    <row r="1212" spans="1:17">
      <c r="A1212" s="2129" t="str">
        <f>'Part VIII-Threshold Criteria'!A303</f>
        <v xml:space="preserve">Applicant agrees to the architectural design and quality standards. </v>
      </c>
      <c r="B1212" s="2129"/>
      <c r="C1212" s="2129"/>
      <c r="D1212" s="2129"/>
      <c r="E1212" s="2129"/>
      <c r="F1212" s="2129"/>
      <c r="G1212" s="2129"/>
      <c r="H1212" s="2129"/>
      <c r="I1212" s="2129"/>
      <c r="J1212" s="2129"/>
      <c r="K1212" s="2129"/>
      <c r="L1212" s="2129"/>
      <c r="M1212" s="2129"/>
      <c r="N1212" s="2129"/>
      <c r="O1212" s="2129"/>
      <c r="P1212" s="2129"/>
      <c r="Q1212" s="2129"/>
    </row>
    <row r="1213" spans="1:17">
      <c r="B1213" s="942" t="s">
        <v>1988</v>
      </c>
      <c r="C1213" s="943"/>
      <c r="D1213" s="944"/>
      <c r="E1213" s="944"/>
      <c r="F1213" s="944"/>
      <c r="G1213" s="944"/>
      <c r="H1213" s="944"/>
      <c r="I1213" s="944"/>
      <c r="J1213" s="944"/>
      <c r="K1213" s="944"/>
      <c r="L1213" s="944"/>
      <c r="M1213" s="944"/>
      <c r="N1213" s="944"/>
      <c r="O1213" s="944"/>
      <c r="P1213" s="944"/>
      <c r="Q1213" s="944"/>
    </row>
    <row r="1214" spans="1:17">
      <c r="A1214" s="2136">
        <f>'Part VIII-Threshold Criteria'!A305</f>
        <v>0</v>
      </c>
      <c r="B1214" s="2136"/>
      <c r="C1214" s="2136"/>
      <c r="D1214" s="2136"/>
      <c r="E1214" s="2136"/>
      <c r="F1214" s="2136"/>
      <c r="G1214" s="2136"/>
      <c r="H1214" s="2136"/>
      <c r="I1214" s="2136"/>
      <c r="J1214" s="2136"/>
      <c r="K1214" s="2136"/>
      <c r="L1214" s="2136"/>
      <c r="M1214" s="2136"/>
      <c r="N1214" s="2136"/>
      <c r="O1214" s="2136"/>
      <c r="P1214" s="2136"/>
      <c r="Q1214" s="2136"/>
    </row>
    <row r="1215" spans="1:17">
      <c r="A1215" s="890"/>
      <c r="B1215" s="935"/>
      <c r="C1215" s="944"/>
      <c r="D1215" s="944"/>
      <c r="E1215" s="944"/>
      <c r="F1215" s="944"/>
      <c r="G1215" s="944"/>
      <c r="H1215" s="944"/>
      <c r="I1215" s="944"/>
      <c r="J1215" s="944"/>
      <c r="K1215" s="944"/>
      <c r="L1215" s="944"/>
      <c r="M1215" s="944"/>
      <c r="N1215" s="944"/>
      <c r="O1215" s="944"/>
      <c r="P1215" s="944"/>
      <c r="Q1215" s="890"/>
    </row>
    <row r="1216" spans="1:17">
      <c r="A1216" s="885">
        <v>20</v>
      </c>
      <c r="B1216" s="885" t="s">
        <v>3294</v>
      </c>
      <c r="C1216" s="885"/>
      <c r="D1216" s="944"/>
      <c r="E1216" s="944"/>
      <c r="F1216" s="944"/>
      <c r="G1216" s="944"/>
      <c r="H1216" s="944"/>
      <c r="O1216" s="936" t="s">
        <v>1989</v>
      </c>
      <c r="P1216" s="2137">
        <f>'Part VIII-Threshold Criteria'!P307</f>
        <v>0</v>
      </c>
      <c r="Q1216" s="2137"/>
    </row>
    <row r="1217" spans="1:17">
      <c r="B1217" s="566" t="s">
        <v>3295</v>
      </c>
      <c r="P1217" s="960" t="str">
        <f>'Part VIII-Threshold Criteria'!P308</f>
        <v>Yes</v>
      </c>
      <c r="Q1217" s="960">
        <f>'Part VIII-Threshold Criteria'!Q308</f>
        <v>0</v>
      </c>
    </row>
    <row r="1218" spans="1:17">
      <c r="B1218" s="566" t="s">
        <v>2493</v>
      </c>
      <c r="P1218" s="960" t="str">
        <f>'Part VIII-Threshold Criteria'!P309</f>
        <v>No</v>
      </c>
      <c r="Q1218" s="960">
        <f>'Part VIII-Threshold Criteria'!Q309</f>
        <v>0</v>
      </c>
    </row>
    <row r="1219" spans="1:17">
      <c r="B1219" s="566" t="s">
        <v>3296</v>
      </c>
      <c r="M1219" s="2145" t="str">
        <f>'Part VIII-Threshold Criteria'!M310</f>
        <v>Qualified w/out Conditions</v>
      </c>
      <c r="N1219" s="2145"/>
      <c r="O1219" s="2145"/>
    </row>
    <row r="1220" spans="1:17">
      <c r="B1220" s="968" t="s">
        <v>2494</v>
      </c>
      <c r="M1220" s="2145" t="str">
        <f>'Part VIII-Threshold Criteria'!M311</f>
        <v>&lt;&lt; Select Designation &gt;&gt;</v>
      </c>
      <c r="N1220" s="2145"/>
      <c r="O1220" s="2145"/>
    </row>
    <row r="1221" spans="1:17">
      <c r="B1221" s="953" t="s">
        <v>1987</v>
      </c>
      <c r="D1221" s="953"/>
      <c r="E1221" s="953"/>
      <c r="F1221" s="953"/>
      <c r="G1221" s="953"/>
      <c r="H1221" s="938"/>
      <c r="I1221" s="935"/>
      <c r="J1221" s="935"/>
      <c r="K1221" s="935"/>
      <c r="L1221" s="890"/>
      <c r="M1221" s="890"/>
      <c r="N1221" s="890"/>
      <c r="O1221" s="890"/>
      <c r="P1221" s="890"/>
      <c r="Q1221" s="890"/>
    </row>
    <row r="1222" spans="1:17">
      <c r="A1222" s="2129" t="str">
        <f>'Part VIII-Threshold Criteria'!A313</f>
        <v xml:space="preserve">The project team is qualified without conditions. </v>
      </c>
      <c r="B1222" s="2129"/>
      <c r="C1222" s="2129"/>
      <c r="D1222" s="2129"/>
      <c r="E1222" s="2129"/>
      <c r="F1222" s="2129"/>
      <c r="G1222" s="2129"/>
      <c r="H1222" s="2129"/>
      <c r="I1222" s="2129"/>
      <c r="J1222" s="2129"/>
      <c r="K1222" s="2129"/>
      <c r="L1222" s="2129"/>
      <c r="M1222" s="2129"/>
      <c r="N1222" s="2129"/>
      <c r="O1222" s="2129"/>
      <c r="P1222" s="2129"/>
      <c r="Q1222" s="2129"/>
    </row>
    <row r="1223" spans="1:17">
      <c r="B1223" s="942" t="s">
        <v>1988</v>
      </c>
      <c r="C1223" s="943"/>
      <c r="D1223" s="944"/>
      <c r="E1223" s="944"/>
      <c r="F1223" s="944"/>
      <c r="G1223" s="944"/>
      <c r="H1223" s="944"/>
      <c r="I1223" s="944"/>
      <c r="J1223" s="944"/>
      <c r="K1223" s="944"/>
      <c r="L1223" s="944"/>
      <c r="M1223" s="944"/>
      <c r="N1223" s="944"/>
      <c r="O1223" s="944"/>
      <c r="P1223" s="944"/>
      <c r="Q1223" s="944"/>
    </row>
    <row r="1224" spans="1:17">
      <c r="A1224" s="2136">
        <f>'Part VIII-Threshold Criteria'!A315</f>
        <v>0</v>
      </c>
      <c r="B1224" s="2136"/>
      <c r="C1224" s="2136"/>
      <c r="D1224" s="2136"/>
      <c r="E1224" s="2136"/>
      <c r="F1224" s="2136"/>
      <c r="G1224" s="2136"/>
      <c r="H1224" s="2136"/>
      <c r="I1224" s="2136"/>
      <c r="J1224" s="2136"/>
      <c r="K1224" s="2136"/>
      <c r="L1224" s="2136"/>
      <c r="M1224" s="2136"/>
      <c r="N1224" s="2136"/>
      <c r="O1224" s="2136"/>
      <c r="P1224" s="2136"/>
      <c r="Q1224" s="2136"/>
    </row>
    <row r="1225" spans="1:17">
      <c r="B1225" s="935"/>
      <c r="C1225" s="944"/>
      <c r="D1225" s="944"/>
      <c r="E1225" s="944"/>
      <c r="F1225" s="944"/>
      <c r="G1225" s="944"/>
      <c r="H1225" s="944"/>
      <c r="I1225" s="944"/>
      <c r="J1225" s="944"/>
      <c r="K1225" s="944"/>
      <c r="L1225" s="944"/>
      <c r="M1225" s="944"/>
      <c r="Q1225" s="890"/>
    </row>
    <row r="1226" spans="1:17">
      <c r="A1226" s="885">
        <v>21</v>
      </c>
      <c r="B1226" s="586" t="s">
        <v>2856</v>
      </c>
      <c r="C1226" s="586"/>
      <c r="D1226" s="934"/>
      <c r="E1226" s="944"/>
      <c r="F1226" s="944"/>
      <c r="G1226" s="944"/>
      <c r="H1226" s="944"/>
      <c r="I1226" s="944"/>
      <c r="J1226" s="944"/>
      <c r="K1226" s="944"/>
      <c r="L1226" s="944"/>
      <c r="M1226" s="944"/>
      <c r="O1226" s="936" t="s">
        <v>1989</v>
      </c>
      <c r="P1226" s="2137">
        <f>'Part VIII-Threshold Criteria'!P317</f>
        <v>0</v>
      </c>
      <c r="Q1226" s="2137"/>
    </row>
    <row r="1227" spans="1:17">
      <c r="B1227" s="937" t="s">
        <v>2110</v>
      </c>
      <c r="C1227" s="2129" t="s">
        <v>3297</v>
      </c>
      <c r="D1227" s="2129"/>
      <c r="E1227" s="2129"/>
      <c r="F1227" s="2129"/>
      <c r="G1227" s="2129"/>
      <c r="H1227" s="2129"/>
      <c r="I1227" s="2129"/>
      <c r="J1227" s="2129"/>
      <c r="K1227" s="2129"/>
      <c r="L1227" s="2129"/>
      <c r="M1227" s="2129"/>
      <c r="N1227" s="2129"/>
      <c r="O1227" s="958" t="s">
        <v>2110</v>
      </c>
      <c r="P1227" s="960">
        <f>'Part VIII-Threshold Criteria'!P318</f>
        <v>0</v>
      </c>
      <c r="Q1227" s="960">
        <f>'Part VIII-Threshold Criteria'!Q318</f>
        <v>0</v>
      </c>
    </row>
    <row r="1228" spans="1:17">
      <c r="B1228" s="937" t="s">
        <v>2113</v>
      </c>
      <c r="C1228" s="2129" t="s">
        <v>3334</v>
      </c>
      <c r="D1228" s="2129"/>
      <c r="E1228" s="2129"/>
      <c r="F1228" s="2129"/>
      <c r="G1228" s="2129"/>
      <c r="H1228" s="2129"/>
      <c r="I1228" s="2129"/>
      <c r="J1228" s="2129"/>
      <c r="K1228" s="2129"/>
      <c r="L1228" s="2129"/>
      <c r="M1228" s="2129"/>
      <c r="N1228" s="2129"/>
      <c r="O1228" s="958" t="s">
        <v>2113</v>
      </c>
      <c r="P1228" s="960">
        <f>'Part VIII-Threshold Criteria'!P319</f>
        <v>0</v>
      </c>
      <c r="Q1228" s="960">
        <f>'Part VIII-Threshold Criteria'!Q319</f>
        <v>0</v>
      </c>
    </row>
    <row r="1229" spans="1:17">
      <c r="B1229" s="937" t="s">
        <v>793</v>
      </c>
      <c r="C1229" s="951" t="s">
        <v>3105</v>
      </c>
      <c r="D1229" s="951"/>
      <c r="E1229" s="951"/>
      <c r="F1229" s="951"/>
      <c r="G1229" s="951"/>
      <c r="H1229" s="951"/>
      <c r="I1229" s="951"/>
      <c r="J1229" s="951"/>
      <c r="K1229" s="951"/>
      <c r="L1229" s="951"/>
      <c r="M1229" s="951"/>
      <c r="O1229" s="958" t="s">
        <v>793</v>
      </c>
      <c r="P1229" s="960">
        <f>'Part VIII-Threshold Criteria'!P320</f>
        <v>0</v>
      </c>
      <c r="Q1229" s="960">
        <f>'Part VIII-Threshold Criteria'!Q320</f>
        <v>0</v>
      </c>
    </row>
    <row r="1230" spans="1:17">
      <c r="B1230" s="937" t="s">
        <v>2245</v>
      </c>
      <c r="C1230" s="2129" t="s">
        <v>3407</v>
      </c>
      <c r="D1230" s="2129"/>
      <c r="E1230" s="2129"/>
      <c r="F1230" s="2129"/>
      <c r="G1230" s="2129"/>
      <c r="H1230" s="2129"/>
      <c r="I1230" s="2129"/>
      <c r="J1230" s="2129"/>
      <c r="K1230" s="2129"/>
      <c r="L1230" s="2129"/>
      <c r="M1230" s="2129"/>
      <c r="N1230" s="2129"/>
      <c r="O1230" s="958" t="s">
        <v>2245</v>
      </c>
      <c r="P1230" s="960">
        <f>'Part VIII-Threshold Criteria'!P321</f>
        <v>0</v>
      </c>
      <c r="Q1230" s="960">
        <f>'Part VIII-Threshold Criteria'!Q321</f>
        <v>0</v>
      </c>
    </row>
    <row r="1231" spans="1:17">
      <c r="B1231" s="937" t="s">
        <v>1848</v>
      </c>
      <c r="C1231" s="2129" t="s">
        <v>3408</v>
      </c>
      <c r="D1231" s="2129"/>
      <c r="E1231" s="2129"/>
      <c r="F1231" s="2129"/>
      <c r="G1231" s="2129"/>
      <c r="H1231" s="2129"/>
      <c r="I1231" s="2129"/>
      <c r="J1231" s="2129"/>
      <c r="K1231" s="2129"/>
      <c r="L1231" s="2129"/>
      <c r="M1231" s="2129"/>
      <c r="N1231" s="2129"/>
      <c r="O1231" s="958" t="s">
        <v>1848</v>
      </c>
      <c r="P1231" s="960">
        <f>'Part VIII-Threshold Criteria'!P322</f>
        <v>0</v>
      </c>
      <c r="Q1231" s="960">
        <f>'Part VIII-Threshold Criteria'!Q322</f>
        <v>0</v>
      </c>
    </row>
    <row r="1232" spans="1:17">
      <c r="B1232" s="953" t="s">
        <v>1987</v>
      </c>
      <c r="D1232" s="953"/>
      <c r="E1232" s="953"/>
      <c r="F1232" s="953"/>
      <c r="G1232" s="953"/>
      <c r="H1232" s="938"/>
      <c r="I1232" s="935"/>
      <c r="J1232" s="935"/>
      <c r="K1232" s="935"/>
      <c r="L1232" s="890"/>
      <c r="M1232" s="890"/>
      <c r="N1232" s="890"/>
      <c r="O1232" s="890"/>
      <c r="P1232" s="890"/>
      <c r="Q1232" s="890"/>
    </row>
    <row r="1233" spans="1:17">
      <c r="A1233" s="2129" t="str">
        <f>'Part VIII-Threshold Criteria'!A324</f>
        <v xml:space="preserve">Compliance History was submiited at Pre-Application.  The Qualification Determination is included in Tab 18 of the Application Binder. </v>
      </c>
      <c r="B1233" s="2129"/>
      <c r="C1233" s="2129"/>
      <c r="D1233" s="2129"/>
      <c r="E1233" s="2129"/>
      <c r="F1233" s="2129"/>
      <c r="G1233" s="2129"/>
      <c r="H1233" s="2129"/>
      <c r="I1233" s="2129"/>
      <c r="J1233" s="2129"/>
      <c r="K1233" s="2129"/>
      <c r="L1233" s="2129"/>
      <c r="M1233" s="2129"/>
      <c r="N1233" s="2129"/>
      <c r="O1233" s="2129"/>
      <c r="P1233" s="2129"/>
      <c r="Q1233" s="2129"/>
    </row>
    <row r="1234" spans="1:17">
      <c r="B1234" s="942" t="s">
        <v>1988</v>
      </c>
      <c r="C1234" s="943"/>
      <c r="D1234" s="944"/>
      <c r="E1234" s="944"/>
      <c r="F1234" s="944"/>
      <c r="G1234" s="944"/>
      <c r="H1234" s="944"/>
      <c r="I1234" s="944"/>
      <c r="J1234" s="944"/>
      <c r="K1234" s="944"/>
      <c r="L1234" s="944"/>
      <c r="M1234" s="944"/>
      <c r="N1234" s="944"/>
      <c r="O1234" s="944"/>
      <c r="P1234" s="944"/>
      <c r="Q1234" s="944"/>
    </row>
    <row r="1235" spans="1:17">
      <c r="A1235" s="2136">
        <f>'Part VIII-Threshold Criteria'!A326</f>
        <v>0</v>
      </c>
      <c r="B1235" s="2136"/>
      <c r="C1235" s="2136"/>
      <c r="D1235" s="2136"/>
      <c r="E1235" s="2136"/>
      <c r="F1235" s="2136"/>
      <c r="G1235" s="2136"/>
      <c r="H1235" s="2136"/>
      <c r="I1235" s="2136"/>
      <c r="J1235" s="2136"/>
      <c r="K1235" s="2136"/>
      <c r="L1235" s="2136"/>
      <c r="M1235" s="2136"/>
      <c r="N1235" s="2136"/>
      <c r="O1235" s="2136"/>
      <c r="P1235" s="2136"/>
      <c r="Q1235" s="2136"/>
    </row>
    <row r="1236" spans="1:17">
      <c r="A1236" s="890"/>
      <c r="B1236" s="935"/>
      <c r="C1236" s="944"/>
      <c r="D1236" s="944"/>
      <c r="E1236" s="944"/>
      <c r="F1236" s="944"/>
      <c r="G1236" s="944"/>
      <c r="H1236" s="944"/>
      <c r="I1236" s="944"/>
      <c r="J1236" s="944"/>
      <c r="K1236" s="944"/>
      <c r="L1236" s="944"/>
      <c r="M1236" s="944"/>
      <c r="N1236" s="944"/>
      <c r="O1236" s="944"/>
      <c r="P1236" s="944"/>
      <c r="Q1236" s="890"/>
    </row>
    <row r="1237" spans="1:17">
      <c r="A1237" s="885">
        <v>22</v>
      </c>
      <c r="B1237" s="586" t="s">
        <v>2890</v>
      </c>
      <c r="C1237" s="586"/>
      <c r="D1237" s="586"/>
      <c r="E1237" s="586"/>
      <c r="F1237" s="586"/>
      <c r="G1237" s="586"/>
      <c r="H1237" s="944"/>
      <c r="I1237" s="944"/>
      <c r="J1237" s="944"/>
      <c r="K1237" s="944"/>
      <c r="L1237" s="944"/>
      <c r="M1237" s="944"/>
      <c r="O1237" s="936" t="s">
        <v>1989</v>
      </c>
      <c r="P1237" s="2137">
        <f>'Part VIII-Threshold Criteria'!P328</f>
        <v>0</v>
      </c>
      <c r="Q1237" s="2137"/>
    </row>
    <row r="1238" spans="1:17">
      <c r="B1238" s="940" t="s">
        <v>2110</v>
      </c>
      <c r="C1238" s="584" t="s">
        <v>2886</v>
      </c>
      <c r="D1238" s="604"/>
      <c r="E1238" s="604"/>
      <c r="F1238" s="604"/>
      <c r="G1238" s="604"/>
      <c r="H1238" s="604"/>
      <c r="I1238" s="583"/>
      <c r="J1238" s="939" t="s">
        <v>2110</v>
      </c>
      <c r="K1238" s="2141">
        <f>'Part VIII-Threshold Criteria'!K329</f>
        <v>0</v>
      </c>
      <c r="L1238" s="2141"/>
      <c r="M1238" s="2141"/>
      <c r="N1238" s="2141"/>
      <c r="O1238" s="2141"/>
      <c r="P1238" s="2141"/>
      <c r="Q1238" s="960">
        <f>'Part VIII-Threshold Criteria'!Q329</f>
        <v>0</v>
      </c>
    </row>
    <row r="1239" spans="1:17">
      <c r="B1239" s="937" t="s">
        <v>2113</v>
      </c>
      <c r="C1239" s="2138" t="s">
        <v>2885</v>
      </c>
      <c r="D1239" s="2138"/>
      <c r="E1239" s="2138"/>
      <c r="F1239" s="2138"/>
      <c r="G1239" s="2138"/>
      <c r="H1239" s="2138"/>
      <c r="I1239" s="2138"/>
      <c r="J1239" s="2138"/>
      <c r="K1239" s="2138"/>
      <c r="L1239" s="2138"/>
      <c r="M1239" s="2138"/>
      <c r="N1239" s="2138"/>
      <c r="O1239" s="958" t="s">
        <v>2113</v>
      </c>
      <c r="P1239" s="960">
        <f>'Part VIII-Threshold Criteria'!P330</f>
        <v>0</v>
      </c>
      <c r="Q1239" s="960">
        <f>'Part VIII-Threshold Criteria'!Q330</f>
        <v>0</v>
      </c>
    </row>
    <row r="1240" spans="1:17">
      <c r="B1240" s="940" t="s">
        <v>793</v>
      </c>
      <c r="C1240" s="584" t="s">
        <v>2887</v>
      </c>
      <c r="D1240" s="584"/>
      <c r="E1240" s="584"/>
      <c r="F1240" s="584"/>
      <c r="G1240" s="584"/>
      <c r="H1240" s="584"/>
      <c r="I1240" s="584"/>
      <c r="J1240" s="584"/>
      <c r="K1240" s="584"/>
      <c r="L1240" s="938"/>
      <c r="M1240" s="938"/>
      <c r="O1240" s="939" t="s">
        <v>793</v>
      </c>
      <c r="P1240" s="960">
        <f>'Part VIII-Threshold Criteria'!P331</f>
        <v>0</v>
      </c>
      <c r="Q1240" s="960">
        <f>'Part VIII-Threshold Criteria'!Q331</f>
        <v>0</v>
      </c>
    </row>
    <row r="1241" spans="1:17">
      <c r="B1241" s="940" t="s">
        <v>2245</v>
      </c>
      <c r="C1241" s="584" t="s">
        <v>2888</v>
      </c>
      <c r="D1241" s="584"/>
      <c r="E1241" s="584"/>
      <c r="F1241" s="584"/>
      <c r="G1241" s="584"/>
      <c r="H1241" s="584"/>
      <c r="I1241" s="584"/>
      <c r="J1241" s="584"/>
      <c r="K1241" s="584"/>
      <c r="L1241" s="584"/>
      <c r="M1241" s="584"/>
      <c r="O1241" s="939" t="s">
        <v>2245</v>
      </c>
      <c r="P1241" s="960">
        <f>'Part VIII-Threshold Criteria'!P332</f>
        <v>0</v>
      </c>
      <c r="Q1241" s="960">
        <f>'Part VIII-Threshold Criteria'!Q332</f>
        <v>0</v>
      </c>
    </row>
    <row r="1242" spans="1:17">
      <c r="A1242" s="957"/>
      <c r="B1242" s="937" t="s">
        <v>1848</v>
      </c>
      <c r="C1242" s="2129" t="s">
        <v>2892</v>
      </c>
      <c r="D1242" s="2129"/>
      <c r="E1242" s="2129"/>
      <c r="F1242" s="2129"/>
      <c r="G1242" s="2129"/>
      <c r="H1242" s="2129"/>
      <c r="I1242" s="2129"/>
      <c r="J1242" s="2129"/>
      <c r="K1242" s="2129"/>
      <c r="L1242" s="2129"/>
      <c r="M1242" s="2129"/>
      <c r="N1242" s="2129"/>
      <c r="O1242" s="958" t="s">
        <v>1848</v>
      </c>
      <c r="P1242" s="960">
        <f>'Part VIII-Threshold Criteria'!P333</f>
        <v>0</v>
      </c>
      <c r="Q1242" s="960">
        <f>'Part VIII-Threshold Criteria'!Q333</f>
        <v>0</v>
      </c>
    </row>
    <row r="1243" spans="1:17">
      <c r="A1243" s="957"/>
      <c r="B1243" s="937" t="s">
        <v>1849</v>
      </c>
      <c r="C1243" s="2129" t="s">
        <v>2895</v>
      </c>
      <c r="D1243" s="2129"/>
      <c r="E1243" s="2129"/>
      <c r="F1243" s="2129"/>
      <c r="G1243" s="2129"/>
      <c r="H1243" s="2129"/>
      <c r="I1243" s="2129"/>
      <c r="J1243" s="2129"/>
      <c r="K1243" s="2129"/>
      <c r="L1243" s="2129"/>
      <c r="M1243" s="2129"/>
      <c r="N1243" s="2129"/>
      <c r="O1243" s="958" t="s">
        <v>1849</v>
      </c>
      <c r="P1243" s="960">
        <f>'Part VIII-Threshold Criteria'!P334</f>
        <v>0</v>
      </c>
      <c r="Q1243" s="960">
        <f>'Part VIII-Threshold Criteria'!Q334</f>
        <v>0</v>
      </c>
    </row>
    <row r="1244" spans="1:17">
      <c r="B1244" s="940" t="s">
        <v>2073</v>
      </c>
      <c r="C1244" s="584" t="s">
        <v>2889</v>
      </c>
      <c r="D1244" s="584"/>
      <c r="E1244" s="584"/>
      <c r="F1244" s="584"/>
      <c r="G1244" s="584"/>
      <c r="H1244" s="584"/>
      <c r="I1244" s="584"/>
      <c r="J1244" s="584"/>
      <c r="K1244" s="584"/>
      <c r="L1244" s="584"/>
      <c r="M1244" s="584"/>
      <c r="O1244" s="939" t="s">
        <v>2073</v>
      </c>
      <c r="P1244" s="960">
        <f>'Part VIII-Threshold Criteria'!P335</f>
        <v>0</v>
      </c>
      <c r="Q1244" s="960">
        <f>'Part VIII-Threshold Criteria'!Q335</f>
        <v>0</v>
      </c>
    </row>
    <row r="1245" spans="1:17">
      <c r="B1245" s="953" t="s">
        <v>1987</v>
      </c>
      <c r="D1245" s="953"/>
      <c r="E1245" s="953"/>
      <c r="F1245" s="953"/>
      <c r="G1245" s="953"/>
      <c r="H1245" s="938"/>
      <c r="I1245" s="935"/>
      <c r="J1245" s="935"/>
      <c r="K1245" s="935"/>
      <c r="L1245" s="890"/>
      <c r="M1245" s="890"/>
      <c r="N1245" s="890"/>
      <c r="O1245" s="890"/>
      <c r="P1245" s="890"/>
      <c r="Q1245" s="890"/>
    </row>
    <row r="1246" spans="1:17">
      <c r="A1246" s="2129">
        <f>'Part VIII-Threshold Criteria'!A337</f>
        <v>0</v>
      </c>
      <c r="B1246" s="2129"/>
      <c r="C1246" s="2129"/>
      <c r="D1246" s="2129"/>
      <c r="E1246" s="2129"/>
      <c r="F1246" s="2129"/>
      <c r="G1246" s="2129"/>
      <c r="H1246" s="2129"/>
      <c r="I1246" s="2129"/>
      <c r="J1246" s="2129"/>
      <c r="K1246" s="2129"/>
      <c r="L1246" s="2129"/>
      <c r="M1246" s="2129"/>
      <c r="N1246" s="2129"/>
      <c r="O1246" s="2129"/>
      <c r="P1246" s="2129"/>
      <c r="Q1246" s="2129"/>
    </row>
    <row r="1247" spans="1:17">
      <c r="B1247" s="942" t="s">
        <v>1988</v>
      </c>
      <c r="C1247" s="943"/>
      <c r="D1247" s="944"/>
      <c r="E1247" s="944"/>
      <c r="F1247" s="944"/>
      <c r="G1247" s="944"/>
      <c r="H1247" s="944"/>
      <c r="I1247" s="944"/>
      <c r="J1247" s="944"/>
      <c r="K1247" s="944"/>
      <c r="L1247" s="944"/>
      <c r="M1247" s="944"/>
      <c r="N1247" s="944"/>
      <c r="O1247" s="944"/>
      <c r="P1247" s="944"/>
      <c r="Q1247" s="944"/>
    </row>
    <row r="1248" spans="1:17">
      <c r="A1248" s="2136">
        <f>'Part VIII-Threshold Criteria'!A339</f>
        <v>0</v>
      </c>
      <c r="B1248" s="2136"/>
      <c r="C1248" s="2136"/>
      <c r="D1248" s="2136"/>
      <c r="E1248" s="2136"/>
      <c r="F1248" s="2136"/>
      <c r="G1248" s="2136"/>
      <c r="H1248" s="2136"/>
      <c r="I1248" s="2136"/>
      <c r="J1248" s="2136"/>
      <c r="K1248" s="2136"/>
      <c r="L1248" s="2136"/>
      <c r="M1248" s="2136"/>
      <c r="N1248" s="2136"/>
      <c r="O1248" s="2136"/>
      <c r="P1248" s="2136"/>
      <c r="Q1248" s="2136"/>
    </row>
    <row r="1249" spans="1:17">
      <c r="A1249" s="890"/>
      <c r="B1249" s="935"/>
      <c r="C1249" s="944"/>
      <c r="D1249" s="944"/>
      <c r="E1249" s="944"/>
      <c r="F1249" s="944"/>
      <c r="G1249" s="944"/>
      <c r="H1249" s="944"/>
      <c r="I1249" s="944"/>
      <c r="J1249" s="944"/>
      <c r="K1249" s="944"/>
      <c r="L1249" s="944"/>
      <c r="M1249" s="944"/>
      <c r="Q1249" s="890"/>
    </row>
    <row r="1250" spans="1:17">
      <c r="A1250" s="885">
        <v>23</v>
      </c>
      <c r="B1250" s="586" t="s">
        <v>2896</v>
      </c>
      <c r="C1250" s="586"/>
      <c r="D1250" s="586"/>
      <c r="E1250" s="586"/>
      <c r="F1250" s="586"/>
      <c r="G1250" s="586"/>
      <c r="H1250" s="944"/>
      <c r="I1250" s="944"/>
      <c r="J1250" s="944"/>
      <c r="O1250" s="936" t="s">
        <v>1989</v>
      </c>
      <c r="P1250" s="2137">
        <f>'Part VIII-Threshold Criteria'!P341</f>
        <v>0</v>
      </c>
      <c r="Q1250" s="2137"/>
    </row>
    <row r="1251" spans="1:17">
      <c r="B1251" s="940" t="s">
        <v>2110</v>
      </c>
      <c r="C1251" s="584" t="s">
        <v>1090</v>
      </c>
      <c r="E1251" s="2141">
        <f>'Part VIII-Threshold Criteria'!E342</f>
        <v>0</v>
      </c>
      <c r="F1251" s="2141"/>
      <c r="G1251" s="2141"/>
      <c r="H1251" s="2141"/>
      <c r="I1251" s="2141"/>
      <c r="J1251" s="2144" t="s">
        <v>2862</v>
      </c>
      <c r="K1251" s="2144"/>
      <c r="L1251" s="2144"/>
      <c r="M1251" s="2141">
        <f>'Part VIII-Threshold Criteria'!M342</f>
        <v>0</v>
      </c>
      <c r="N1251" s="2141"/>
      <c r="O1251" s="2141"/>
      <c r="P1251" s="2141"/>
      <c r="Q1251" s="2141"/>
    </row>
    <row r="1252" spans="1:17">
      <c r="B1252" s="940" t="s">
        <v>2113</v>
      </c>
      <c r="C1252" s="584" t="s">
        <v>1853</v>
      </c>
      <c r="D1252" s="584"/>
      <c r="E1252" s="584"/>
      <c r="F1252" s="584"/>
      <c r="G1252" s="584"/>
      <c r="H1252" s="584"/>
      <c r="I1252" s="584"/>
      <c r="J1252" s="584"/>
      <c r="K1252" s="584"/>
      <c r="L1252" s="938"/>
      <c r="M1252" s="938"/>
      <c r="O1252" s="939" t="s">
        <v>2113</v>
      </c>
      <c r="P1252" s="960">
        <f>'Part VIII-Threshold Criteria'!P343</f>
        <v>0</v>
      </c>
      <c r="Q1252" s="960">
        <f>'Part VIII-Threshold Criteria'!Q343</f>
        <v>0</v>
      </c>
    </row>
    <row r="1253" spans="1:17">
      <c r="B1253" s="937" t="s">
        <v>793</v>
      </c>
      <c r="C1253" s="2138" t="s">
        <v>2969</v>
      </c>
      <c r="D1253" s="2138"/>
      <c r="E1253" s="2138"/>
      <c r="F1253" s="2138"/>
      <c r="G1253" s="2138"/>
      <c r="H1253" s="2138"/>
      <c r="I1253" s="2138"/>
      <c r="J1253" s="2138"/>
      <c r="K1253" s="2138"/>
      <c r="L1253" s="2138"/>
      <c r="M1253" s="2138"/>
      <c r="N1253" s="2138"/>
      <c r="O1253" s="939" t="s">
        <v>793</v>
      </c>
      <c r="P1253" s="960">
        <f>'Part VIII-Threshold Criteria'!P344</f>
        <v>0</v>
      </c>
      <c r="Q1253" s="960">
        <f>'Part VIII-Threshold Criteria'!Q344</f>
        <v>0</v>
      </c>
    </row>
    <row r="1254" spans="1:17">
      <c r="B1254" s="953" t="s">
        <v>1987</v>
      </c>
      <c r="D1254" s="953"/>
      <c r="E1254" s="953"/>
      <c r="F1254" s="953"/>
      <c r="G1254" s="953"/>
      <c r="H1254" s="938"/>
      <c r="I1254" s="935"/>
      <c r="J1254" s="935"/>
      <c r="K1254" s="935"/>
      <c r="L1254" s="890"/>
      <c r="M1254" s="890"/>
      <c r="N1254" s="890"/>
      <c r="O1254" s="890"/>
      <c r="P1254" s="890"/>
      <c r="Q1254" s="890"/>
    </row>
    <row r="1255" spans="1:17">
      <c r="A1255" s="2129">
        <f>'Part VIII-Threshold Criteria'!A346</f>
        <v>0</v>
      </c>
      <c r="B1255" s="2129"/>
      <c r="C1255" s="2129"/>
      <c r="D1255" s="2129"/>
      <c r="E1255" s="2129"/>
      <c r="F1255" s="2129"/>
      <c r="G1255" s="2129"/>
      <c r="H1255" s="2129"/>
      <c r="I1255" s="2129"/>
      <c r="J1255" s="2129"/>
      <c r="K1255" s="2129"/>
      <c r="L1255" s="2129"/>
      <c r="M1255" s="2129"/>
      <c r="N1255" s="2129"/>
      <c r="O1255" s="2129"/>
      <c r="P1255" s="2129"/>
      <c r="Q1255" s="2129"/>
    </row>
    <row r="1256" spans="1:17">
      <c r="B1256" s="942" t="s">
        <v>1988</v>
      </c>
      <c r="C1256" s="943"/>
      <c r="D1256" s="944"/>
      <c r="E1256" s="944"/>
      <c r="F1256" s="944"/>
      <c r="G1256" s="944"/>
      <c r="H1256" s="944"/>
      <c r="I1256" s="944"/>
      <c r="J1256" s="944"/>
      <c r="K1256" s="944"/>
      <c r="L1256" s="944"/>
      <c r="M1256" s="944"/>
      <c r="N1256" s="944"/>
      <c r="O1256" s="944"/>
      <c r="P1256" s="944"/>
      <c r="Q1256" s="944"/>
    </row>
    <row r="1257" spans="1:17">
      <c r="A1257" s="2136">
        <f>'Part VIII-Threshold Criteria'!A348</f>
        <v>0</v>
      </c>
      <c r="B1257" s="2136"/>
      <c r="C1257" s="2136"/>
      <c r="D1257" s="2136"/>
      <c r="E1257" s="2136"/>
      <c r="F1257" s="2136"/>
      <c r="G1257" s="2136"/>
      <c r="H1257" s="2136"/>
      <c r="I1257" s="2136"/>
      <c r="J1257" s="2136"/>
      <c r="K1257" s="2136"/>
      <c r="L1257" s="2136"/>
      <c r="M1257" s="2136"/>
      <c r="N1257" s="2136"/>
      <c r="O1257" s="2136"/>
      <c r="P1257" s="2136"/>
      <c r="Q1257" s="2136"/>
    </row>
    <row r="1258" spans="1:17">
      <c r="A1258" s="890"/>
      <c r="B1258" s="935"/>
      <c r="C1258" s="944"/>
      <c r="D1258" s="944"/>
      <c r="E1258" s="944"/>
      <c r="F1258" s="944"/>
      <c r="G1258" s="944"/>
      <c r="H1258" s="944"/>
      <c r="I1258" s="944"/>
      <c r="J1258" s="944"/>
      <c r="K1258" s="944"/>
      <c r="L1258" s="944"/>
      <c r="M1258" s="944"/>
      <c r="Q1258" s="890"/>
    </row>
    <row r="1259" spans="1:17">
      <c r="A1259" s="885">
        <v>24</v>
      </c>
      <c r="B1259" s="586" t="s">
        <v>2860</v>
      </c>
      <c r="C1259" s="586"/>
      <c r="D1259" s="934"/>
      <c r="E1259" s="944"/>
      <c r="F1259" s="944"/>
      <c r="G1259" s="944"/>
      <c r="H1259" s="944"/>
      <c r="I1259" s="944"/>
      <c r="J1259" s="944"/>
      <c r="K1259" s="944"/>
      <c r="L1259" s="944"/>
      <c r="M1259" s="944"/>
      <c r="O1259" s="936" t="s">
        <v>1989</v>
      </c>
      <c r="P1259" s="2137">
        <f>'Part VIII-Threshold Criteria'!P350</f>
        <v>0</v>
      </c>
      <c r="Q1259" s="2137"/>
    </row>
    <row r="1260" spans="1:17">
      <c r="A1260" s="583"/>
      <c r="B1260" s="937" t="s">
        <v>2110</v>
      </c>
      <c r="C1260" s="2129" t="s">
        <v>3409</v>
      </c>
      <c r="D1260" s="2129"/>
      <c r="E1260" s="2129"/>
      <c r="F1260" s="2129"/>
      <c r="G1260" s="2129"/>
      <c r="H1260" s="2129"/>
      <c r="I1260" s="2129"/>
      <c r="J1260" s="2129"/>
      <c r="K1260" s="2129"/>
      <c r="L1260" s="2129"/>
      <c r="M1260" s="958" t="s">
        <v>2110</v>
      </c>
      <c r="N1260" s="2140" t="str">
        <f>'Part VIII-Threshold Criteria'!N351</f>
        <v>&lt;&lt;Select&gt;&gt;</v>
      </c>
      <c r="O1260" s="2140"/>
      <c r="P1260" s="2140" t="str">
        <f>'Part VIII-Threshold Criteria'!P351</f>
        <v>&lt;&lt;Select&gt;&gt;</v>
      </c>
      <c r="Q1260" s="2140"/>
    </row>
    <row r="1261" spans="1:17">
      <c r="A1261" s="583"/>
      <c r="B1261" s="940" t="s">
        <v>2113</v>
      </c>
      <c r="C1261" s="938" t="s">
        <v>1</v>
      </c>
      <c r="D1261" s="969"/>
      <c r="E1261" s="969"/>
      <c r="F1261" s="583"/>
      <c r="G1261" s="939" t="s">
        <v>2113</v>
      </c>
      <c r="H1261" s="2138">
        <f>'Part VIII-Threshold Criteria'!H352</f>
        <v>0</v>
      </c>
      <c r="I1261" s="2138"/>
      <c r="J1261" s="2138"/>
      <c r="K1261" s="2138"/>
      <c r="L1261" s="2138"/>
      <c r="M1261" s="2138"/>
      <c r="N1261" s="2138"/>
      <c r="O1261" s="2138"/>
      <c r="P1261" s="2138"/>
      <c r="Q1261" s="960">
        <f>'Part VIII-Threshold Criteria'!Q352</f>
        <v>0</v>
      </c>
    </row>
    <row r="1262" spans="1:17">
      <c r="A1262" s="583"/>
      <c r="B1262" s="940" t="s">
        <v>793</v>
      </c>
      <c r="C1262" s="938" t="s">
        <v>1501</v>
      </c>
      <c r="D1262" s="970"/>
      <c r="E1262" s="970"/>
      <c r="F1262" s="970"/>
      <c r="G1262" s="780"/>
      <c r="H1262" s="780"/>
      <c r="I1262" s="938"/>
      <c r="J1262" s="583"/>
      <c r="K1262" s="780"/>
      <c r="L1262" s="780"/>
      <c r="M1262" s="780"/>
      <c r="N1262" s="583"/>
      <c r="O1262" s="939" t="s">
        <v>793</v>
      </c>
      <c r="P1262" s="960">
        <f>'Part VIII-Threshold Criteria'!P353</f>
        <v>0</v>
      </c>
      <c r="Q1262" s="960">
        <f>'Part VIII-Threshold Criteria'!Q353</f>
        <v>0</v>
      </c>
    </row>
    <row r="1263" spans="1:17">
      <c r="B1263" s="953" t="s">
        <v>1987</v>
      </c>
      <c r="D1263" s="953"/>
      <c r="E1263" s="953"/>
      <c r="F1263" s="953"/>
      <c r="G1263" s="953"/>
      <c r="H1263" s="938"/>
      <c r="I1263" s="935"/>
      <c r="J1263" s="935"/>
      <c r="K1263" s="935"/>
      <c r="L1263" s="890"/>
      <c r="M1263" s="890"/>
      <c r="N1263" s="890"/>
      <c r="O1263" s="890"/>
      <c r="P1263" s="890"/>
      <c r="Q1263" s="890"/>
    </row>
    <row r="1264" spans="1:17">
      <c r="A1264" s="2129">
        <f>'Part VIII-Threshold Criteria'!A355</f>
        <v>0</v>
      </c>
      <c r="B1264" s="2129"/>
      <c r="C1264" s="2129"/>
      <c r="D1264" s="2129"/>
      <c r="E1264" s="2129"/>
      <c r="F1264" s="2129"/>
      <c r="G1264" s="2129"/>
      <c r="H1264" s="2129"/>
      <c r="I1264" s="2129"/>
      <c r="J1264" s="2129"/>
      <c r="K1264" s="2129"/>
      <c r="L1264" s="2129"/>
      <c r="M1264" s="2129"/>
      <c r="N1264" s="2129"/>
      <c r="O1264" s="2129"/>
      <c r="P1264" s="2129"/>
      <c r="Q1264" s="2129"/>
    </row>
    <row r="1266" spans="1:17">
      <c r="B1266" s="942" t="s">
        <v>1988</v>
      </c>
      <c r="C1266" s="943"/>
      <c r="D1266" s="944"/>
      <c r="E1266" s="944"/>
      <c r="F1266" s="944"/>
      <c r="G1266" s="944"/>
      <c r="H1266" s="944"/>
      <c r="I1266" s="944"/>
      <c r="J1266" s="944"/>
      <c r="K1266" s="944"/>
      <c r="L1266" s="944"/>
      <c r="M1266" s="944"/>
      <c r="N1266" s="944"/>
      <c r="O1266" s="944"/>
      <c r="P1266" s="944"/>
      <c r="Q1266" s="944"/>
    </row>
    <row r="1267" spans="1:17">
      <c r="A1267" s="2136">
        <f>'Part VIII-Threshold Criteria'!A358</f>
        <v>0</v>
      </c>
      <c r="B1267" s="2136"/>
      <c r="C1267" s="2136"/>
      <c r="D1267" s="2136"/>
      <c r="E1267" s="2136"/>
      <c r="F1267" s="2136"/>
      <c r="G1267" s="2136"/>
      <c r="H1267" s="2136"/>
      <c r="I1267" s="2136"/>
      <c r="J1267" s="2136"/>
      <c r="K1267" s="2136"/>
      <c r="L1267" s="2136"/>
      <c r="M1267" s="2136"/>
      <c r="N1267" s="2136"/>
      <c r="O1267" s="2136"/>
      <c r="P1267" s="2136"/>
      <c r="Q1267" s="2136"/>
    </row>
    <row r="1268" spans="1:17">
      <c r="A1268" s="890"/>
      <c r="B1268" s="935"/>
      <c r="C1268" s="944"/>
      <c r="D1268" s="944"/>
      <c r="E1268" s="944"/>
      <c r="F1268" s="944"/>
      <c r="G1268" s="944"/>
      <c r="H1268" s="944"/>
      <c r="I1268" s="944"/>
      <c r="J1268" s="944"/>
      <c r="K1268" s="944"/>
      <c r="L1268" s="944"/>
      <c r="M1268" s="944"/>
      <c r="N1268" s="944"/>
      <c r="O1268" s="944"/>
      <c r="P1268" s="944"/>
      <c r="Q1268" s="890"/>
    </row>
    <row r="1269" spans="1:17">
      <c r="A1269" s="885">
        <v>25</v>
      </c>
      <c r="B1269" s="586" t="s">
        <v>2857</v>
      </c>
      <c r="C1269" s="586"/>
      <c r="D1269" s="586"/>
      <c r="E1269" s="944"/>
      <c r="G1269" s="946" t="s">
        <v>743</v>
      </c>
      <c r="H1269" s="944"/>
      <c r="I1269" s="944"/>
      <c r="J1269" s="944"/>
      <c r="K1269" s="944"/>
      <c r="L1269" s="944"/>
      <c r="M1269" s="944"/>
      <c r="O1269" s="936" t="s">
        <v>1989</v>
      </c>
      <c r="P1269" s="2137">
        <f>'Part VIII-Threshold Criteria'!P360</f>
        <v>0</v>
      </c>
      <c r="Q1269" s="2137"/>
    </row>
    <row r="1270" spans="1:17">
      <c r="A1270" s="956"/>
      <c r="B1270" s="940" t="s">
        <v>2110</v>
      </c>
      <c r="C1270" s="584" t="s">
        <v>2864</v>
      </c>
      <c r="D1270" s="955"/>
      <c r="E1270" s="955"/>
      <c r="H1270" s="946"/>
      <c r="O1270" s="939" t="s">
        <v>2110</v>
      </c>
      <c r="P1270" s="960">
        <f>'Part VIII-Threshold Criteria'!P361</f>
        <v>0</v>
      </c>
      <c r="Q1270" s="960">
        <f>'Part VIII-Threshold Criteria'!Q361</f>
        <v>0</v>
      </c>
    </row>
    <row r="1271" spans="1:17">
      <c r="A1271" s="956"/>
      <c r="B1271" s="940" t="s">
        <v>2113</v>
      </c>
      <c r="C1271" s="584" t="s">
        <v>2865</v>
      </c>
      <c r="D1271" s="955"/>
      <c r="E1271" s="955"/>
      <c r="O1271" s="939" t="s">
        <v>2113</v>
      </c>
      <c r="P1271" s="960">
        <f>'Part VIII-Threshold Criteria'!P362</f>
        <v>0</v>
      </c>
      <c r="Q1271" s="960">
        <f>'Part VIII-Threshold Criteria'!Q362</f>
        <v>0</v>
      </c>
    </row>
    <row r="1272" spans="1:17">
      <c r="A1272" s="956"/>
      <c r="B1272" s="940" t="s">
        <v>793</v>
      </c>
      <c r="C1272" s="584" t="s">
        <v>2897</v>
      </c>
      <c r="D1272" s="955"/>
      <c r="E1272" s="955"/>
      <c r="O1272" s="939" t="s">
        <v>793</v>
      </c>
      <c r="P1272" s="960">
        <f>'Part VIII-Threshold Criteria'!P363</f>
        <v>0</v>
      </c>
      <c r="Q1272" s="960">
        <f>'Part VIII-Threshold Criteria'!Q363</f>
        <v>0</v>
      </c>
    </row>
    <row r="1273" spans="1:17">
      <c r="A1273" s="956"/>
      <c r="B1273" s="940" t="s">
        <v>2245</v>
      </c>
      <c r="C1273" s="584" t="s">
        <v>2861</v>
      </c>
      <c r="E1273" s="946"/>
      <c r="O1273" s="939" t="s">
        <v>2245</v>
      </c>
      <c r="P1273" s="960">
        <f>'Part VIII-Threshold Criteria'!P364</f>
        <v>0</v>
      </c>
      <c r="Q1273" s="960">
        <f>'Part VIII-Threshold Criteria'!Q364</f>
        <v>0</v>
      </c>
    </row>
    <row r="1274" spans="1:17">
      <c r="B1274" s="940" t="s">
        <v>1848</v>
      </c>
      <c r="C1274" s="584" t="s">
        <v>2209</v>
      </c>
      <c r="E1274" s="946"/>
      <c r="G1274" s="939" t="s">
        <v>1848</v>
      </c>
      <c r="H1274" s="2138">
        <f>'Part VIII-Threshold Criteria'!H365</f>
        <v>0</v>
      </c>
      <c r="I1274" s="2138"/>
      <c r="J1274" s="2138"/>
      <c r="K1274" s="2138"/>
      <c r="L1274" s="2138"/>
      <c r="M1274" s="2138"/>
      <c r="N1274" s="2138"/>
      <c r="O1274" s="2138"/>
      <c r="P1274" s="960">
        <f>'Part VIII-Threshold Criteria'!P365</f>
        <v>0</v>
      </c>
      <c r="Q1274" s="960">
        <f>'Part VIII-Threshold Criteria'!Q365</f>
        <v>0</v>
      </c>
    </row>
    <row r="1275" spans="1:17">
      <c r="B1275" s="953" t="s">
        <v>1987</v>
      </c>
      <c r="D1275" s="953"/>
      <c r="E1275" s="953"/>
      <c r="F1275" s="953"/>
      <c r="G1275" s="953"/>
      <c r="H1275" s="938"/>
      <c r="I1275" s="935"/>
      <c r="J1275" s="935"/>
      <c r="K1275" s="935"/>
      <c r="L1275" s="890"/>
      <c r="M1275" s="890"/>
      <c r="N1275" s="890"/>
      <c r="O1275" s="890"/>
      <c r="P1275" s="890"/>
      <c r="Q1275" s="890"/>
    </row>
    <row r="1276" spans="1:17">
      <c r="A1276" s="2129">
        <f>'Part VIII-Threshold Criteria'!A367</f>
        <v>0</v>
      </c>
      <c r="B1276" s="2129"/>
      <c r="C1276" s="2129"/>
      <c r="D1276" s="2129"/>
      <c r="E1276" s="2129"/>
      <c r="F1276" s="2129"/>
      <c r="G1276" s="2129"/>
      <c r="H1276" s="2129"/>
      <c r="I1276" s="2129"/>
      <c r="J1276" s="2129"/>
      <c r="K1276" s="2129"/>
      <c r="L1276" s="2129"/>
      <c r="M1276" s="2129"/>
      <c r="N1276" s="2129"/>
      <c r="O1276" s="2129"/>
      <c r="P1276" s="2129"/>
      <c r="Q1276" s="2129"/>
    </row>
    <row r="1277" spans="1:17">
      <c r="B1277" s="942" t="s">
        <v>1988</v>
      </c>
      <c r="C1277" s="943"/>
      <c r="D1277" s="944"/>
      <c r="E1277" s="944"/>
      <c r="F1277" s="944"/>
      <c r="G1277" s="944"/>
      <c r="H1277" s="944"/>
      <c r="I1277" s="944"/>
      <c r="J1277" s="944"/>
      <c r="K1277" s="944"/>
      <c r="L1277" s="944"/>
      <c r="M1277" s="944"/>
      <c r="N1277" s="944"/>
      <c r="O1277" s="944"/>
      <c r="P1277" s="944"/>
      <c r="Q1277" s="944"/>
    </row>
    <row r="1278" spans="1:17">
      <c r="A1278" s="2136">
        <f>'Part VIII-Threshold Criteria'!A369</f>
        <v>0</v>
      </c>
      <c r="B1278" s="2136"/>
      <c r="C1278" s="2136"/>
      <c r="D1278" s="2136"/>
      <c r="E1278" s="2136"/>
      <c r="F1278" s="2136"/>
      <c r="G1278" s="2136"/>
      <c r="H1278" s="2136"/>
      <c r="I1278" s="2136"/>
      <c r="J1278" s="2136"/>
      <c r="K1278" s="2136"/>
      <c r="L1278" s="2136"/>
      <c r="M1278" s="2136"/>
      <c r="N1278" s="2136"/>
      <c r="O1278" s="2136"/>
      <c r="P1278" s="2136"/>
      <c r="Q1278" s="2136"/>
    </row>
    <row r="1279" spans="1:17">
      <c r="A1279" s="890"/>
      <c r="B1279" s="935"/>
      <c r="C1279" s="944"/>
      <c r="D1279" s="944"/>
      <c r="E1279" s="944"/>
      <c r="F1279" s="944"/>
      <c r="G1279" s="944"/>
      <c r="H1279" s="944"/>
      <c r="I1279" s="944"/>
      <c r="J1279" s="944"/>
      <c r="K1279" s="944"/>
      <c r="L1279" s="944"/>
      <c r="M1279" s="944"/>
      <c r="N1279" s="944"/>
      <c r="O1279" s="944"/>
      <c r="P1279" s="944"/>
      <c r="Q1279" s="890"/>
    </row>
    <row r="1280" spans="1:17">
      <c r="A1280" s="885">
        <v>26</v>
      </c>
      <c r="B1280" s="586" t="s">
        <v>2858</v>
      </c>
      <c r="C1280" s="586"/>
      <c r="D1280" s="586"/>
      <c r="E1280" s="586"/>
      <c r="F1280" s="586"/>
      <c r="G1280" s="586"/>
      <c r="H1280" s="944"/>
      <c r="I1280" s="944"/>
      <c r="J1280" s="944"/>
      <c r="K1280" s="944"/>
      <c r="L1280" s="944"/>
      <c r="M1280" s="944"/>
      <c r="O1280" s="936" t="s">
        <v>1989</v>
      </c>
      <c r="P1280" s="2137">
        <f>'Part VIII-Threshold Criteria'!P371</f>
        <v>0</v>
      </c>
      <c r="Q1280" s="2137"/>
    </row>
    <row r="1281" spans="1:17">
      <c r="A1281" s="583"/>
      <c r="B1281" s="940" t="s">
        <v>2110</v>
      </c>
      <c r="C1281" s="584" t="s">
        <v>796</v>
      </c>
      <c r="D1281" s="583"/>
      <c r="E1281" s="583"/>
      <c r="F1281" s="583"/>
      <c r="G1281" s="583"/>
      <c r="H1281" s="583"/>
      <c r="I1281" s="583"/>
      <c r="J1281" s="583"/>
      <c r="K1281" s="583"/>
      <c r="L1281" s="583"/>
      <c r="M1281" s="583"/>
      <c r="N1281" s="583"/>
      <c r="O1281" s="939" t="s">
        <v>2110</v>
      </c>
      <c r="P1281" s="960" t="str">
        <f>'Part VIII-Threshold Criteria'!P372</f>
        <v>No</v>
      </c>
      <c r="Q1281" s="960">
        <f>'Part VIII-Threshold Criteria'!Q372</f>
        <v>0</v>
      </c>
    </row>
    <row r="1282" spans="1:17">
      <c r="A1282" s="583"/>
      <c r="B1282" s="940" t="s">
        <v>2113</v>
      </c>
      <c r="C1282" s="584" t="s">
        <v>2336</v>
      </c>
      <c r="D1282" s="583"/>
      <c r="E1282" s="583"/>
      <c r="F1282" s="583"/>
      <c r="G1282" s="583"/>
      <c r="H1282" s="583"/>
      <c r="I1282" s="583"/>
      <c r="J1282" s="583"/>
      <c r="K1282" s="583"/>
      <c r="L1282" s="583"/>
      <c r="M1282" s="583"/>
      <c r="N1282" s="583"/>
      <c r="O1282" s="939" t="s">
        <v>1535</v>
      </c>
      <c r="P1282" s="960" t="str">
        <f>'Part VIII-Threshold Criteria'!P373</f>
        <v>No</v>
      </c>
      <c r="Q1282" s="960">
        <f>'Part VIII-Threshold Criteria'!Q373</f>
        <v>0</v>
      </c>
    </row>
    <row r="1283" spans="1:17">
      <c r="A1283" s="583"/>
      <c r="B1283" s="940"/>
      <c r="C1283" s="584" t="s">
        <v>1577</v>
      </c>
      <c r="D1283" s="584"/>
      <c r="E1283" s="584"/>
      <c r="F1283" s="584"/>
      <c r="G1283" s="584"/>
      <c r="H1283" s="584"/>
      <c r="I1283" s="584"/>
      <c r="J1283" s="584"/>
      <c r="K1283" s="584"/>
      <c r="L1283" s="584"/>
      <c r="M1283" s="584"/>
      <c r="N1283" s="583"/>
    </row>
    <row r="1284" spans="1:17">
      <c r="A1284" s="583"/>
      <c r="B1284" s="940"/>
      <c r="C1284" s="584" t="s">
        <v>2337</v>
      </c>
      <c r="D1284" s="584"/>
      <c r="E1284" s="584"/>
      <c r="F1284" s="584"/>
      <c r="G1284" s="584"/>
      <c r="H1284" s="584"/>
      <c r="I1284" s="584"/>
      <c r="J1284" s="584"/>
      <c r="K1284" s="584"/>
      <c r="L1284" s="584"/>
      <c r="M1284" s="584"/>
      <c r="N1284" s="583"/>
      <c r="O1284" s="939" t="s">
        <v>1851</v>
      </c>
      <c r="P1284" s="960">
        <f>'Part VIII-Threshold Criteria'!P375</f>
        <v>0</v>
      </c>
      <c r="Q1284" s="960">
        <f>'Part VIII-Threshold Criteria'!Q375</f>
        <v>0</v>
      </c>
    </row>
    <row r="1285" spans="1:17">
      <c r="A1285" s="583"/>
      <c r="B1285" s="940" t="s">
        <v>793</v>
      </c>
      <c r="C1285" s="2138" t="s">
        <v>2335</v>
      </c>
      <c r="D1285" s="2138"/>
      <c r="E1285" s="2138"/>
      <c r="F1285" s="2138"/>
      <c r="G1285" s="2138"/>
      <c r="H1285" s="2138"/>
      <c r="I1285" s="2138"/>
      <c r="J1285" s="2138"/>
      <c r="K1285" s="2138"/>
      <c r="L1285" s="2138"/>
      <c r="M1285" s="2138"/>
      <c r="N1285" s="2138"/>
      <c r="O1285" s="939" t="s">
        <v>793</v>
      </c>
      <c r="P1285" s="960">
        <f>'Part VIII-Threshold Criteria'!P376</f>
        <v>0</v>
      </c>
      <c r="Q1285" s="960">
        <f>'Part VIII-Threshold Criteria'!Q376</f>
        <v>0</v>
      </c>
    </row>
    <row r="1286" spans="1:17">
      <c r="A1286" s="583"/>
      <c r="B1286" s="940" t="s">
        <v>2245</v>
      </c>
      <c r="C1286" s="938" t="s">
        <v>3107</v>
      </c>
      <c r="D1286" s="938"/>
      <c r="E1286" s="938"/>
      <c r="F1286" s="938"/>
      <c r="G1286" s="938"/>
      <c r="H1286" s="938"/>
      <c r="I1286" s="938"/>
      <c r="J1286" s="938"/>
      <c r="K1286" s="938"/>
      <c r="L1286" s="938"/>
      <c r="M1286" s="938"/>
      <c r="N1286" s="583"/>
      <c r="O1286" s="939"/>
      <c r="P1286" s="583"/>
      <c r="Q1286" s="583"/>
    </row>
    <row r="1287" spans="1:17">
      <c r="A1287" s="583"/>
      <c r="B1287" s="940"/>
      <c r="C1287" s="584" t="s">
        <v>2338</v>
      </c>
      <c r="D1287" s="584"/>
      <c r="E1287" s="583"/>
      <c r="F1287" s="938"/>
      <c r="G1287" s="783">
        <f>'Part VIII-Threshold Criteria'!G378</f>
        <v>0</v>
      </c>
      <c r="H1287" s="783" t="str">
        <f>'Part VIII-Threshold Criteria'!H378</f>
        <v xml:space="preserve"> </v>
      </c>
      <c r="J1287" s="584" t="s">
        <v>2341</v>
      </c>
      <c r="K1287" s="938"/>
      <c r="N1287" s="783">
        <f>'Part VIII-Threshold Criteria'!N378</f>
        <v>0</v>
      </c>
      <c r="O1287" s="783" t="str">
        <f>'Part VIII-Threshold Criteria'!O378</f>
        <v xml:space="preserve"> </v>
      </c>
    </row>
    <row r="1288" spans="1:17">
      <c r="A1288" s="583"/>
      <c r="B1288" s="940"/>
      <c r="C1288" s="584" t="s">
        <v>2339</v>
      </c>
      <c r="D1288" s="584"/>
      <c r="E1288" s="583"/>
      <c r="F1288" s="938"/>
      <c r="G1288" s="783">
        <f>'Part VIII-Threshold Criteria'!G379</f>
        <v>0</v>
      </c>
      <c r="H1288" s="783">
        <f>'Part VIII-Threshold Criteria'!H379</f>
        <v>0</v>
      </c>
      <c r="J1288" s="584" t="s">
        <v>2342</v>
      </c>
      <c r="K1288" s="938"/>
      <c r="N1288" s="783">
        <f>'Part VIII-Threshold Criteria'!N379</f>
        <v>0</v>
      </c>
      <c r="O1288" s="783">
        <f>'Part VIII-Threshold Criteria'!O379</f>
        <v>0</v>
      </c>
    </row>
    <row r="1289" spans="1:17">
      <c r="A1289" s="583"/>
      <c r="B1289" s="940"/>
      <c r="C1289" s="584" t="s">
        <v>2340</v>
      </c>
      <c r="D1289" s="584"/>
      <c r="E1289" s="583"/>
      <c r="F1289" s="938"/>
      <c r="G1289" s="783">
        <f>'Part VIII-Threshold Criteria'!G380</f>
        <v>0</v>
      </c>
      <c r="H1289" s="783" t="str">
        <f>'Part VIII-Threshold Criteria'!H380</f>
        <v xml:space="preserve"> </v>
      </c>
      <c r="K1289" s="938"/>
      <c r="L1289" s="938"/>
      <c r="M1289" s="938"/>
      <c r="N1289" s="583"/>
      <c r="O1289" s="939"/>
    </row>
    <row r="1290" spans="1:17">
      <c r="A1290" s="583"/>
      <c r="B1290" s="940" t="s">
        <v>1848</v>
      </c>
      <c r="C1290" s="938" t="s">
        <v>2533</v>
      </c>
      <c r="D1290" s="938"/>
      <c r="E1290" s="938"/>
      <c r="F1290" s="938"/>
      <c r="G1290" s="938"/>
      <c r="J1290" s="583"/>
      <c r="K1290" s="938"/>
      <c r="L1290" s="938"/>
      <c r="M1290" s="938"/>
      <c r="N1290" s="583"/>
      <c r="O1290" s="939"/>
      <c r="P1290" s="939"/>
      <c r="Q1290" s="939"/>
    </row>
    <row r="1291" spans="1:17">
      <c r="A1291" s="583"/>
      <c r="B1291" s="940"/>
      <c r="C1291" s="566" t="s">
        <v>2343</v>
      </c>
      <c r="D1291" s="938"/>
      <c r="E1291" s="938"/>
      <c r="F1291" s="938"/>
      <c r="G1291" s="783">
        <f>'Part VIII-Threshold Criteria'!G382</f>
        <v>0</v>
      </c>
      <c r="H1291" s="783">
        <f>'Part VIII-Threshold Criteria'!H382</f>
        <v>0</v>
      </c>
      <c r="J1291" s="566" t="s">
        <v>1247</v>
      </c>
      <c r="K1291" s="938"/>
      <c r="N1291" s="783">
        <f>'Part VIII-Threshold Criteria'!N382</f>
        <v>0</v>
      </c>
      <c r="O1291" s="783">
        <f>'Part VIII-Threshold Criteria'!O382</f>
        <v>0</v>
      </c>
    </row>
    <row r="1292" spans="1:17">
      <c r="A1292" s="583"/>
      <c r="B1292" s="940"/>
      <c r="C1292" s="566" t="s">
        <v>1246</v>
      </c>
      <c r="D1292" s="938"/>
      <c r="E1292" s="938"/>
      <c r="F1292" s="938"/>
      <c r="G1292" s="783">
        <f>'Part VIII-Threshold Criteria'!G383</f>
        <v>0</v>
      </c>
      <c r="H1292" s="783">
        <f>'Part VIII-Threshold Criteria'!H383</f>
        <v>0</v>
      </c>
      <c r="J1292" s="566" t="s">
        <v>2393</v>
      </c>
      <c r="N1292" s="2139">
        <f>'Part VIII-Threshold Criteria'!N383</f>
        <v>0</v>
      </c>
      <c r="O1292" s="2139"/>
      <c r="P1292" s="2139"/>
      <c r="Q1292" s="2139"/>
    </row>
    <row r="1293" spans="1:17">
      <c r="B1293" s="953" t="s">
        <v>1987</v>
      </c>
      <c r="D1293" s="953"/>
      <c r="E1293" s="953"/>
      <c r="F1293" s="953"/>
      <c r="G1293" s="953"/>
      <c r="H1293" s="938"/>
      <c r="I1293" s="935"/>
      <c r="J1293" s="935"/>
      <c r="K1293" s="935"/>
      <c r="P1293" s="890"/>
      <c r="Q1293" s="890"/>
    </row>
    <row r="1294" spans="1:17">
      <c r="A1294" s="2129" t="str">
        <f>'Part VIII-Threshold Criteria'!A385</f>
        <v xml:space="preserve">The project is not displacing or relocating and tenants. </v>
      </c>
      <c r="B1294" s="2129"/>
      <c r="C1294" s="2129"/>
      <c r="D1294" s="2129"/>
      <c r="E1294" s="2129"/>
      <c r="F1294" s="2129"/>
      <c r="G1294" s="2129"/>
      <c r="H1294" s="2129"/>
      <c r="I1294" s="2129"/>
      <c r="J1294" s="2129"/>
      <c r="K1294" s="2129"/>
      <c r="L1294" s="2129"/>
      <c r="M1294" s="2129"/>
      <c r="N1294" s="2129"/>
      <c r="O1294" s="2129"/>
      <c r="P1294" s="2129"/>
      <c r="Q1294" s="2129"/>
    </row>
    <row r="1295" spans="1:17">
      <c r="B1295" s="942" t="s">
        <v>1988</v>
      </c>
      <c r="C1295" s="943"/>
      <c r="D1295" s="944"/>
      <c r="E1295" s="944"/>
      <c r="F1295" s="944"/>
      <c r="G1295" s="944"/>
      <c r="H1295" s="944"/>
      <c r="I1295" s="944"/>
      <c r="J1295" s="944"/>
      <c r="K1295" s="944"/>
      <c r="L1295" s="944"/>
      <c r="M1295" s="944"/>
      <c r="N1295" s="944"/>
      <c r="O1295" s="944"/>
      <c r="P1295" s="944"/>
      <c r="Q1295" s="944"/>
    </row>
    <row r="1296" spans="1:17">
      <c r="A1296" s="2136">
        <f>'Part VIII-Threshold Criteria'!A387</f>
        <v>0</v>
      </c>
      <c r="B1296" s="2136"/>
      <c r="C1296" s="2136"/>
      <c r="D1296" s="2136"/>
      <c r="E1296" s="2136"/>
      <c r="F1296" s="2136"/>
      <c r="G1296" s="2136"/>
      <c r="H1296" s="2136"/>
      <c r="I1296" s="2136"/>
      <c r="J1296" s="2136"/>
      <c r="K1296" s="2136"/>
      <c r="L1296" s="2136"/>
      <c r="M1296" s="2136"/>
      <c r="N1296" s="2136"/>
      <c r="O1296" s="2136"/>
      <c r="P1296" s="2136"/>
      <c r="Q1296" s="2136"/>
    </row>
    <row r="1297" spans="1:17">
      <c r="A1297" s="890"/>
      <c r="B1297" s="935"/>
      <c r="C1297" s="944"/>
      <c r="D1297" s="944"/>
      <c r="E1297" s="944"/>
      <c r="F1297" s="944"/>
      <c r="G1297" s="944"/>
      <c r="H1297" s="944"/>
      <c r="I1297" s="944"/>
      <c r="J1297" s="944"/>
      <c r="K1297" s="944"/>
      <c r="L1297" s="944"/>
      <c r="M1297" s="944"/>
      <c r="Q1297" s="890"/>
    </row>
    <row r="1298" spans="1:17">
      <c r="A1298" s="885">
        <v>27</v>
      </c>
      <c r="B1298" s="586" t="s">
        <v>3108</v>
      </c>
      <c r="C1298" s="586"/>
      <c r="D1298" s="934"/>
      <c r="E1298" s="944"/>
      <c r="F1298" s="944"/>
      <c r="G1298" s="944"/>
      <c r="H1298" s="944"/>
      <c r="O1298" s="936" t="s">
        <v>1989</v>
      </c>
      <c r="P1298" s="2137">
        <f>'Part VIII-Threshold Criteria'!P389</f>
        <v>0</v>
      </c>
      <c r="Q1298" s="2137"/>
    </row>
    <row r="1299" spans="1:17">
      <c r="A1299" s="957"/>
      <c r="B1299" s="937" t="s">
        <v>2110</v>
      </c>
      <c r="C1299" s="2135" t="s">
        <v>3109</v>
      </c>
      <c r="D1299" s="2135"/>
      <c r="E1299" s="2135"/>
      <c r="F1299" s="2135"/>
      <c r="G1299" s="2135"/>
      <c r="H1299" s="2135"/>
      <c r="I1299" s="2135"/>
      <c r="J1299" s="2135"/>
      <c r="K1299" s="2135"/>
      <c r="L1299" s="2135"/>
      <c r="M1299" s="2135"/>
      <c r="N1299" s="2135"/>
      <c r="O1299" s="958" t="s">
        <v>2110</v>
      </c>
      <c r="P1299" s="960" t="str">
        <f>'Part VIII-Threshold Criteria'!P390</f>
        <v>Agree</v>
      </c>
      <c r="Q1299" s="960">
        <f>'Part VIII-Threshold Criteria'!Q390</f>
        <v>0</v>
      </c>
    </row>
    <row r="1300" spans="1:17">
      <c r="A1300" s="957"/>
      <c r="B1300" s="937" t="s">
        <v>2113</v>
      </c>
      <c r="C1300" s="2135" t="s">
        <v>3110</v>
      </c>
      <c r="D1300" s="2135"/>
      <c r="E1300" s="2135"/>
      <c r="F1300" s="2135"/>
      <c r="G1300" s="2135"/>
      <c r="H1300" s="2135"/>
      <c r="I1300" s="2135"/>
      <c r="J1300" s="2135"/>
      <c r="K1300" s="2135"/>
      <c r="L1300" s="2135"/>
      <c r="M1300" s="2135"/>
      <c r="N1300" s="2135"/>
      <c r="O1300" s="958" t="s">
        <v>2113</v>
      </c>
      <c r="P1300" s="960" t="str">
        <f>'Part VIII-Threshold Criteria'!P391</f>
        <v>Agree</v>
      </c>
      <c r="Q1300" s="960">
        <f>'Part VIII-Threshold Criteria'!Q391</f>
        <v>0</v>
      </c>
    </row>
    <row r="1301" spans="1:17">
      <c r="A1301" s="957"/>
      <c r="B1301" s="937" t="s">
        <v>793</v>
      </c>
      <c r="C1301" s="2135" t="s">
        <v>3111</v>
      </c>
      <c r="D1301" s="2135"/>
      <c r="E1301" s="2135"/>
      <c r="F1301" s="2135"/>
      <c r="G1301" s="2135"/>
      <c r="H1301" s="2135"/>
      <c r="I1301" s="2135"/>
      <c r="J1301" s="2135"/>
      <c r="K1301" s="2135"/>
      <c r="L1301" s="2135"/>
      <c r="M1301" s="2135"/>
      <c r="N1301" s="2135"/>
      <c r="O1301" s="958" t="s">
        <v>793</v>
      </c>
      <c r="P1301" s="960" t="str">
        <f>'Part VIII-Threshold Criteria'!P392</f>
        <v>Agree</v>
      </c>
      <c r="Q1301" s="960">
        <f>'Part VIII-Threshold Criteria'!Q392</f>
        <v>0</v>
      </c>
    </row>
    <row r="1302" spans="1:17">
      <c r="A1302" s="957"/>
      <c r="B1302" s="937" t="s">
        <v>2245</v>
      </c>
      <c r="C1302" s="2135" t="s">
        <v>3112</v>
      </c>
      <c r="D1302" s="2135"/>
      <c r="E1302" s="2135"/>
      <c r="F1302" s="2135"/>
      <c r="G1302" s="2135"/>
      <c r="H1302" s="2135"/>
      <c r="I1302" s="2135"/>
      <c r="J1302" s="2135"/>
      <c r="K1302" s="2135"/>
      <c r="L1302" s="2135"/>
      <c r="M1302" s="2135"/>
      <c r="N1302" s="2135"/>
      <c r="O1302" s="958" t="s">
        <v>2245</v>
      </c>
      <c r="P1302" s="960" t="str">
        <f>'Part VIII-Threshold Criteria'!P393</f>
        <v>Agree</v>
      </c>
      <c r="Q1302" s="960">
        <f>'Part VIII-Threshold Criteria'!Q393</f>
        <v>0</v>
      </c>
    </row>
    <row r="1303" spans="1:17">
      <c r="A1303" s="957"/>
      <c r="B1303" s="937" t="s">
        <v>1848</v>
      </c>
      <c r="C1303" s="2135" t="s">
        <v>3113</v>
      </c>
      <c r="D1303" s="2135"/>
      <c r="E1303" s="2135"/>
      <c r="F1303" s="2135"/>
      <c r="G1303" s="2135"/>
      <c r="H1303" s="2135"/>
      <c r="I1303" s="2135"/>
      <c r="J1303" s="2135"/>
      <c r="K1303" s="2135"/>
      <c r="L1303" s="2135"/>
      <c r="M1303" s="2135"/>
      <c r="N1303" s="2135"/>
      <c r="O1303" s="958" t="s">
        <v>1848</v>
      </c>
      <c r="P1303" s="960" t="str">
        <f>'Part VIII-Threshold Criteria'!P394</f>
        <v>Agree</v>
      </c>
      <c r="Q1303" s="960">
        <f>'Part VIII-Threshold Criteria'!Q394</f>
        <v>0</v>
      </c>
    </row>
    <row r="1304" spans="1:17">
      <c r="A1304" s="957"/>
      <c r="B1304" s="937" t="s">
        <v>1849</v>
      </c>
      <c r="C1304" s="2135" t="s">
        <v>3114</v>
      </c>
      <c r="D1304" s="2135"/>
      <c r="E1304" s="2135"/>
      <c r="F1304" s="2135"/>
      <c r="G1304" s="2135"/>
      <c r="H1304" s="2135"/>
      <c r="I1304" s="2135"/>
      <c r="J1304" s="2135"/>
      <c r="K1304" s="2135"/>
      <c r="L1304" s="2135"/>
      <c r="M1304" s="2135"/>
      <c r="N1304" s="2135"/>
      <c r="O1304" s="958" t="s">
        <v>1849</v>
      </c>
      <c r="P1304" s="960" t="str">
        <f>'Part VIII-Threshold Criteria'!P395</f>
        <v>Agree</v>
      </c>
      <c r="Q1304" s="960">
        <f>'Part VIII-Threshold Criteria'!Q395</f>
        <v>0</v>
      </c>
    </row>
    <row r="1305" spans="1:17">
      <c r="A1305" s="957"/>
      <c r="B1305" s="937" t="s">
        <v>2073</v>
      </c>
      <c r="C1305" s="2135" t="s">
        <v>2893</v>
      </c>
      <c r="D1305" s="2135"/>
      <c r="E1305" s="2135"/>
      <c r="F1305" s="2135"/>
      <c r="G1305" s="2135"/>
      <c r="H1305" s="2135"/>
      <c r="I1305" s="2135"/>
      <c r="J1305" s="2135"/>
      <c r="K1305" s="2135"/>
      <c r="L1305" s="2135"/>
      <c r="M1305" s="2135"/>
      <c r="N1305" s="2135"/>
      <c r="O1305" s="958" t="s">
        <v>2073</v>
      </c>
      <c r="P1305" s="960" t="str">
        <f>'Part VIII-Threshold Criteria'!P396</f>
        <v>Agree</v>
      </c>
      <c r="Q1305" s="960">
        <f>'Part VIII-Threshold Criteria'!Q396</f>
        <v>0</v>
      </c>
    </row>
    <row r="1306" spans="1:17">
      <c r="B1306" s="953" t="s">
        <v>1987</v>
      </c>
      <c r="D1306" s="953"/>
      <c r="E1306" s="953"/>
      <c r="F1306" s="953"/>
      <c r="G1306" s="953"/>
      <c r="H1306" s="938"/>
      <c r="I1306" s="935"/>
      <c r="J1306" s="935"/>
      <c r="K1306" s="935"/>
      <c r="L1306" s="890"/>
      <c r="M1306" s="890"/>
      <c r="N1306" s="890"/>
      <c r="O1306" s="890"/>
      <c r="P1306" s="890"/>
      <c r="Q1306" s="890"/>
    </row>
    <row r="1307" spans="1:17">
      <c r="A1307" s="2129" t="str">
        <f>'Part VIII-Threshold Criteria'!A398</f>
        <v xml:space="preserve">Applicant agrees to all AFFH. </v>
      </c>
      <c r="B1307" s="2129"/>
      <c r="C1307" s="2129"/>
      <c r="D1307" s="2129"/>
      <c r="E1307" s="2129"/>
      <c r="F1307" s="2129"/>
      <c r="G1307" s="2129"/>
      <c r="H1307" s="2129"/>
      <c r="I1307" s="2129"/>
      <c r="J1307" s="2129"/>
      <c r="K1307" s="2129"/>
      <c r="L1307" s="2129"/>
      <c r="M1307" s="2129"/>
      <c r="N1307" s="2129"/>
      <c r="O1307" s="2129"/>
      <c r="P1307" s="2129"/>
      <c r="Q1307" s="2129"/>
    </row>
    <row r="1308" spans="1:17">
      <c r="B1308" s="942" t="s">
        <v>1988</v>
      </c>
      <c r="C1308" s="943"/>
      <c r="D1308" s="944"/>
      <c r="E1308" s="944"/>
      <c r="F1308" s="944"/>
      <c r="G1308" s="944"/>
      <c r="H1308" s="944"/>
      <c r="I1308" s="944"/>
      <c r="J1308" s="944"/>
      <c r="K1308" s="944"/>
      <c r="L1308" s="944"/>
      <c r="M1308" s="944"/>
      <c r="N1308" s="944"/>
      <c r="O1308" s="944"/>
      <c r="P1308" s="944"/>
      <c r="Q1308" s="944"/>
    </row>
    <row r="1309" spans="1:17">
      <c r="A1309" s="2136">
        <f>'Part VIII-Threshold Criteria'!A400</f>
        <v>0</v>
      </c>
      <c r="B1309" s="2136"/>
      <c r="C1309" s="2136"/>
      <c r="D1309" s="2136"/>
      <c r="E1309" s="2136"/>
      <c r="F1309" s="2136"/>
      <c r="G1309" s="2136"/>
      <c r="H1309" s="2136"/>
      <c r="I1309" s="2136"/>
      <c r="J1309" s="2136"/>
      <c r="K1309" s="2136"/>
      <c r="L1309" s="2136"/>
      <c r="M1309" s="2136"/>
      <c r="N1309" s="2136"/>
      <c r="O1309" s="2136"/>
      <c r="P1309" s="2136"/>
      <c r="Q1309" s="2136"/>
    </row>
    <row r="1310" spans="1:17">
      <c r="A1310" s="890"/>
      <c r="B1310" s="935"/>
      <c r="C1310" s="944"/>
      <c r="D1310" s="944"/>
      <c r="E1310" s="944"/>
      <c r="F1310" s="944"/>
      <c r="G1310" s="944"/>
      <c r="H1310" s="944"/>
      <c r="I1310" s="944"/>
      <c r="J1310" s="944"/>
      <c r="K1310" s="944"/>
      <c r="L1310" s="944"/>
      <c r="M1310" s="944"/>
      <c r="Q1310" s="890"/>
    </row>
    <row r="1311" spans="1:17">
      <c r="A1311" s="885">
        <v>28</v>
      </c>
      <c r="B1311" s="586" t="s">
        <v>2859</v>
      </c>
      <c r="C1311" s="586"/>
      <c r="D1311" s="934"/>
      <c r="E1311" s="944"/>
      <c r="F1311" s="944"/>
      <c r="G1311" s="944"/>
      <c r="H1311" s="944"/>
      <c r="I1311" s="944"/>
      <c r="J1311" s="944"/>
      <c r="K1311" s="944"/>
      <c r="L1311" s="944"/>
      <c r="M1311" s="944"/>
      <c r="O1311" s="936" t="s">
        <v>1989</v>
      </c>
      <c r="P1311" s="2137">
        <f>'Part VIII-Threshold Criteria'!P402</f>
        <v>0</v>
      </c>
      <c r="Q1311" s="2137"/>
    </row>
    <row r="1312" spans="1:17">
      <c r="A1312" s="885"/>
      <c r="B1312" s="953" t="s">
        <v>1987</v>
      </c>
      <c r="D1312" s="953"/>
      <c r="E1312" s="953"/>
      <c r="F1312" s="953"/>
      <c r="G1312" s="953"/>
      <c r="H1312" s="938"/>
      <c r="I1312" s="935"/>
      <c r="J1312" s="935"/>
      <c r="K1312" s="935"/>
      <c r="L1312" s="890"/>
      <c r="M1312" s="890"/>
      <c r="N1312" s="890"/>
      <c r="O1312" s="890"/>
      <c r="P1312" s="890"/>
      <c r="Q1312" s="890"/>
    </row>
    <row r="1313" spans="1:21">
      <c r="A1313" s="2129" t="str">
        <f>'Part VIII-Threshold Criteria'!A404</f>
        <v xml:space="preserve">We used the gap calculation to verify the optimal utilization of recources and the project is not over sourced. </v>
      </c>
      <c r="B1313" s="2129"/>
      <c r="C1313" s="2129"/>
      <c r="D1313" s="2129"/>
      <c r="E1313" s="2129"/>
      <c r="F1313" s="2129"/>
      <c r="G1313" s="2129"/>
      <c r="H1313" s="2129"/>
      <c r="I1313" s="2129"/>
      <c r="J1313" s="2129"/>
      <c r="K1313" s="2129"/>
      <c r="L1313" s="2129"/>
      <c r="M1313" s="2129"/>
      <c r="N1313" s="2129"/>
      <c r="O1313" s="2129"/>
      <c r="P1313" s="2129"/>
      <c r="Q1313" s="2129"/>
    </row>
    <row r="1314" spans="1:21">
      <c r="B1314" s="942" t="s">
        <v>1988</v>
      </c>
      <c r="C1314" s="943"/>
      <c r="D1314" s="944"/>
      <c r="E1314" s="944"/>
      <c r="F1314" s="944"/>
      <c r="G1314" s="944"/>
      <c r="H1314" s="944"/>
      <c r="I1314" s="944"/>
      <c r="J1314" s="944"/>
      <c r="K1314" s="944"/>
      <c r="L1314" s="944"/>
      <c r="M1314" s="944"/>
      <c r="N1314" s="944"/>
      <c r="O1314" s="944"/>
      <c r="P1314" s="944"/>
      <c r="Q1314" s="944"/>
    </row>
    <row r="1315" spans="1:21">
      <c r="A1315" s="2136">
        <f>'Part VIII-Threshold Criteria'!A406</f>
        <v>0</v>
      </c>
      <c r="B1315" s="2136"/>
      <c r="C1315" s="2136"/>
      <c r="D1315" s="2136"/>
      <c r="E1315" s="2136"/>
      <c r="F1315" s="2136"/>
      <c r="G1315" s="2136"/>
      <c r="H1315" s="2136"/>
      <c r="I1315" s="2136"/>
      <c r="J1315" s="2136"/>
      <c r="K1315" s="2136"/>
      <c r="L1315" s="2136"/>
      <c r="M1315" s="2136"/>
      <c r="N1315" s="2136"/>
      <c r="O1315" s="2136"/>
      <c r="P1315" s="2136"/>
      <c r="Q1315" s="2136"/>
    </row>
    <row r="1319" spans="1:21">
      <c r="A1319" s="2153" t="str">
        <f>CONCATENATE("PART NINE - SCORING CRITERIA","  -  ",'Part I-Project Information'!$O$4," ",'Part I-Project Information'!$F$23,", ",'Part I-Project Information'!F1345,", ",'Part I-Project Information'!J1346," County")</f>
        <v>PART NINE - SCORING CRITERIA  -  2014-028 Highland Estates, ,  County</v>
      </c>
      <c r="B1319" s="2153"/>
      <c r="C1319" s="2153"/>
      <c r="D1319" s="2153"/>
      <c r="E1319" s="2153"/>
      <c r="F1319" s="2153"/>
      <c r="G1319" s="2153"/>
      <c r="H1319" s="2153"/>
      <c r="I1319" s="2153"/>
      <c r="J1319" s="2153"/>
      <c r="K1319" s="2153"/>
      <c r="L1319" s="2153"/>
      <c r="M1319" s="2153"/>
      <c r="N1319" s="2153"/>
      <c r="O1319" s="2153"/>
      <c r="P1319" s="2153"/>
    </row>
    <row r="1320" spans="1:21">
      <c r="A1320" s="584"/>
      <c r="B1320" s="584"/>
      <c r="C1320" s="971"/>
      <c r="D1320" s="584"/>
      <c r="E1320" s="584"/>
      <c r="F1320" s="584"/>
      <c r="G1320" s="584"/>
      <c r="H1320" s="584"/>
      <c r="I1320" s="584"/>
      <c r="J1320" s="584"/>
      <c r="K1320" s="584"/>
      <c r="L1320" s="584"/>
      <c r="M1320" s="935"/>
      <c r="N1320" s="780"/>
      <c r="O1320" s="888"/>
      <c r="P1320" s="888"/>
    </row>
    <row r="1321" spans="1:21">
      <c r="A1321" s="583"/>
      <c r="B1321" s="584"/>
      <c r="C1321" s="584"/>
      <c r="D1321" s="584"/>
      <c r="E1321" s="584"/>
      <c r="F1321" s="584"/>
      <c r="G1321" s="584"/>
      <c r="H1321" s="584"/>
      <c r="I1321" s="584"/>
      <c r="J1321" s="584"/>
      <c r="K1321" s="583"/>
      <c r="M1321" s="972" t="s">
        <v>2356</v>
      </c>
      <c r="N1321" s="780"/>
      <c r="O1321" s="888" t="s">
        <v>2355</v>
      </c>
      <c r="P1321" s="786" t="s">
        <v>270</v>
      </c>
      <c r="U1321" s="888" t="s">
        <v>2355</v>
      </c>
    </row>
    <row r="1322" spans="1:21" ht="14.25">
      <c r="A1322" s="583"/>
      <c r="B1322" s="583"/>
      <c r="C1322" s="583"/>
      <c r="D1322" s="583"/>
      <c r="E1322" s="583"/>
      <c r="F1322" s="583"/>
      <c r="G1322" s="583"/>
      <c r="H1322" s="583"/>
      <c r="I1322" s="583"/>
      <c r="J1322" s="583"/>
      <c r="K1322" s="583"/>
      <c r="L1322" s="973"/>
      <c r="M1322" s="972" t="s">
        <v>96</v>
      </c>
      <c r="N1322" s="586"/>
      <c r="O1322" s="888" t="s">
        <v>2356</v>
      </c>
      <c r="P1322" s="786" t="s">
        <v>2356</v>
      </c>
      <c r="Q1322" s="973"/>
      <c r="U1322" s="888" t="s">
        <v>2356</v>
      </c>
    </row>
    <row r="1323" spans="1:21" ht="14.25">
      <c r="A1323" s="583"/>
      <c r="B1323" s="583"/>
      <c r="C1323" s="583"/>
      <c r="D1323" s="583"/>
      <c r="E1323" s="583"/>
      <c r="F1323" s="583"/>
      <c r="G1323" s="583"/>
      <c r="H1323" s="583"/>
      <c r="I1323" s="583"/>
      <c r="J1323" s="583"/>
      <c r="K1323" s="583"/>
      <c r="L1323" s="973"/>
      <c r="M1323" s="972"/>
      <c r="N1323" s="586"/>
      <c r="O1323" s="888"/>
      <c r="P1323" s="786"/>
      <c r="Q1323" s="973"/>
      <c r="U1323" s="888" t="s">
        <v>3349</v>
      </c>
    </row>
    <row r="1324" spans="1:21" ht="15.75">
      <c r="A1324" s="583"/>
      <c r="B1324" s="583"/>
      <c r="C1324" s="583"/>
      <c r="D1324" s="583"/>
      <c r="E1324" s="583"/>
      <c r="F1324" s="583"/>
      <c r="G1324" s="583"/>
      <c r="H1324" s="973"/>
      <c r="I1324" s="583"/>
      <c r="J1324" s="583"/>
      <c r="K1324" s="973"/>
      <c r="L1324" s="974" t="s">
        <v>1297</v>
      </c>
      <c r="M1324" s="975">
        <f>M1670</f>
        <v>87</v>
      </c>
      <c r="N1324" s="916"/>
      <c r="O1324" s="975">
        <f>O1670</f>
        <v>54</v>
      </c>
      <c r="P1324" s="975">
        <f>P1670</f>
        <v>10</v>
      </c>
      <c r="Q1324" s="973"/>
      <c r="U1324" s="975">
        <f>U1670</f>
        <v>54</v>
      </c>
    </row>
    <row r="1325" spans="1:21" ht="14.25">
      <c r="A1325" s="583"/>
      <c r="B1325" s="583"/>
      <c r="C1325" s="583"/>
      <c r="D1325" s="583"/>
      <c r="E1325" s="583"/>
      <c r="F1325" s="583"/>
      <c r="G1325" s="583"/>
      <c r="H1325" s="583"/>
      <c r="I1325" s="583"/>
      <c r="J1325" s="583"/>
      <c r="K1325" s="583"/>
      <c r="L1325" s="973"/>
      <c r="M1325" s="972"/>
      <c r="N1325" s="586"/>
      <c r="O1325" s="888"/>
      <c r="P1325" s="786"/>
      <c r="Q1325" s="973"/>
      <c r="U1325" s="888"/>
    </row>
    <row r="1326" spans="1:21">
      <c r="A1326" s="976" t="s">
        <v>2114</v>
      </c>
      <c r="B1326" s="977" t="s">
        <v>3061</v>
      </c>
      <c r="C1326" s="586"/>
      <c r="D1326" s="586"/>
      <c r="E1326" s="586"/>
      <c r="F1326" s="586"/>
      <c r="G1326" s="583"/>
      <c r="H1326" s="941" t="s">
        <v>1722</v>
      </c>
      <c r="I1326" s="583"/>
      <c r="J1326" s="583"/>
      <c r="K1326" s="583"/>
      <c r="L1326" s="583"/>
      <c r="M1326" s="888">
        <v>10</v>
      </c>
      <c r="N1326" s="978"/>
      <c r="O1326" s="975">
        <f>MIN($M1326, $M1326-O1328-O1330-O1329)</f>
        <v>10</v>
      </c>
      <c r="P1326" s="975">
        <f>MIN($M1326, $M1326-P1328-P1330-P1329)</f>
        <v>10</v>
      </c>
      <c r="Q1326" s="888" t="s">
        <v>461</v>
      </c>
      <c r="U1326" s="975">
        <f>'Part IX A-Scoring Criteria'!O8</f>
        <v>10</v>
      </c>
    </row>
    <row r="1327" spans="1:21" ht="15">
      <c r="A1327" s="583"/>
      <c r="B1327" s="940"/>
      <c r="C1327" s="584"/>
      <c r="D1327" s="587"/>
      <c r="E1327" s="587"/>
      <c r="F1327" s="587"/>
      <c r="G1327" s="587"/>
      <c r="H1327" s="587"/>
      <c r="I1327" s="587"/>
      <c r="J1327" s="587"/>
      <c r="K1327" s="587"/>
      <c r="L1327" s="583"/>
      <c r="M1327" s="780"/>
      <c r="N1327" s="784"/>
      <c r="O1327" s="975"/>
      <c r="P1327" s="888"/>
      <c r="Q1327" s="979"/>
    </row>
    <row r="1328" spans="1:21">
      <c r="A1328" s="947" t="s">
        <v>2110</v>
      </c>
      <c r="B1328" s="887" t="s">
        <v>1990</v>
      </c>
      <c r="C1328" s="583"/>
      <c r="D1328" s="587"/>
      <c r="E1328" s="587"/>
      <c r="F1328" s="935" t="s">
        <v>2756</v>
      </c>
      <c r="G1328" s="938">
        <f>F1334</f>
        <v>0</v>
      </c>
      <c r="H1328" s="807" t="s">
        <v>3274</v>
      </c>
      <c r="I1328" s="583"/>
      <c r="J1328" s="583"/>
      <c r="K1328" s="583"/>
      <c r="L1328" s="583"/>
      <c r="M1328" s="780"/>
      <c r="N1328" s="939" t="s">
        <v>2110</v>
      </c>
      <c r="O1328" s="975">
        <f>'Part IX A-Scoring Criteria'!O10</f>
        <v>0</v>
      </c>
      <c r="P1328" s="975">
        <f>'Part IX A-Scoring Criteria'!P10</f>
        <v>0</v>
      </c>
      <c r="Q1328" s="583"/>
    </row>
    <row r="1329" spans="1:17" ht="15">
      <c r="A1329" s="947"/>
      <c r="B1329" s="587" t="s">
        <v>2243</v>
      </c>
      <c r="C1329" s="979"/>
      <c r="D1329" s="587"/>
      <c r="E1329" s="587"/>
      <c r="F1329" s="935" t="s">
        <v>2756</v>
      </c>
      <c r="G1329" s="938">
        <f>P1334</f>
        <v>0</v>
      </c>
      <c r="H1329" s="807" t="s">
        <v>3034</v>
      </c>
      <c r="I1329" s="979"/>
      <c r="J1329" s="941"/>
      <c r="K1329" s="979"/>
      <c r="L1329" s="979"/>
      <c r="M1329" s="780">
        <v>1</v>
      </c>
      <c r="N1329" s="939"/>
      <c r="O1329" s="975">
        <f>'Part IX A-Scoring Criteria'!O11</f>
        <v>0</v>
      </c>
      <c r="P1329" s="975">
        <f>'Part IX A-Scoring Criteria'!P11</f>
        <v>0</v>
      </c>
      <c r="Q1329" s="979"/>
    </row>
    <row r="1330" spans="1:17">
      <c r="A1330" s="947" t="s">
        <v>2113</v>
      </c>
      <c r="B1330" s="887" t="s">
        <v>770</v>
      </c>
      <c r="C1330" s="583"/>
      <c r="D1330" s="587"/>
      <c r="E1330" s="587"/>
      <c r="F1330" s="935" t="s">
        <v>2756</v>
      </c>
      <c r="G1330" s="938">
        <f>K1334</f>
        <v>0</v>
      </c>
      <c r="H1330" s="807" t="s">
        <v>3410</v>
      </c>
      <c r="I1330" s="583"/>
      <c r="J1330" s="941"/>
      <c r="K1330" s="583"/>
      <c r="L1330" s="583"/>
      <c r="M1330" s="780"/>
      <c r="N1330" s="939" t="s">
        <v>2113</v>
      </c>
      <c r="O1330" s="975">
        <f>'Part IX A-Scoring Criteria'!O12</f>
        <v>0</v>
      </c>
      <c r="P1330" s="975">
        <f>'Part IX A-Scoring Criteria'!P12</f>
        <v>0</v>
      </c>
      <c r="Q1330" s="888"/>
    </row>
    <row r="1331" spans="1:17" ht="15">
      <c r="A1331" s="941" t="s">
        <v>269</v>
      </c>
      <c r="B1331" s="583"/>
      <c r="C1331" s="583"/>
      <c r="D1331" s="587"/>
      <c r="E1331" s="587"/>
      <c r="F1331" s="587"/>
      <c r="G1331" s="587"/>
      <c r="H1331" s="584"/>
      <c r="I1331" s="584"/>
      <c r="J1331" s="584"/>
      <c r="K1331" s="584"/>
      <c r="L1331" s="979"/>
      <c r="M1331" s="780"/>
      <c r="N1331" s="784"/>
      <c r="O1331" s="975"/>
      <c r="P1331" s="786"/>
      <c r="Q1331" s="583"/>
    </row>
    <row r="1332" spans="1:17" ht="15.75">
      <c r="A1332" s="2129">
        <f>'Part IX A-Scoring Criteria'!A14</f>
        <v>0</v>
      </c>
      <c r="B1332" s="2129"/>
      <c r="C1332" s="2129"/>
      <c r="D1332" s="2129"/>
      <c r="E1332" s="2129"/>
      <c r="F1332" s="2129"/>
      <c r="G1332" s="2129"/>
      <c r="H1332" s="2129"/>
      <c r="I1332" s="2129"/>
      <c r="J1332" s="2129"/>
      <c r="K1332" s="2129"/>
      <c r="L1332" s="2129"/>
      <c r="M1332" s="2129"/>
      <c r="N1332" s="2129"/>
      <c r="O1332" s="2129"/>
      <c r="P1332" s="2129"/>
      <c r="Q1332" s="980" t="s">
        <v>1326</v>
      </c>
    </row>
    <row r="1333" spans="1:17">
      <c r="A1333" s="941" t="s">
        <v>1988</v>
      </c>
      <c r="B1333" s="583"/>
      <c r="C1333" s="583"/>
      <c r="D1333" s="583"/>
      <c r="E1333" s="583"/>
      <c r="F1333" s="935" t="s">
        <v>1826</v>
      </c>
      <c r="G1333" s="583"/>
      <c r="H1333" s="583"/>
      <c r="I1333" s="583"/>
      <c r="J1333" s="583"/>
      <c r="K1333" s="935" t="s">
        <v>1826</v>
      </c>
      <c r="L1333" s="583"/>
      <c r="M1333" s="583"/>
      <c r="N1333" s="583"/>
      <c r="O1333" s="583"/>
      <c r="P1333" s="939" t="s">
        <v>1826</v>
      </c>
      <c r="Q1333" s="583"/>
    </row>
    <row r="1334" spans="1:17">
      <c r="A1334" s="2141" t="s">
        <v>2555</v>
      </c>
      <c r="B1334" s="2141"/>
      <c r="C1334" s="2141"/>
      <c r="D1334" s="2141"/>
      <c r="E1334" s="939" t="s">
        <v>536</v>
      </c>
      <c r="F1334" s="888">
        <f>SUM(F1335:F1346)</f>
        <v>0</v>
      </c>
      <c r="G1334" s="2141" t="s">
        <v>2556</v>
      </c>
      <c r="H1334" s="2141"/>
      <c r="I1334" s="2141"/>
      <c r="J1334" s="939" t="s">
        <v>536</v>
      </c>
      <c r="K1334" s="888">
        <f>SUM(K1335:K1346)</f>
        <v>0</v>
      </c>
      <c r="L1334" s="954" t="s">
        <v>3411</v>
      </c>
      <c r="M1334" s="583"/>
      <c r="N1334" s="981"/>
      <c r="O1334" s="939"/>
      <c r="P1334" s="888">
        <f>SUM(P1335:P1346)</f>
        <v>0</v>
      </c>
      <c r="Q1334" s="583"/>
    </row>
    <row r="1335" spans="1:17" ht="15.75">
      <c r="A1335" s="2267">
        <v>1</v>
      </c>
      <c r="B1335" s="2170"/>
      <c r="C1335" s="2170"/>
      <c r="D1335" s="2170"/>
      <c r="E1335" s="2170"/>
      <c r="F1335" s="606"/>
      <c r="G1335" s="2267">
        <v>1</v>
      </c>
      <c r="H1335" s="2267"/>
      <c r="I1335" s="2267"/>
      <c r="J1335" s="2267"/>
      <c r="K1335" s="606" t="s">
        <v>1846</v>
      </c>
      <c r="L1335" s="2267">
        <v>1</v>
      </c>
      <c r="M1335" s="2267"/>
      <c r="N1335" s="2267"/>
      <c r="O1335" s="2267"/>
      <c r="P1335" s="606"/>
      <c r="Q1335" s="980" t="s">
        <v>1326</v>
      </c>
    </row>
    <row r="1336" spans="1:17" ht="15.75">
      <c r="A1336" s="2267">
        <v>2</v>
      </c>
      <c r="B1336" s="2170"/>
      <c r="C1336" s="2170"/>
      <c r="D1336" s="2170"/>
      <c r="E1336" s="2170"/>
      <c r="F1336" s="606"/>
      <c r="G1336" s="2267">
        <v>2</v>
      </c>
      <c r="H1336" s="2267"/>
      <c r="I1336" s="2267"/>
      <c r="J1336" s="2267"/>
      <c r="K1336" s="606"/>
      <c r="L1336" s="2267">
        <v>2</v>
      </c>
      <c r="M1336" s="2267"/>
      <c r="N1336" s="2267"/>
      <c r="O1336" s="2267"/>
      <c r="P1336" s="606"/>
      <c r="Q1336" s="980"/>
    </row>
    <row r="1337" spans="1:17" ht="15.75">
      <c r="A1337" s="2267">
        <v>3</v>
      </c>
      <c r="B1337" s="2170"/>
      <c r="C1337" s="2170"/>
      <c r="D1337" s="2170"/>
      <c r="E1337" s="2170"/>
      <c r="F1337" s="606"/>
      <c r="G1337" s="2267">
        <v>3</v>
      </c>
      <c r="H1337" s="2267"/>
      <c r="I1337" s="2267"/>
      <c r="J1337" s="2267"/>
      <c r="K1337" s="606" t="s">
        <v>3122</v>
      </c>
      <c r="L1337" s="2267">
        <v>3</v>
      </c>
      <c r="M1337" s="2267"/>
      <c r="N1337" s="2267"/>
      <c r="O1337" s="2267"/>
      <c r="P1337" s="606"/>
      <c r="Q1337" s="980"/>
    </row>
    <row r="1338" spans="1:17" ht="15.75">
      <c r="A1338" s="2267">
        <v>4</v>
      </c>
      <c r="B1338" s="2170"/>
      <c r="C1338" s="2170"/>
      <c r="D1338" s="2170"/>
      <c r="E1338" s="2170"/>
      <c r="F1338" s="606"/>
      <c r="G1338" s="2267">
        <v>4</v>
      </c>
      <c r="H1338" s="2267"/>
      <c r="I1338" s="2267"/>
      <c r="J1338" s="2267"/>
      <c r="K1338" s="606" t="s">
        <v>3122</v>
      </c>
      <c r="L1338" s="2267">
        <v>4</v>
      </c>
      <c r="M1338" s="2267"/>
      <c r="N1338" s="2267"/>
      <c r="O1338" s="2267"/>
      <c r="P1338" s="606"/>
      <c r="Q1338" s="980"/>
    </row>
    <row r="1339" spans="1:17">
      <c r="A1339" s="2267">
        <v>5</v>
      </c>
      <c r="B1339" s="2170"/>
      <c r="C1339" s="2170"/>
      <c r="D1339" s="2170"/>
      <c r="E1339" s="2170"/>
      <c r="F1339" s="606"/>
      <c r="G1339" s="2267">
        <v>5</v>
      </c>
      <c r="H1339" s="2267"/>
      <c r="I1339" s="2267"/>
      <c r="J1339" s="2267"/>
      <c r="K1339" s="606"/>
      <c r="L1339" s="2267">
        <v>5</v>
      </c>
      <c r="M1339" s="2267"/>
      <c r="N1339" s="2267"/>
      <c r="O1339" s="2267"/>
      <c r="P1339" s="606"/>
      <c r="Q1339" s="583"/>
    </row>
    <row r="1340" spans="1:17">
      <c r="A1340" s="2267">
        <v>6</v>
      </c>
      <c r="B1340" s="2170"/>
      <c r="C1340" s="2170"/>
      <c r="D1340" s="2170"/>
      <c r="E1340" s="2170"/>
      <c r="F1340" s="606"/>
      <c r="G1340" s="2267">
        <v>6</v>
      </c>
      <c r="H1340" s="2267"/>
      <c r="I1340" s="2267"/>
      <c r="J1340" s="2267"/>
      <c r="K1340" s="606"/>
      <c r="L1340" s="2267">
        <v>6</v>
      </c>
      <c r="M1340" s="2267"/>
      <c r="N1340" s="2267"/>
      <c r="O1340" s="2267"/>
      <c r="P1340" s="606"/>
      <c r="Q1340" s="583"/>
    </row>
    <row r="1341" spans="1:17">
      <c r="A1341" s="2267">
        <v>7</v>
      </c>
      <c r="B1341" s="2170"/>
      <c r="C1341" s="2170"/>
      <c r="D1341" s="2170"/>
      <c r="E1341" s="2170"/>
      <c r="F1341" s="606"/>
      <c r="G1341" s="2267">
        <v>7</v>
      </c>
      <c r="H1341" s="2267"/>
      <c r="I1341" s="2267"/>
      <c r="J1341" s="2267"/>
      <c r="K1341" s="606"/>
      <c r="L1341" s="2267">
        <v>7</v>
      </c>
      <c r="M1341" s="2267"/>
      <c r="N1341" s="2267"/>
      <c r="O1341" s="2267"/>
      <c r="P1341" s="606"/>
      <c r="Q1341" s="583"/>
    </row>
    <row r="1342" spans="1:17">
      <c r="A1342" s="2267">
        <v>8</v>
      </c>
      <c r="B1342" s="2170"/>
      <c r="C1342" s="2170"/>
      <c r="D1342" s="2170"/>
      <c r="E1342" s="2170"/>
      <c r="F1342" s="606"/>
      <c r="G1342" s="2267">
        <v>8</v>
      </c>
      <c r="H1342" s="2267"/>
      <c r="I1342" s="2267"/>
      <c r="J1342" s="2267"/>
      <c r="K1342" s="606"/>
      <c r="L1342" s="2267">
        <v>8</v>
      </c>
      <c r="M1342" s="2267"/>
      <c r="N1342" s="2267"/>
      <c r="O1342" s="2267"/>
      <c r="P1342" s="606"/>
      <c r="Q1342" s="583"/>
    </row>
    <row r="1343" spans="1:17">
      <c r="A1343" s="2267">
        <v>9</v>
      </c>
      <c r="B1343" s="2170"/>
      <c r="C1343" s="2170"/>
      <c r="D1343" s="2170"/>
      <c r="E1343" s="2170"/>
      <c r="F1343" s="606"/>
      <c r="G1343" s="2267">
        <v>9</v>
      </c>
      <c r="H1343" s="2267"/>
      <c r="I1343" s="2267"/>
      <c r="J1343" s="2267"/>
      <c r="K1343" s="606"/>
      <c r="L1343" s="2267">
        <v>9</v>
      </c>
      <c r="M1343" s="2267"/>
      <c r="N1343" s="2267"/>
      <c r="O1343" s="2267"/>
      <c r="P1343" s="606"/>
      <c r="Q1343" s="583"/>
    </row>
    <row r="1344" spans="1:17">
      <c r="A1344" s="2267">
        <v>10</v>
      </c>
      <c r="B1344" s="2170"/>
      <c r="C1344" s="2170"/>
      <c r="D1344" s="2170"/>
      <c r="E1344" s="2170"/>
      <c r="F1344" s="606"/>
      <c r="G1344" s="2267">
        <v>10</v>
      </c>
      <c r="H1344" s="2267"/>
      <c r="I1344" s="2267"/>
      <c r="J1344" s="2267"/>
      <c r="K1344" s="606"/>
      <c r="L1344" s="2267">
        <v>10</v>
      </c>
      <c r="M1344" s="2267"/>
      <c r="N1344" s="2267"/>
      <c r="O1344" s="2267"/>
      <c r="P1344" s="606"/>
      <c r="Q1344" s="583"/>
    </row>
    <row r="1345" spans="1:21">
      <c r="A1345" s="2267">
        <v>11</v>
      </c>
      <c r="B1345" s="2170"/>
      <c r="C1345" s="2170"/>
      <c r="D1345" s="2170"/>
      <c r="E1345" s="2170"/>
      <c r="F1345" s="606"/>
      <c r="G1345" s="2267">
        <v>11</v>
      </c>
      <c r="H1345" s="2267"/>
      <c r="I1345" s="2267"/>
      <c r="J1345" s="2267"/>
      <c r="K1345" s="606"/>
      <c r="L1345" s="2267">
        <v>11</v>
      </c>
      <c r="M1345" s="2267"/>
      <c r="N1345" s="2267"/>
      <c r="O1345" s="2267"/>
      <c r="P1345" s="606"/>
      <c r="Q1345" s="583"/>
    </row>
    <row r="1346" spans="1:21">
      <c r="A1346" s="2267">
        <v>12</v>
      </c>
      <c r="B1346" s="2170"/>
      <c r="C1346" s="2170"/>
      <c r="D1346" s="2170"/>
      <c r="E1346" s="2170"/>
      <c r="F1346" s="606"/>
      <c r="G1346" s="2267">
        <v>12</v>
      </c>
      <c r="H1346" s="2267"/>
      <c r="I1346" s="2267"/>
      <c r="J1346" s="2267"/>
      <c r="K1346" s="606"/>
      <c r="L1346" s="2267">
        <v>12</v>
      </c>
      <c r="M1346" s="2267"/>
      <c r="N1346" s="2267"/>
      <c r="O1346" s="2267"/>
      <c r="P1346" s="606"/>
      <c r="Q1346" s="583"/>
    </row>
    <row r="1347" spans="1:21" ht="15">
      <c r="A1347" s="979"/>
      <c r="B1347" s="979"/>
      <c r="C1347" s="979"/>
      <c r="D1347" s="584"/>
      <c r="E1347" s="584"/>
      <c r="F1347" s="888"/>
      <c r="G1347" s="888"/>
      <c r="H1347" s="888"/>
      <c r="I1347" s="888"/>
      <c r="J1347" s="938"/>
      <c r="K1347" s="938"/>
      <c r="L1347" s="938"/>
      <c r="M1347" s="935"/>
      <c r="N1347" s="888"/>
      <c r="O1347" s="786"/>
      <c r="P1347" s="975"/>
      <c r="Q1347" s="979"/>
    </row>
    <row r="1348" spans="1:21" ht="15">
      <c r="A1348" s="982" t="s">
        <v>2116</v>
      </c>
      <c r="B1348" s="983" t="s">
        <v>1071</v>
      </c>
      <c r="C1348" s="979"/>
      <c r="D1348" s="979"/>
      <c r="E1348" s="584"/>
      <c r="F1348" s="979"/>
      <c r="G1348" s="984"/>
      <c r="H1348" s="584"/>
      <c r="I1348" s="979"/>
      <c r="J1348" s="985"/>
      <c r="K1348" s="2143" t="s">
        <v>2879</v>
      </c>
      <c r="L1348" s="2143"/>
      <c r="M1348" s="888">
        <v>3</v>
      </c>
      <c r="N1348" s="780"/>
      <c r="O1348" s="916">
        <f>IF($K1350 &gt;= $P1350,$M1350,IF($K1349&gt;=$P1349,$M1349,0))</f>
        <v>3</v>
      </c>
      <c r="P1348" s="916">
        <f>IF($L1350 &gt;= $P1350,$M1350,IF($L1349&gt;=$P1349,$M1349,0))</f>
        <v>0</v>
      </c>
      <c r="Q1348" s="888" t="s">
        <v>461</v>
      </c>
      <c r="U1348" s="975">
        <f>'Part IX A-Scoring Criteria'!O30</f>
        <v>3</v>
      </c>
    </row>
    <row r="1349" spans="1:21" ht="15">
      <c r="A1349" s="986" t="s">
        <v>2110</v>
      </c>
      <c r="B1349" s="987" t="s">
        <v>2799</v>
      </c>
      <c r="C1349" s="985"/>
      <c r="D1349" s="985"/>
      <c r="E1349" s="963"/>
      <c r="F1349" s="985"/>
      <c r="G1349" s="985"/>
      <c r="H1349" s="961" t="s">
        <v>2877</v>
      </c>
      <c r="I1349" s="988">
        <f>'Part IX A-Scoring Criteria'!I31</f>
        <v>22</v>
      </c>
      <c r="J1349" s="988"/>
      <c r="K1349" s="989">
        <f>IF(OR('Part VI-Revenues &amp; Expenses'!$M$60="", 'Part VI-Revenues &amp; Expenses'!$M$60=0),0,I1349/'Part VI-Revenues &amp; Expenses'!$M$60)</f>
        <v>0.26190476190476192</v>
      </c>
      <c r="L1349" s="989">
        <f>IF(OR('Part VI-Revenues &amp; Expenses'!$M$60="", 'Part VI-Revenues &amp; Expenses'!$M$60=0),0,J1349/'Part VI-Revenues &amp; Expenses'!$M$60)</f>
        <v>0</v>
      </c>
      <c r="M1349" s="780">
        <v>3</v>
      </c>
      <c r="N1349" s="906"/>
      <c r="O1349" s="2268" t="s">
        <v>2901</v>
      </c>
      <c r="P1349" s="990">
        <v>0.15</v>
      </c>
      <c r="Q1349" s="985"/>
    </row>
    <row r="1350" spans="1:21" ht="15">
      <c r="A1350" s="986" t="s">
        <v>2113</v>
      </c>
      <c r="B1350" s="987" t="s">
        <v>2800</v>
      </c>
      <c r="C1350" s="985"/>
      <c r="D1350" s="985"/>
      <c r="E1350" s="963"/>
      <c r="F1350" s="985"/>
      <c r="G1350" s="985"/>
      <c r="H1350" s="961" t="s">
        <v>2801</v>
      </c>
      <c r="I1350" s="988">
        <f>'Part IX A-Scoring Criteria'!I32</f>
        <v>0</v>
      </c>
      <c r="J1350" s="988"/>
      <c r="K1350" s="989">
        <f>IF(OR('Part VI-Revenues &amp; Expenses'!$M$60="", 'Part VI-Revenues &amp; Expenses'!$M$60=0),0,I1350/'Part VI-Revenues &amp; Expenses'!$M$60)</f>
        <v>0</v>
      </c>
      <c r="L1350" s="989">
        <f>IF(OR('Part VI-Revenues &amp; Expenses'!$M$60="", 'Part VI-Revenues &amp; Expenses'!$M$60=0),0,J1350/'Part VI-Revenues &amp; Expenses'!$M$60)</f>
        <v>0</v>
      </c>
      <c r="M1350" s="780">
        <v>3</v>
      </c>
      <c r="N1350" s="906"/>
      <c r="O1350" s="2268"/>
      <c r="P1350" s="990">
        <v>0.15</v>
      </c>
      <c r="Q1350" s="985"/>
    </row>
    <row r="1351" spans="1:21" ht="15">
      <c r="A1351" s="583"/>
      <c r="B1351" s="941" t="s">
        <v>269</v>
      </c>
      <c r="C1351" s="583"/>
      <c r="D1351" s="587"/>
      <c r="E1351" s="587"/>
      <c r="F1351" s="587"/>
      <c r="G1351" s="587"/>
      <c r="H1351" s="584"/>
      <c r="I1351" s="584"/>
      <c r="J1351" s="584"/>
      <c r="K1351" s="584"/>
      <c r="L1351" s="979"/>
      <c r="M1351" s="780"/>
      <c r="N1351" s="784"/>
      <c r="O1351" s="975"/>
      <c r="P1351" s="786"/>
      <c r="Q1351" s="979"/>
    </row>
    <row r="1352" spans="1:21" ht="15.75">
      <c r="A1352" s="2129" t="str">
        <f>'Part IX A-Scoring Criteria'!A34</f>
        <v xml:space="preserve">The project meets the minimum of 15% for deeper targeting. </v>
      </c>
      <c r="B1352" s="2129"/>
      <c r="C1352" s="2129"/>
      <c r="D1352" s="2129"/>
      <c r="E1352" s="2129"/>
      <c r="F1352" s="2129"/>
      <c r="G1352" s="2129"/>
      <c r="H1352" s="2129"/>
      <c r="I1352" s="2129"/>
      <c r="J1352" s="2129"/>
      <c r="K1352" s="2129"/>
      <c r="L1352" s="2129"/>
      <c r="M1352" s="2129"/>
      <c r="N1352" s="2129"/>
      <c r="O1352" s="2129"/>
      <c r="P1352" s="2129"/>
      <c r="Q1352" s="980" t="s">
        <v>1326</v>
      </c>
    </row>
    <row r="1353" spans="1:21" ht="15">
      <c r="A1353" s="583"/>
      <c r="B1353" s="941" t="s">
        <v>1988</v>
      </c>
      <c r="C1353" s="583"/>
      <c r="D1353" s="942"/>
      <c r="E1353" s="944"/>
      <c r="F1353" s="944"/>
      <c r="G1353" s="944"/>
      <c r="H1353" s="944"/>
      <c r="I1353" s="944"/>
      <c r="J1353" s="944"/>
      <c r="K1353" s="944"/>
      <c r="L1353" s="944"/>
      <c r="M1353" s="944"/>
      <c r="N1353" s="991"/>
      <c r="O1353" s="992"/>
      <c r="P1353" s="888"/>
      <c r="Q1353" s="985"/>
    </row>
    <row r="1354" spans="1:21" ht="15.75">
      <c r="A1354" s="2129"/>
      <c r="B1354" s="2129"/>
      <c r="C1354" s="2129"/>
      <c r="D1354" s="2129"/>
      <c r="E1354" s="2129"/>
      <c r="F1354" s="2129"/>
      <c r="G1354" s="2129"/>
      <c r="H1354" s="2129"/>
      <c r="I1354" s="2129"/>
      <c r="J1354" s="2129"/>
      <c r="K1354" s="2129"/>
      <c r="L1354" s="2129"/>
      <c r="M1354" s="2129"/>
      <c r="N1354" s="2129"/>
      <c r="O1354" s="2129"/>
      <c r="P1354" s="2129"/>
      <c r="Q1354" s="980" t="s">
        <v>1326</v>
      </c>
    </row>
    <row r="1355" spans="1:21">
      <c r="N1355" s="784"/>
      <c r="O1355" s="786"/>
      <c r="P1355" s="786"/>
    </row>
    <row r="1356" spans="1:21" ht="15">
      <c r="A1356" s="976" t="s">
        <v>2698</v>
      </c>
      <c r="B1356" s="977" t="s">
        <v>1996</v>
      </c>
      <c r="C1356" s="979"/>
      <c r="D1356" s="993"/>
      <c r="E1356" s="979"/>
      <c r="F1356" s="979"/>
      <c r="G1356" s="979"/>
      <c r="H1356" s="2163" t="s">
        <v>631</v>
      </c>
      <c r="I1356" s="2163"/>
      <c r="J1356" s="2163"/>
      <c r="K1356" s="2163"/>
      <c r="L1356" s="979"/>
      <c r="M1356" s="888">
        <v>12</v>
      </c>
      <c r="N1356" s="939"/>
      <c r="O1356" s="916">
        <f>IF(OR($M1358-$O1359&lt;0,$O1358-$O1359&lt;0),0,IF($O1358&lt;=$M1358,$O1358-$O1359,IF($O1358&gt;$M1358,$M1358-$O1359,0)))</f>
        <v>12</v>
      </c>
      <c r="P1356" s="916">
        <f>IF(OR($M1358-$P1359&lt;0,$P1358-$P1359&lt;0),0,IF($P1358&lt;=$M1358,$P1358-$P1359,IF($P1358&gt;$M1358,$M1358-$P1359,0)))</f>
        <v>0</v>
      </c>
      <c r="Q1356" s="888" t="s">
        <v>461</v>
      </c>
      <c r="U1356" s="975">
        <f>'Part IX A-Scoring Criteria'!O38</f>
        <v>12</v>
      </c>
    </row>
    <row r="1357" spans="1:21" ht="15">
      <c r="A1357" s="583"/>
      <c r="B1357" s="979"/>
      <c r="C1357" s="979"/>
      <c r="D1357" s="584"/>
      <c r="E1357" s="584"/>
      <c r="F1357" s="888"/>
      <c r="G1357" s="888"/>
      <c r="H1357" s="2163"/>
      <c r="I1357" s="2163"/>
      <c r="J1357" s="2163"/>
      <c r="K1357" s="2163"/>
      <c r="L1357" s="938"/>
      <c r="M1357" s="935"/>
      <c r="N1357" s="888"/>
      <c r="O1357" s="786"/>
      <c r="P1357" s="975"/>
      <c r="Q1357" s="979"/>
    </row>
    <row r="1358" spans="1:21" ht="15">
      <c r="A1358" s="947" t="s">
        <v>2110</v>
      </c>
      <c r="B1358" s="887" t="s">
        <v>1997</v>
      </c>
      <c r="C1358" s="586"/>
      <c r="D1358" s="586"/>
      <c r="E1358" s="807" t="s">
        <v>2950</v>
      </c>
      <c r="F1358" s="793"/>
      <c r="G1358" s="793"/>
      <c r="H1358" s="2163"/>
      <c r="I1358" s="2163"/>
      <c r="J1358" s="2163"/>
      <c r="K1358" s="2163"/>
      <c r="L1358" s="979"/>
      <c r="M1358" s="780">
        <v>12</v>
      </c>
      <c r="N1358" s="994" t="s">
        <v>2110</v>
      </c>
      <c r="O1358" s="888">
        <f>'Part IX A-Scoring Criteria'!O40</f>
        <v>12</v>
      </c>
      <c r="P1358" s="888"/>
      <c r="Q1358" s="995" t="s">
        <v>2929</v>
      </c>
    </row>
    <row r="1359" spans="1:21" ht="16.5">
      <c r="A1359" s="947" t="s">
        <v>2113</v>
      </c>
      <c r="B1359" s="887" t="s">
        <v>1998</v>
      </c>
      <c r="C1359" s="979"/>
      <c r="D1359" s="993"/>
      <c r="E1359" s="807" t="s">
        <v>447</v>
      </c>
      <c r="F1359" s="996"/>
      <c r="G1359" s="996"/>
      <c r="H1359" s="996"/>
      <c r="I1359" s="979"/>
      <c r="J1359" s="979"/>
      <c r="K1359" s="979"/>
      <c r="L1359" s="979"/>
      <c r="M1359" s="935" t="s">
        <v>1310</v>
      </c>
      <c r="N1359" s="939" t="s">
        <v>2113</v>
      </c>
      <c r="O1359" s="888">
        <f>'Part IX A-Scoring Criteria'!O41</f>
        <v>0</v>
      </c>
      <c r="P1359" s="888"/>
      <c r="Q1359" s="995" t="s">
        <v>2929</v>
      </c>
    </row>
    <row r="1360" spans="1:21" ht="15">
      <c r="A1360" s="583"/>
      <c r="B1360" s="941" t="s">
        <v>269</v>
      </c>
      <c r="C1360" s="583"/>
      <c r="D1360" s="587"/>
      <c r="E1360" s="587"/>
      <c r="F1360" s="587"/>
      <c r="G1360" s="587"/>
      <c r="H1360" s="584"/>
      <c r="I1360" s="584"/>
      <c r="J1360" s="584"/>
      <c r="K1360" s="584"/>
      <c r="L1360" s="979"/>
      <c r="M1360" s="780"/>
      <c r="N1360" s="784"/>
      <c r="O1360" s="975"/>
      <c r="P1360" s="786"/>
      <c r="Q1360" s="979"/>
    </row>
    <row r="1361" spans="1:21" ht="15.75">
      <c r="A1361" s="2129" t="str">
        <f>'Part IX A-Scoring Criteria'!A43</f>
        <v xml:space="preserve">There are no undesirable characteristics. </v>
      </c>
      <c r="B1361" s="2129"/>
      <c r="C1361" s="2129"/>
      <c r="D1361" s="2129"/>
      <c r="E1361" s="2129"/>
      <c r="F1361" s="2129"/>
      <c r="G1361" s="2129"/>
      <c r="H1361" s="2129"/>
      <c r="I1361" s="2129"/>
      <c r="J1361" s="2129"/>
      <c r="K1361" s="2129"/>
      <c r="L1361" s="2129"/>
      <c r="M1361" s="2129"/>
      <c r="N1361" s="2129"/>
      <c r="O1361" s="2129"/>
      <c r="P1361" s="2129"/>
      <c r="Q1361" s="980" t="s">
        <v>1326</v>
      </c>
    </row>
    <row r="1362" spans="1:21" ht="15">
      <c r="A1362" s="583"/>
      <c r="B1362" s="941" t="s">
        <v>1988</v>
      </c>
      <c r="C1362" s="583"/>
      <c r="D1362" s="942"/>
      <c r="E1362" s="944"/>
      <c r="F1362" s="944"/>
      <c r="G1362" s="944"/>
      <c r="H1362" s="944"/>
      <c r="I1362" s="944"/>
      <c r="J1362" s="944"/>
      <c r="K1362" s="944"/>
      <c r="L1362" s="944"/>
      <c r="M1362" s="944"/>
      <c r="N1362" s="991"/>
      <c r="O1362" s="992"/>
      <c r="P1362" s="888"/>
      <c r="Q1362" s="985"/>
    </row>
    <row r="1363" spans="1:21" ht="15.75">
      <c r="A1363" s="2129"/>
      <c r="B1363" s="2129"/>
      <c r="C1363" s="2129"/>
      <c r="D1363" s="2129"/>
      <c r="E1363" s="2129"/>
      <c r="F1363" s="2129"/>
      <c r="G1363" s="2129"/>
      <c r="H1363" s="2129"/>
      <c r="I1363" s="2129"/>
      <c r="J1363" s="2129"/>
      <c r="K1363" s="2129"/>
      <c r="L1363" s="2129"/>
      <c r="M1363" s="2129"/>
      <c r="N1363" s="2129"/>
      <c r="O1363" s="2129"/>
      <c r="P1363" s="2129"/>
      <c r="Q1363" s="980" t="s">
        <v>1326</v>
      </c>
    </row>
    <row r="1364" spans="1:21">
      <c r="M1364" s="583"/>
      <c r="N1364" s="780"/>
      <c r="O1364" s="888"/>
      <c r="P1364" s="888"/>
    </row>
    <row r="1365" spans="1:21" ht="15">
      <c r="A1365" s="976" t="s">
        <v>1295</v>
      </c>
      <c r="B1365" s="977" t="s">
        <v>2816</v>
      </c>
      <c r="C1365" s="979"/>
      <c r="D1365" s="993"/>
      <c r="E1365" s="979"/>
      <c r="F1365" s="979"/>
      <c r="G1365" s="979"/>
      <c r="H1365" s="997" t="s">
        <v>2880</v>
      </c>
      <c r="I1365" s="941" t="s">
        <v>2004</v>
      </c>
      <c r="J1365" s="587"/>
      <c r="K1365" s="587"/>
      <c r="L1365" s="979"/>
      <c r="M1365" s="888">
        <v>4</v>
      </c>
      <c r="N1365" s="939"/>
      <c r="O1365" s="916">
        <f>MIN($M1365,(O1367+O1368+O1369+O1370))</f>
        <v>3</v>
      </c>
      <c r="P1365" s="916">
        <f>MIN($M1365,(P1367+P1368+P1369+P1370))</f>
        <v>0</v>
      </c>
      <c r="Q1365" s="888" t="s">
        <v>461</v>
      </c>
      <c r="U1365" s="975">
        <f>'Part IX A-Scoring Criteria'!O47</f>
        <v>3</v>
      </c>
    </row>
    <row r="1366" spans="1:21" ht="15">
      <c r="A1366" s="998" t="s">
        <v>3062</v>
      </c>
      <c r="B1366" s="977"/>
      <c r="C1366" s="979"/>
      <c r="D1366" s="993"/>
      <c r="E1366" s="979"/>
      <c r="F1366" s="979"/>
      <c r="G1366" s="979"/>
      <c r="H1366" s="887" t="s">
        <v>3072</v>
      </c>
      <c r="I1366" s="999"/>
      <c r="J1366" s="887" t="str">
        <f>'Part I-Project Information'!$H$85</f>
        <v>Flexible</v>
      </c>
      <c r="K1366" s="979"/>
      <c r="M1366" s="888"/>
      <c r="N1366" s="888"/>
      <c r="O1366" s="888"/>
      <c r="P1366" s="888"/>
      <c r="Q1366" s="888"/>
    </row>
    <row r="1367" spans="1:21">
      <c r="A1367" s="956" t="s">
        <v>2110</v>
      </c>
      <c r="B1367" s="2269" t="s">
        <v>3412</v>
      </c>
      <c r="C1367" s="2269"/>
      <c r="D1367" s="2269"/>
      <c r="E1367" s="2269"/>
      <c r="F1367" s="2269"/>
      <c r="G1367" s="2269"/>
      <c r="H1367" s="2269"/>
      <c r="I1367" s="2269"/>
      <c r="J1367" s="2269"/>
      <c r="K1367" s="2269"/>
      <c r="L1367" s="2269"/>
      <c r="M1367" s="1000">
        <v>4</v>
      </c>
      <c r="N1367" s="1001" t="s">
        <v>2110</v>
      </c>
      <c r="O1367" s="1002">
        <f>'Part IX A-Scoring Criteria'!O49</f>
        <v>0</v>
      </c>
      <c r="P1367" s="1002"/>
      <c r="Q1367" s="1003" t="str">
        <f>IF(OR($O1367=$M1367,$O1367=0,$O1367=""),"","* * Check Score! * *")</f>
        <v/>
      </c>
    </row>
    <row r="1368" spans="1:21">
      <c r="A1368" s="956" t="s">
        <v>2113</v>
      </c>
      <c r="B1368" s="2269" t="s">
        <v>3413</v>
      </c>
      <c r="C1368" s="2269"/>
      <c r="D1368" s="2269"/>
      <c r="E1368" s="2269"/>
      <c r="F1368" s="2269"/>
      <c r="G1368" s="2269"/>
      <c r="H1368" s="2269"/>
      <c r="I1368" s="2269"/>
      <c r="J1368" s="2269"/>
      <c r="K1368" s="2269"/>
      <c r="L1368" s="2269"/>
      <c r="M1368" s="1000">
        <v>3</v>
      </c>
      <c r="N1368" s="958" t="s">
        <v>2113</v>
      </c>
      <c r="O1368" s="1002">
        <f>'Part IX A-Scoring Criteria'!O50</f>
        <v>3</v>
      </c>
      <c r="P1368" s="1002"/>
      <c r="Q1368" s="1003" t="str">
        <f>IF(OR($O1368=$M1368,$O1368=0,$O1368=""),"","* * Check Score! * *")</f>
        <v/>
      </c>
    </row>
    <row r="1369" spans="1:21" ht="15">
      <c r="A1369" s="947" t="s">
        <v>793</v>
      </c>
      <c r="B1369" s="887" t="s">
        <v>3414</v>
      </c>
      <c r="C1369" s="979"/>
      <c r="D1369" s="979"/>
      <c r="E1369" s="993"/>
      <c r="F1369" s="979"/>
      <c r="G1369" s="979"/>
      <c r="H1369" s="979"/>
      <c r="I1369" s="979"/>
      <c r="J1369" s="979"/>
      <c r="K1369" s="587"/>
      <c r="L1369" s="979"/>
      <c r="M1369" s="780">
        <v>2</v>
      </c>
      <c r="N1369" s="994" t="s">
        <v>793</v>
      </c>
      <c r="O1369" s="1002">
        <f>'Part IX A-Scoring Criteria'!O51</f>
        <v>0</v>
      </c>
      <c r="P1369" s="888"/>
      <c r="Q1369" s="1004" t="str">
        <f>IF(OR($O1369=$M1369,$O1369=0,$O1369=""),"","* * Check Score! * *")</f>
        <v/>
      </c>
    </row>
    <row r="1370" spans="1:21" ht="15">
      <c r="A1370" s="947" t="s">
        <v>2245</v>
      </c>
      <c r="B1370" s="887" t="s">
        <v>3415</v>
      </c>
      <c r="C1370" s="979"/>
      <c r="D1370" s="979"/>
      <c r="E1370" s="993"/>
      <c r="F1370" s="979"/>
      <c r="G1370" s="979"/>
      <c r="H1370" s="979"/>
      <c r="I1370" s="979"/>
      <c r="J1370" s="979"/>
      <c r="K1370" s="587"/>
      <c r="L1370" s="979"/>
      <c r="M1370" s="780">
        <v>1</v>
      </c>
      <c r="N1370" s="994" t="s">
        <v>2245</v>
      </c>
      <c r="O1370" s="1002">
        <f>'Part IX A-Scoring Criteria'!O52</f>
        <v>0</v>
      </c>
      <c r="P1370" s="888"/>
      <c r="Q1370" s="1004"/>
    </row>
    <row r="1371" spans="1:21" ht="15">
      <c r="A1371" s="584" t="s">
        <v>3356</v>
      </c>
      <c r="B1371" s="887"/>
      <c r="C1371" s="979"/>
      <c r="D1371" s="979"/>
      <c r="E1371" s="993"/>
      <c r="F1371" s="979"/>
      <c r="G1371" s="979"/>
      <c r="H1371" s="979"/>
      <c r="I1371" s="979"/>
      <c r="J1371" s="979"/>
      <c r="K1371" s="587"/>
      <c r="L1371" s="979"/>
      <c r="M1371" s="780"/>
      <c r="N1371" s="780"/>
      <c r="O1371" s="780"/>
      <c r="P1371" s="780"/>
      <c r="Q1371" s="1004"/>
    </row>
    <row r="1372" spans="1:21" ht="15">
      <c r="A1372" s="998" t="s">
        <v>3065</v>
      </c>
      <c r="B1372" s="887"/>
      <c r="C1372" s="979"/>
      <c r="D1372" s="979"/>
      <c r="E1372" s="993"/>
      <c r="F1372" s="979"/>
      <c r="G1372" s="979"/>
      <c r="H1372" s="979"/>
      <c r="I1372" s="979"/>
      <c r="J1372" s="979"/>
      <c r="K1372" s="587"/>
      <c r="L1372" s="979"/>
      <c r="M1372" s="780"/>
      <c r="N1372" s="780"/>
      <c r="O1372" s="780"/>
      <c r="P1372" s="780"/>
      <c r="Q1372" s="1004"/>
    </row>
    <row r="1373" spans="1:21">
      <c r="A1373" s="947" t="s">
        <v>1848</v>
      </c>
      <c r="B1373" s="887" t="s">
        <v>3416</v>
      </c>
      <c r="C1373" s="887"/>
      <c r="D1373" s="887"/>
      <c r="E1373" s="887"/>
      <c r="F1373" s="887"/>
      <c r="G1373" s="887"/>
      <c r="H1373" s="887"/>
      <c r="I1373" s="887"/>
      <c r="J1373" s="887"/>
      <c r="K1373" s="887"/>
      <c r="L1373" s="887"/>
      <c r="M1373" s="780">
        <v>2</v>
      </c>
      <c r="N1373" s="994" t="s">
        <v>1848</v>
      </c>
      <c r="O1373" s="888">
        <f>'Part IX A-Scoring Criteria'!O55</f>
        <v>0</v>
      </c>
      <c r="P1373" s="888"/>
      <c r="Q1373" s="1004"/>
    </row>
    <row r="1374" spans="1:21" ht="15">
      <c r="A1374" s="583"/>
      <c r="B1374" s="941" t="s">
        <v>269</v>
      </c>
      <c r="C1374" s="583"/>
      <c r="D1374" s="587"/>
      <c r="E1374" s="587"/>
      <c r="F1374" s="587"/>
      <c r="G1374" s="587"/>
      <c r="H1374" s="584"/>
      <c r="I1374" s="584"/>
      <c r="J1374" s="584"/>
      <c r="K1374" s="584"/>
      <c r="L1374" s="1005"/>
      <c r="M1374" s="780"/>
      <c r="N1374" s="780"/>
      <c r="O1374" s="975"/>
      <c r="P1374" s="888"/>
      <c r="Q1374" s="1005"/>
    </row>
    <row r="1375" spans="1:21" ht="15.75">
      <c r="A1375" s="2129" t="str">
        <f>'Part IX A-Scoring Criteria'!A57</f>
        <v xml:space="preserve">See tab 25 for transportation documentation. </v>
      </c>
      <c r="B1375" s="2129"/>
      <c r="C1375" s="2129"/>
      <c r="D1375" s="2129"/>
      <c r="E1375" s="2129"/>
      <c r="F1375" s="2129"/>
      <c r="G1375" s="2129"/>
      <c r="H1375" s="2129"/>
      <c r="I1375" s="2129"/>
      <c r="J1375" s="2129"/>
      <c r="K1375" s="2129"/>
      <c r="L1375" s="2129"/>
      <c r="M1375" s="2129"/>
      <c r="N1375" s="2129"/>
      <c r="O1375" s="2129"/>
      <c r="P1375" s="2129"/>
      <c r="Q1375" s="980" t="s">
        <v>1326</v>
      </c>
    </row>
    <row r="1376" spans="1:21" ht="15">
      <c r="A1376" s="583"/>
      <c r="B1376" s="941" t="s">
        <v>1988</v>
      </c>
      <c r="C1376" s="583"/>
      <c r="D1376" s="941"/>
      <c r="E1376" s="901"/>
      <c r="F1376" s="901"/>
      <c r="G1376" s="901"/>
      <c r="H1376" s="901"/>
      <c r="I1376" s="901"/>
      <c r="J1376" s="901"/>
      <c r="K1376" s="901"/>
      <c r="L1376" s="901"/>
      <c r="M1376" s="901"/>
      <c r="N1376" s="981"/>
      <c r="O1376" s="606"/>
      <c r="P1376" s="888"/>
      <c r="Q1376" s="985"/>
    </row>
    <row r="1377" spans="1:21" ht="15.75">
      <c r="A1377" s="2129"/>
      <c r="B1377" s="2129"/>
      <c r="C1377" s="2129"/>
      <c r="D1377" s="2129"/>
      <c r="E1377" s="2129"/>
      <c r="F1377" s="2129"/>
      <c r="G1377" s="2129"/>
      <c r="H1377" s="2129"/>
      <c r="I1377" s="2129"/>
      <c r="J1377" s="2129"/>
      <c r="K1377" s="2129"/>
      <c r="L1377" s="2129"/>
      <c r="M1377" s="2129"/>
      <c r="N1377" s="2129"/>
      <c r="O1377" s="2129"/>
      <c r="P1377" s="2129"/>
      <c r="Q1377" s="980" t="s">
        <v>1326</v>
      </c>
    </row>
    <row r="1378" spans="1:21" ht="15">
      <c r="A1378" s="897"/>
      <c r="B1378" s="1006"/>
      <c r="C1378" s="979"/>
      <c r="D1378" s="979"/>
      <c r="E1378" s="979"/>
      <c r="F1378" s="979"/>
      <c r="G1378" s="993"/>
      <c r="H1378" s="979"/>
      <c r="I1378" s="979"/>
      <c r="J1378" s="587"/>
      <c r="K1378" s="587"/>
      <c r="L1378" s="979"/>
      <c r="M1378" s="1005"/>
      <c r="N1378" s="1006"/>
      <c r="O1378" s="1005"/>
      <c r="P1378" s="1005"/>
      <c r="Q1378" s="979"/>
    </row>
    <row r="1379" spans="1:21" ht="15">
      <c r="A1379" s="976" t="s">
        <v>1296</v>
      </c>
      <c r="B1379" s="977" t="s">
        <v>2817</v>
      </c>
      <c r="C1379" s="979"/>
      <c r="D1379" s="993"/>
      <c r="E1379" s="584" t="s">
        <v>1466</v>
      </c>
      <c r="F1379" s="979"/>
      <c r="G1379" s="979"/>
      <c r="H1379" s="979"/>
      <c r="I1379" s="941" t="s">
        <v>2004</v>
      </c>
      <c r="J1379" s="979"/>
      <c r="K1379" s="979"/>
      <c r="L1379" s="979"/>
      <c r="M1379" s="888">
        <v>2</v>
      </c>
      <c r="N1379" s="1007" t="str">
        <f>IF(OR($O1379=$M1379,$O1379=0,$O1379=""),"","***")</f>
        <v/>
      </c>
      <c r="O1379" s="1002">
        <f>'Part IX A-Scoring Criteria'!O61</f>
        <v>0</v>
      </c>
      <c r="P1379" s="888"/>
      <c r="Q1379" s="888" t="s">
        <v>461</v>
      </c>
      <c r="U1379" s="975">
        <f>'Part IX A-Scoring Criteria'!O61</f>
        <v>0</v>
      </c>
    </row>
    <row r="1380" spans="1:21" ht="15">
      <c r="A1380" s="976"/>
      <c r="B1380" s="640" t="s">
        <v>2802</v>
      </c>
      <c r="C1380" s="979"/>
      <c r="D1380" s="993"/>
      <c r="E1380" s="584"/>
      <c r="F1380" s="979"/>
      <c r="G1380" s="979"/>
      <c r="H1380" s="979"/>
      <c r="I1380" s="979"/>
      <c r="J1380" s="979"/>
      <c r="K1380" s="979"/>
      <c r="L1380" s="2172">
        <f>'Part IX A-Scoring Criteria'!L62</f>
        <v>0</v>
      </c>
      <c r="M1380" s="2172"/>
      <c r="N1380" s="2172"/>
      <c r="O1380" s="2172"/>
      <c r="P1380" s="939"/>
      <c r="Q1380" s="888"/>
    </row>
    <row r="1381" spans="1:21" ht="15">
      <c r="A1381" s="976"/>
      <c r="B1381" s="640" t="s">
        <v>3063</v>
      </c>
      <c r="C1381" s="979"/>
      <c r="D1381" s="993"/>
      <c r="E1381" s="584"/>
      <c r="F1381" s="979"/>
      <c r="G1381" s="979"/>
      <c r="H1381" s="979"/>
      <c r="I1381" s="979"/>
      <c r="J1381" s="979"/>
      <c r="K1381" s="979"/>
      <c r="L1381" s="2172">
        <f>'Part IX A-Scoring Criteria'!L63</f>
        <v>0</v>
      </c>
      <c r="M1381" s="2172"/>
      <c r="N1381" s="2172"/>
      <c r="O1381" s="2172"/>
      <c r="P1381" s="939"/>
      <c r="Q1381" s="888"/>
    </row>
    <row r="1382" spans="1:21" ht="15">
      <c r="A1382" s="583"/>
      <c r="B1382" s="941" t="s">
        <v>269</v>
      </c>
      <c r="C1382" s="583"/>
      <c r="D1382" s="587"/>
      <c r="E1382" s="587"/>
      <c r="F1382" s="587"/>
      <c r="G1382" s="587"/>
      <c r="H1382" s="1005"/>
      <c r="I1382" s="584"/>
      <c r="J1382" s="584"/>
      <c r="K1382" s="584"/>
      <c r="L1382" s="1005"/>
      <c r="M1382" s="780"/>
      <c r="N1382" s="780"/>
      <c r="O1382" s="975"/>
      <c r="P1382" s="888"/>
      <c r="Q1382" s="1005"/>
    </row>
    <row r="1383" spans="1:21" ht="15.75">
      <c r="A1383" s="2129">
        <f>'Part IX A-Scoring Criteria'!A65</f>
        <v>0</v>
      </c>
      <c r="B1383" s="2129"/>
      <c r="C1383" s="2129"/>
      <c r="D1383" s="2129"/>
      <c r="E1383" s="2129"/>
      <c r="F1383" s="2129"/>
      <c r="G1383" s="2129"/>
      <c r="H1383" s="2129"/>
      <c r="I1383" s="2129"/>
      <c r="J1383" s="2129"/>
      <c r="K1383" s="2129"/>
      <c r="L1383" s="2129"/>
      <c r="M1383" s="2129"/>
      <c r="N1383" s="2129"/>
      <c r="O1383" s="2129"/>
      <c r="P1383" s="2129"/>
      <c r="Q1383" s="980" t="s">
        <v>1326</v>
      </c>
    </row>
    <row r="1384" spans="1:21" ht="15">
      <c r="A1384" s="583"/>
      <c r="B1384" s="941" t="s">
        <v>1988</v>
      </c>
      <c r="C1384" s="583"/>
      <c r="D1384" s="941"/>
      <c r="E1384" s="901"/>
      <c r="F1384" s="901"/>
      <c r="G1384" s="901"/>
      <c r="H1384" s="901"/>
      <c r="I1384" s="901"/>
      <c r="J1384" s="901"/>
      <c r="K1384" s="901"/>
      <c r="L1384" s="901"/>
      <c r="M1384" s="901"/>
      <c r="N1384" s="981"/>
      <c r="O1384" s="606"/>
      <c r="P1384" s="888"/>
      <c r="Q1384" s="985"/>
    </row>
    <row r="1385" spans="1:21" ht="15.75">
      <c r="A1385" s="2129"/>
      <c r="B1385" s="2129"/>
      <c r="C1385" s="2129"/>
      <c r="D1385" s="2129"/>
      <c r="E1385" s="2129"/>
      <c r="F1385" s="2129"/>
      <c r="G1385" s="2129"/>
      <c r="H1385" s="2129"/>
      <c r="I1385" s="2129"/>
      <c r="J1385" s="2129"/>
      <c r="K1385" s="2129"/>
      <c r="L1385" s="2129"/>
      <c r="M1385" s="2129"/>
      <c r="N1385" s="2129"/>
      <c r="O1385" s="2129"/>
      <c r="P1385" s="2129"/>
      <c r="Q1385" s="980" t="s">
        <v>1326</v>
      </c>
    </row>
    <row r="1386" spans="1:21">
      <c r="N1386" s="784"/>
      <c r="O1386" s="786"/>
      <c r="P1386" s="786"/>
    </row>
    <row r="1387" spans="1:21" ht="15">
      <c r="A1387" s="976" t="s">
        <v>2006</v>
      </c>
      <c r="B1387" s="977" t="s">
        <v>225</v>
      </c>
      <c r="C1387" s="979"/>
      <c r="D1387" s="584"/>
      <c r="E1387" s="584"/>
      <c r="F1387" s="979"/>
      <c r="G1387" s="979"/>
      <c r="H1387" s="979"/>
      <c r="I1387" s="965" t="s">
        <v>3417</v>
      </c>
      <c r="J1387" s="2197" t="str">
        <f>'Part IX A-Scoring Criteria'!J69</f>
        <v>Earth Craft House Multifamily</v>
      </c>
      <c r="K1387" s="2197"/>
      <c r="L1387" s="2197"/>
      <c r="M1387" s="888">
        <v>3</v>
      </c>
      <c r="N1387" s="1007"/>
      <c r="O1387" s="780">
        <f>IF(AND($J1388="Flexible",OR($J1387="Earth Craft Communities",$J1387="LEED-ND")),$M1388,IF(OR($J1387="Earth Craft House Multifamily",$J1387="Earth Craft House Single Family",$J1387="Earth Craft House Renovation",$J1387="LEED for Homes",$J1387="EF Green Communities",$J1387="NAHB Natl Green Bdlg Stds",$J1387="EnergyStar v3"),$M1395,0))</f>
        <v>2</v>
      </c>
      <c r="P1387" s="780">
        <f>IF(AND($J$70="Flexible",OR($J$69="Earth Craft Communities",$J$69="LEED-ND")),$M$70,IF(OR($J$69="Earth Craft House Multifamily",$J$69="Earth Craft House Single Family",$J$69="Earth Craft House Renovation",$J$69="LEED for Homes",$J$69="EF Green Communities",$J$69="NAHB Natl Green Bdlg Stds",$J$69="EnergyStar v3"),$M$77,0))</f>
        <v>0</v>
      </c>
      <c r="Q1387" s="888" t="s">
        <v>461</v>
      </c>
      <c r="U1387" s="975">
        <f>'Part IX A-Scoring Criteria'!O69</f>
        <v>2</v>
      </c>
    </row>
    <row r="1388" spans="1:21" ht="15">
      <c r="A1388" s="947" t="s">
        <v>2110</v>
      </c>
      <c r="B1388" s="887" t="s">
        <v>2469</v>
      </c>
      <c r="D1388" s="583"/>
      <c r="H1388" s="887" t="s">
        <v>3072</v>
      </c>
      <c r="I1388" s="999"/>
      <c r="J1388" s="887" t="str">
        <f>'Part I-Project Information'!$H$85</f>
        <v>Flexible</v>
      </c>
      <c r="K1388" s="979"/>
      <c r="M1388" s="780">
        <v>3</v>
      </c>
      <c r="O1388" s="948" t="s">
        <v>2672</v>
      </c>
      <c r="P1388" s="948" t="s">
        <v>2672</v>
      </c>
    </row>
    <row r="1389" spans="1:21" ht="15">
      <c r="A1389" s="979"/>
      <c r="B1389" s="949" t="s">
        <v>2907</v>
      </c>
      <c r="C1389" s="979"/>
      <c r="D1389" s="993"/>
      <c r="E1389" s="979"/>
      <c r="F1389" s="979"/>
      <c r="G1389" s="979"/>
      <c r="H1389" s="979"/>
      <c r="I1389" s="979"/>
      <c r="J1389" s="979"/>
      <c r="K1389" s="979"/>
      <c r="L1389" s="979"/>
      <c r="M1389" s="888"/>
      <c r="N1389" s="994" t="s">
        <v>2110</v>
      </c>
      <c r="O1389" s="960" t="str">
        <f>'Part IX A-Scoring Criteria'!O71</f>
        <v>Yes</v>
      </c>
      <c r="P1389" s="960"/>
      <c r="Q1389" s="888"/>
    </row>
    <row r="1390" spans="1:21">
      <c r="A1390" s="786" t="str">
        <f>IF(J1387="Earth Craft Communities", "X","")</f>
        <v/>
      </c>
      <c r="B1390" s="1008" t="s">
        <v>2114</v>
      </c>
      <c r="C1390" s="968" t="s">
        <v>2803</v>
      </c>
    </row>
    <row r="1391" spans="1:21">
      <c r="B1391" s="958"/>
      <c r="C1391" s="2129" t="s">
        <v>2805</v>
      </c>
      <c r="D1391" s="2129"/>
      <c r="E1391" s="2129"/>
      <c r="F1391" s="2129"/>
      <c r="G1391" s="2129"/>
      <c r="H1391" s="2129"/>
      <c r="I1391" s="2129"/>
      <c r="J1391" s="2129"/>
      <c r="K1391" s="2129"/>
      <c r="L1391" s="2129"/>
      <c r="M1391" s="896" t="str">
        <f>IF(AND($I$87="Stable Communities &lt; 10%",O1391=""), "X","")</f>
        <v/>
      </c>
      <c r="N1391" s="958" t="s">
        <v>2806</v>
      </c>
      <c r="O1391" s="960" t="str">
        <f>'Part IX A-Scoring Criteria'!O73</f>
        <v>N/a</v>
      </c>
      <c r="P1391" s="960"/>
    </row>
    <row r="1392" spans="1:21">
      <c r="A1392" s="786" t="str">
        <f>IF(J1387="LEED-ND", "X","")</f>
        <v/>
      </c>
      <c r="B1392" s="1008" t="s">
        <v>2116</v>
      </c>
      <c r="C1392" s="968" t="s">
        <v>2804</v>
      </c>
      <c r="M1392" s="897"/>
      <c r="O1392" s="948" t="s">
        <v>2672</v>
      </c>
      <c r="P1392" s="948" t="s">
        <v>2672</v>
      </c>
    </row>
    <row r="1393" spans="1:21">
      <c r="B1393" s="958"/>
      <c r="C1393" s="2129" t="s">
        <v>2971</v>
      </c>
      <c r="D1393" s="2129"/>
      <c r="E1393" s="2129"/>
      <c r="F1393" s="2129"/>
      <c r="G1393" s="2129"/>
      <c r="H1393" s="2129"/>
      <c r="I1393" s="2129"/>
      <c r="J1393" s="2129"/>
      <c r="K1393" s="2129"/>
      <c r="L1393" s="2129"/>
      <c r="M1393" s="896" t="str">
        <f>IF(AND($I$87="Stable Communities &lt; 10%",O1393=""), "X","")</f>
        <v/>
      </c>
      <c r="N1393" s="958" t="s">
        <v>2807</v>
      </c>
      <c r="O1393" s="960" t="str">
        <f>'Part IX A-Scoring Criteria'!O75</f>
        <v>N/a</v>
      </c>
      <c r="P1393" s="1009"/>
    </row>
    <row r="1394" spans="1:21">
      <c r="B1394" s="958"/>
      <c r="E1394" s="946"/>
      <c r="F1394" s="946"/>
      <c r="I1394" s="946"/>
      <c r="J1394" s="946"/>
      <c r="K1394" s="946"/>
      <c r="M1394" s="896"/>
      <c r="N1394" s="896"/>
      <c r="O1394" s="896"/>
      <c r="P1394" s="896"/>
    </row>
    <row r="1395" spans="1:21">
      <c r="A1395" s="947" t="s">
        <v>2113</v>
      </c>
      <c r="B1395" s="887" t="s">
        <v>328</v>
      </c>
      <c r="D1395" s="583"/>
      <c r="E1395" s="583"/>
      <c r="F1395" s="583"/>
      <c r="M1395" s="780">
        <v>2</v>
      </c>
      <c r="O1395" s="948" t="s">
        <v>2672</v>
      </c>
      <c r="P1395" s="948" t="s">
        <v>2672</v>
      </c>
    </row>
    <row r="1396" spans="1:21" ht="15">
      <c r="A1396" s="786" t="str">
        <f>IF(OR(J1387="Earth Craft House Single Family",J1387="Earth Craft House Multifamily",J1387="Earth Craft House Renovation",J1387="EF Green Communities",J1387="LEED for Homes",J1387="NAHB Natl Green Bdlg Stds",J1387="EnergyStar v3"), "X","")</f>
        <v>X</v>
      </c>
      <c r="B1396" s="1010" t="s">
        <v>2114</v>
      </c>
      <c r="C1396" s="951" t="s">
        <v>2975</v>
      </c>
      <c r="D1396" s="993"/>
      <c r="E1396" s="979"/>
      <c r="F1396" s="979"/>
      <c r="G1396" s="979"/>
      <c r="H1396" s="979"/>
      <c r="I1396" s="979"/>
      <c r="J1396" s="979"/>
      <c r="K1396" s="979"/>
      <c r="L1396" s="979"/>
      <c r="M1396" s="888"/>
      <c r="N1396" s="1010" t="s">
        <v>2114</v>
      </c>
      <c r="O1396" s="960" t="str">
        <f>'Part IX A-Scoring Criteria'!O78</f>
        <v>Yes</v>
      </c>
      <c r="P1396" s="960"/>
      <c r="Q1396" s="888"/>
    </row>
    <row r="1397" spans="1:21" ht="15">
      <c r="A1397" s="786" t="str">
        <f>IF(OR(J1387="Earth Craft House Single Family",J1387="Earth Craft House Multifamily",J1387="Earth Craft House Renovation",J1387="EF Green Communities",J1387="LEED for Homes",J1387="NAHB Natl Green Bdlg Stds",J1387="EnergyStar v3"), "X","")</f>
        <v>X</v>
      </c>
      <c r="B1397" s="1010" t="s">
        <v>2116</v>
      </c>
      <c r="C1397" s="951" t="s">
        <v>2972</v>
      </c>
      <c r="D1397" s="993"/>
      <c r="E1397" s="979"/>
      <c r="F1397" s="979"/>
      <c r="G1397" s="979"/>
      <c r="H1397" s="979"/>
      <c r="I1397" s="979"/>
      <c r="J1397" s="979"/>
      <c r="K1397" s="979"/>
      <c r="L1397" s="979"/>
      <c r="M1397" s="888"/>
      <c r="N1397" s="1010" t="s">
        <v>2116</v>
      </c>
      <c r="O1397" s="960" t="str">
        <f>'Part IX A-Scoring Criteria'!O79</f>
        <v>Yes</v>
      </c>
      <c r="P1397" s="960"/>
      <c r="Q1397" s="888"/>
    </row>
    <row r="1398" spans="1:21" ht="15">
      <c r="A1398" s="786" t="str">
        <f>IF(OR(J1387="Earth Craft House Single Family",J1387="Earth Craft House Multifamily",J1387="Earth Craft House Renovation",J1387="EF Green Communities",J1387="LEED for Homes",J1387="NAHB Natl Green Bdlg Stds",J1387="EnergyStar v3"), "X","")</f>
        <v>X</v>
      </c>
      <c r="B1398" s="1010" t="s">
        <v>2698</v>
      </c>
      <c r="C1398" s="951" t="s">
        <v>2973</v>
      </c>
      <c r="D1398" s="993"/>
      <c r="E1398" s="979"/>
      <c r="F1398" s="979"/>
      <c r="G1398" s="979"/>
      <c r="H1398" s="979"/>
      <c r="I1398" s="979"/>
      <c r="J1398" s="979"/>
      <c r="K1398" s="979"/>
      <c r="L1398" s="979"/>
      <c r="M1398" s="888"/>
      <c r="N1398" s="1010" t="s">
        <v>2698</v>
      </c>
      <c r="O1398" s="960" t="str">
        <f>'Part IX A-Scoring Criteria'!O80</f>
        <v>Yes</v>
      </c>
      <c r="P1398" s="960"/>
      <c r="Q1398" s="888"/>
    </row>
    <row r="1399" spans="1:21" ht="15">
      <c r="A1399" s="786" t="str">
        <f>IF(OR(J1387="Earth Craft House Single Family",J1387="Earth Craft House Multifamily",J1387="Earth Craft House Renovation",J1387="EF Green Communities",J1387="LEED for Homes",J1387="NAHB Natl Green Bdlg Stds",J1387="EnergyStar v3"), "X","")</f>
        <v>X</v>
      </c>
      <c r="B1399" s="1010" t="s">
        <v>1295</v>
      </c>
      <c r="C1399" s="951" t="s">
        <v>2974</v>
      </c>
      <c r="D1399" s="993"/>
      <c r="E1399" s="979"/>
      <c r="F1399" s="979"/>
      <c r="G1399" s="979"/>
      <c r="H1399" s="979"/>
      <c r="I1399" s="979"/>
      <c r="J1399" s="979"/>
      <c r="K1399" s="979"/>
      <c r="L1399" s="979"/>
      <c r="M1399" s="888"/>
      <c r="N1399" s="1010" t="s">
        <v>1295</v>
      </c>
      <c r="O1399" s="960" t="str">
        <f>'Part IX A-Scoring Criteria'!O81</f>
        <v>Yes</v>
      </c>
      <c r="P1399" s="960"/>
      <c r="Q1399" s="888"/>
    </row>
    <row r="1400" spans="1:21" ht="15">
      <c r="A1400" s="583"/>
      <c r="B1400" s="941" t="s">
        <v>269</v>
      </c>
      <c r="C1400" s="583"/>
      <c r="D1400" s="587"/>
      <c r="E1400" s="587"/>
      <c r="F1400" s="587"/>
      <c r="G1400" s="587"/>
      <c r="H1400" s="1005"/>
      <c r="I1400" s="1005"/>
      <c r="J1400" s="1005"/>
      <c r="K1400" s="584"/>
      <c r="L1400" s="1005"/>
      <c r="M1400" s="780"/>
      <c r="N1400" s="780"/>
      <c r="O1400" s="975"/>
      <c r="P1400" s="888"/>
      <c r="Q1400" s="1005"/>
    </row>
    <row r="1401" spans="1:21" ht="15.75">
      <c r="A1401" s="2129" t="str">
        <f>'Part IX A-Scoring Criteria'!A83</f>
        <v xml:space="preserve">The project will have a sustainable building certification for multi family. </v>
      </c>
      <c r="B1401" s="2129"/>
      <c r="C1401" s="2129"/>
      <c r="D1401" s="2129"/>
      <c r="E1401" s="2129"/>
      <c r="F1401" s="2129"/>
      <c r="G1401" s="2129"/>
      <c r="H1401" s="2129"/>
      <c r="I1401" s="2129"/>
      <c r="J1401" s="2129"/>
      <c r="K1401" s="2129"/>
      <c r="L1401" s="2129"/>
      <c r="M1401" s="2129"/>
      <c r="N1401" s="2129"/>
      <c r="O1401" s="2129"/>
      <c r="P1401" s="2129"/>
      <c r="Q1401" s="980" t="s">
        <v>1326</v>
      </c>
    </row>
    <row r="1402" spans="1:21" ht="15">
      <c r="A1402" s="979"/>
      <c r="B1402" s="941" t="s">
        <v>1988</v>
      </c>
      <c r="C1402" s="583"/>
      <c r="D1402" s="942"/>
      <c r="E1402" s="944"/>
      <c r="F1402" s="944"/>
      <c r="G1402" s="944"/>
      <c r="H1402" s="944"/>
      <c r="I1402" s="944"/>
      <c r="J1402" s="944"/>
      <c r="K1402" s="944"/>
      <c r="L1402" s="944"/>
      <c r="M1402" s="944"/>
      <c r="N1402" s="991"/>
      <c r="O1402" s="992"/>
      <c r="P1402" s="888"/>
      <c r="Q1402" s="985"/>
    </row>
    <row r="1403" spans="1:21" ht="15.75">
      <c r="A1403" s="2267"/>
      <c r="B1403" s="2267"/>
      <c r="C1403" s="2267"/>
      <c r="D1403" s="2267"/>
      <c r="E1403" s="2267"/>
      <c r="F1403" s="2267"/>
      <c r="G1403" s="2267"/>
      <c r="H1403" s="2267"/>
      <c r="I1403" s="2267"/>
      <c r="J1403" s="2267"/>
      <c r="K1403" s="2267"/>
      <c r="L1403" s="2267"/>
      <c r="M1403" s="2267"/>
      <c r="N1403" s="2267"/>
      <c r="O1403" s="2267"/>
      <c r="P1403" s="2267"/>
      <c r="Q1403" s="980" t="s">
        <v>1326</v>
      </c>
    </row>
    <row r="1404" spans="1:21" ht="15">
      <c r="A1404" s="583"/>
      <c r="B1404" s="979"/>
      <c r="C1404" s="979"/>
      <c r="D1404" s="584"/>
      <c r="E1404" s="584"/>
      <c r="F1404" s="888"/>
      <c r="G1404" s="888"/>
      <c r="H1404" s="888"/>
      <c r="I1404" s="888"/>
      <c r="J1404" s="938"/>
      <c r="K1404" s="938"/>
      <c r="L1404" s="938"/>
      <c r="M1404" s="935"/>
      <c r="N1404" s="888"/>
      <c r="O1404" s="786"/>
      <c r="P1404" s="975"/>
      <c r="Q1404" s="979"/>
    </row>
    <row r="1405" spans="1:21" ht="15">
      <c r="A1405" s="976" t="s">
        <v>530</v>
      </c>
      <c r="B1405" s="977" t="s">
        <v>3064</v>
      </c>
      <c r="C1405" s="1005"/>
      <c r="D1405" s="997"/>
      <c r="E1405" s="997"/>
      <c r="F1405" s="1005"/>
      <c r="G1405" s="1005"/>
      <c r="H1405" s="1005"/>
      <c r="I1405" s="1005"/>
      <c r="J1405" s="1005"/>
      <c r="K1405" s="1005"/>
      <c r="L1405" s="1005"/>
      <c r="M1405" s="888">
        <v>4</v>
      </c>
      <c r="N1405" s="780"/>
      <c r="O1405" s="888">
        <f>IF(AND(E1406="Flexible",D1408=5%,O1407="Yes",NOT(L1409="")),4,IF(AND(E1406="Flexible",D1408=10%,O1407="Yes",NOT(L1409="")),3,IF(AND(E1406="Flexible",D1408=15%,O1407="Yes",NOT(L1409="")),2,IF(OR(AND(E1406="Rural",D1408=15%,L1410&gt;100%,O1407="Yes"),AND(E1406="Rural",D1408=10%,L1410&gt;100%,O1407="Yes"),AND(E1406="Rural",D1408=5%,L1410&gt;100%,O1407="Yes")),3,IF(AND(E1406="Rural",D1408=20%,L1410&gt;100%,O1407="Yes"),2,0)))))</f>
        <v>4</v>
      </c>
      <c r="P1405" s="888"/>
      <c r="Q1405" s="888" t="s">
        <v>461</v>
      </c>
      <c r="U1405" s="975">
        <f>'Part IX A-Scoring Criteria'!O87</f>
        <v>4</v>
      </c>
    </row>
    <row r="1406" spans="1:21">
      <c r="A1406" s="947"/>
      <c r="B1406" s="887" t="s">
        <v>3072</v>
      </c>
      <c r="C1406" s="781"/>
      <c r="D1406" s="781"/>
      <c r="E1406" s="887" t="str">
        <f>'Part I-Project Information'!$H$85</f>
        <v>Flexible</v>
      </c>
      <c r="M1406" s="780"/>
      <c r="O1406" s="948" t="s">
        <v>2672</v>
      </c>
      <c r="P1406" s="948" t="s">
        <v>2672</v>
      </c>
    </row>
    <row r="1407" spans="1:21">
      <c r="A1407" s="786" t="str">
        <f>IF($I$87="Stable Communities &lt; 5%", "*","")</f>
        <v/>
      </c>
      <c r="B1407" s="1008" t="s">
        <v>2114</v>
      </c>
      <c r="C1407" s="566" t="s">
        <v>2898</v>
      </c>
      <c r="M1407" s="784"/>
      <c r="O1407" s="960" t="str">
        <f>'Part IX A-Scoring Criteria'!O89</f>
        <v>Yes</v>
      </c>
      <c r="P1407" s="960"/>
    </row>
    <row r="1408" spans="1:21">
      <c r="B1408" s="1008" t="s">
        <v>2116</v>
      </c>
      <c r="C1408" s="566" t="s">
        <v>2992</v>
      </c>
      <c r="D1408" s="1072">
        <f>'Part IX A-Scoring Criteria'!D90</f>
        <v>0.05</v>
      </c>
      <c r="E1408" s="566" t="s">
        <v>2993</v>
      </c>
      <c r="H1408" s="566" t="s">
        <v>2540</v>
      </c>
      <c r="K1408" s="584" t="s">
        <v>2991</v>
      </c>
      <c r="L1408" s="1073">
        <f>'Part IX A-Scoring Criteria'!L90</f>
        <v>4.9700000000000001E-2</v>
      </c>
      <c r="M1408" s="888"/>
      <c r="N1408" s="961"/>
      <c r="O1408" s="786"/>
      <c r="P1408" s="786"/>
    </row>
    <row r="1409" spans="1:21">
      <c r="B1409" s="1008" t="s">
        <v>2698</v>
      </c>
      <c r="C1409" s="566" t="s">
        <v>2541</v>
      </c>
      <c r="H1409" s="566" t="s">
        <v>2542</v>
      </c>
      <c r="K1409" s="949" t="s">
        <v>2980</v>
      </c>
      <c r="L1409" s="566" t="str">
        <f>'Part IX A-Scoring Criteria'!L91</f>
        <v>Upper</v>
      </c>
      <c r="M1409" s="888"/>
      <c r="N1409" s="784"/>
      <c r="O1409" s="786"/>
      <c r="P1409" s="786"/>
    </row>
    <row r="1410" spans="1:21">
      <c r="B1410" s="1008" t="s">
        <v>1295</v>
      </c>
      <c r="C1410" s="566" t="s">
        <v>3222</v>
      </c>
      <c r="H1410" s="566"/>
      <c r="K1410" s="584" t="s">
        <v>2991</v>
      </c>
      <c r="L1410" s="1073">
        <f>'Part IX A-Scoring Criteria'!L92</f>
        <v>0</v>
      </c>
      <c r="M1410" s="888"/>
      <c r="N1410" s="784"/>
      <c r="O1410" s="786"/>
      <c r="P1410" s="786"/>
    </row>
    <row r="1411" spans="1:21" ht="15">
      <c r="A1411" s="583"/>
      <c r="B1411" s="941" t="s">
        <v>269</v>
      </c>
      <c r="C1411" s="583"/>
      <c r="D1411" s="587"/>
      <c r="E1411" s="587"/>
      <c r="F1411" s="587"/>
      <c r="G1411" s="587"/>
      <c r="H1411" s="584"/>
      <c r="I1411" s="584"/>
      <c r="J1411" s="584"/>
      <c r="K1411" s="584"/>
      <c r="L1411" s="979"/>
      <c r="M1411" s="780"/>
      <c r="N1411" s="784"/>
      <c r="O1411" s="975"/>
      <c r="P1411" s="786"/>
      <c r="Q1411" s="979"/>
    </row>
    <row r="1412" spans="1:21" ht="15.75">
      <c r="A1412" s="2129" t="str">
        <f>'Part IX A-Scoring Criteria'!A94</f>
        <v xml:space="preserve">See tab 28 for documentation. </v>
      </c>
      <c r="B1412" s="2129"/>
      <c r="C1412" s="2129"/>
      <c r="D1412" s="2129"/>
      <c r="E1412" s="2129"/>
      <c r="F1412" s="2129"/>
      <c r="G1412" s="2129"/>
      <c r="H1412" s="2129"/>
      <c r="I1412" s="2129"/>
      <c r="J1412" s="2129"/>
      <c r="K1412" s="2129"/>
      <c r="L1412" s="2129"/>
      <c r="M1412" s="2129"/>
      <c r="N1412" s="2129"/>
      <c r="O1412" s="2129"/>
      <c r="P1412" s="2129"/>
      <c r="Q1412" s="980" t="s">
        <v>1326</v>
      </c>
    </row>
    <row r="1413" spans="1:21" ht="15">
      <c r="A1413" s="583"/>
      <c r="B1413" s="942" t="s">
        <v>1988</v>
      </c>
      <c r="C1413" s="583"/>
      <c r="D1413" s="942"/>
      <c r="E1413" s="944"/>
      <c r="F1413" s="944"/>
      <c r="G1413" s="944"/>
      <c r="H1413" s="944"/>
      <c r="I1413" s="944"/>
      <c r="J1413" s="944"/>
      <c r="K1413" s="944"/>
      <c r="L1413" s="944"/>
      <c r="M1413" s="944"/>
      <c r="N1413" s="991"/>
      <c r="O1413" s="992"/>
      <c r="P1413" s="888"/>
      <c r="Q1413" s="985"/>
    </row>
    <row r="1414" spans="1:21" ht="15.75">
      <c r="A1414" s="2267"/>
      <c r="B1414" s="2267"/>
      <c r="C1414" s="2267"/>
      <c r="D1414" s="2267"/>
      <c r="E1414" s="2267"/>
      <c r="F1414" s="2267"/>
      <c r="G1414" s="2267"/>
      <c r="H1414" s="2267"/>
      <c r="I1414" s="2267"/>
      <c r="J1414" s="2267"/>
      <c r="K1414" s="2267"/>
      <c r="L1414" s="2267"/>
      <c r="M1414" s="2267"/>
      <c r="N1414" s="2267"/>
      <c r="O1414" s="2267"/>
      <c r="P1414" s="2267"/>
      <c r="Q1414" s="980" t="s">
        <v>1326</v>
      </c>
    </row>
    <row r="1415" spans="1:21" ht="15">
      <c r="A1415" s="583"/>
      <c r="B1415" s="979"/>
      <c r="C1415" s="979"/>
      <c r="D1415" s="584"/>
      <c r="E1415" s="584"/>
      <c r="F1415" s="888"/>
      <c r="G1415" s="888"/>
      <c r="H1415" s="888"/>
      <c r="I1415" s="888"/>
      <c r="J1415" s="938"/>
      <c r="K1415" s="938"/>
      <c r="L1415" s="938"/>
      <c r="M1415" s="935"/>
      <c r="N1415" s="888"/>
      <c r="O1415" s="786"/>
      <c r="P1415" s="975"/>
      <c r="Q1415" s="979"/>
    </row>
    <row r="1416" spans="1:21" ht="15">
      <c r="A1416" s="976" t="s">
        <v>531</v>
      </c>
      <c r="B1416" s="977" t="s">
        <v>3073</v>
      </c>
      <c r="C1416" s="1005"/>
      <c r="D1416" s="997"/>
      <c r="E1416" s="997"/>
      <c r="F1416" s="1005"/>
      <c r="G1416" s="1005"/>
      <c r="H1416" s="906"/>
      <c r="I1416" s="1005"/>
      <c r="J1416" s="2270" t="str">
        <f>'Part IX A-Scoring Criteria'!J98</f>
        <v>&lt;Select a Community Revitalization Plan option&gt;</v>
      </c>
      <c r="K1416" s="2270"/>
      <c r="L1416" s="2270"/>
      <c r="M1416" s="888">
        <v>3</v>
      </c>
      <c r="N1416" s="780"/>
      <c r="O1416" s="888">
        <f>IF(J1416="Adopted Revitalization Plan",2,IF(J1416="Designated Military Zone",1,IF(J1416="Adptd Revital Plan &amp; Desig MZ",3,IF(J1416="HUD Choice Neighborhood",2,0))))</f>
        <v>0</v>
      </c>
      <c r="P1416" s="888"/>
      <c r="Q1416" s="888" t="s">
        <v>461</v>
      </c>
      <c r="U1416" s="975">
        <f>'Part IX A-Scoring Criteria'!O98</f>
        <v>0</v>
      </c>
    </row>
    <row r="1417" spans="1:21">
      <c r="A1417" s="947" t="s">
        <v>2110</v>
      </c>
      <c r="B1417" s="887" t="s">
        <v>3078</v>
      </c>
      <c r="E1417" s="583"/>
      <c r="F1417" s="934" t="s">
        <v>3079</v>
      </c>
      <c r="I1417" s="2180">
        <f>'Part IX A-Scoring Criteria'!I99</f>
        <v>0</v>
      </c>
      <c r="J1417" s="2180"/>
      <c r="K1417" s="2180"/>
      <c r="L1417" s="2180"/>
      <c r="M1417" s="2180"/>
      <c r="N1417" s="2180"/>
      <c r="O1417" s="2180"/>
      <c r="P1417" s="2180"/>
    </row>
    <row r="1418" spans="1:21" ht="15">
      <c r="A1418" s="947"/>
      <c r="B1418" s="566" t="s">
        <v>3341</v>
      </c>
      <c r="C1418" s="979"/>
      <c r="D1418" s="583"/>
      <c r="E1418" s="979"/>
      <c r="F1418" s="979"/>
      <c r="G1418" s="979"/>
      <c r="H1418" s="979"/>
      <c r="I1418" s="979"/>
      <c r="J1418" s="979"/>
      <c r="K1418" s="979"/>
      <c r="L1418" s="979"/>
      <c r="M1418" s="979"/>
      <c r="N1418" s="939"/>
      <c r="O1418" s="960" t="str">
        <f>'Part IX A-Scoring Criteria'!O100</f>
        <v>N/a</v>
      </c>
      <c r="P1418" s="960"/>
      <c r="Q1418" s="979"/>
    </row>
    <row r="1419" spans="1:21" ht="15">
      <c r="A1419" s="888"/>
      <c r="B1419" s="954" t="s">
        <v>3418</v>
      </c>
      <c r="C1419" s="979"/>
      <c r="D1419" s="979"/>
      <c r="E1419" s="938"/>
      <c r="F1419" s="979"/>
      <c r="G1419" s="949" t="s">
        <v>3144</v>
      </c>
      <c r="H1419" s="2271">
        <f>'Part I-Project Information'!O1345</f>
        <v>0</v>
      </c>
      <c r="I1419" s="2175"/>
      <c r="J1419" s="979"/>
      <c r="K1419" s="979"/>
      <c r="L1419" s="979"/>
      <c r="M1419" s="780">
        <v>2</v>
      </c>
      <c r="N1419" s="979"/>
      <c r="O1419" s="948" t="s">
        <v>2672</v>
      </c>
      <c r="P1419" s="948" t="s">
        <v>2672</v>
      </c>
      <c r="Q1419" s="979"/>
    </row>
    <row r="1420" spans="1:21" ht="15">
      <c r="A1420" s="786"/>
      <c r="B1420" s="939" t="s">
        <v>2590</v>
      </c>
      <c r="C1420" s="566" t="s">
        <v>3134</v>
      </c>
      <c r="D1420" s="1005"/>
      <c r="E1420" s="938"/>
      <c r="F1420" s="979"/>
      <c r="G1420" s="995" t="s">
        <v>3344</v>
      </c>
      <c r="H1420" s="979"/>
      <c r="I1420" s="1074">
        <f>'Part IX A-Scoring Criteria'!I102</f>
        <v>0</v>
      </c>
      <c r="J1420" s="979"/>
      <c r="K1420" s="979"/>
      <c r="L1420" s="979"/>
      <c r="M1420" s="786"/>
      <c r="N1420" s="939" t="s">
        <v>2590</v>
      </c>
      <c r="O1420" s="960" t="str">
        <f>'Part IX A-Scoring Criteria'!O102</f>
        <v>N/a</v>
      </c>
      <c r="P1420" s="960"/>
      <c r="Q1420" s="979"/>
    </row>
    <row r="1421" spans="1:21" ht="15">
      <c r="A1421" s="786"/>
      <c r="B1421" s="939" t="s">
        <v>2591</v>
      </c>
      <c r="C1421" s="949" t="s">
        <v>3135</v>
      </c>
      <c r="D1421" s="1005"/>
      <c r="E1421" s="938"/>
      <c r="F1421" s="979"/>
      <c r="G1421" s="995" t="s">
        <v>3330</v>
      </c>
      <c r="H1421" s="2272">
        <f>'Part IX A-Scoring Criteria'!H103</f>
        <v>0</v>
      </c>
      <c r="I1421" s="2272"/>
      <c r="J1421" s="979"/>
      <c r="K1421" s="995" t="s">
        <v>3339</v>
      </c>
      <c r="L1421" s="2273">
        <f>'Part IX A-Scoring Criteria'!L103</f>
        <v>0</v>
      </c>
      <c r="M1421" s="2273"/>
      <c r="N1421" s="939" t="s">
        <v>2591</v>
      </c>
      <c r="O1421" s="960" t="str">
        <f>'Part IX A-Scoring Criteria'!O103</f>
        <v>N/a</v>
      </c>
      <c r="P1421" s="960"/>
      <c r="Q1421" s="979"/>
    </row>
    <row r="1422" spans="1:21" ht="15">
      <c r="A1422" s="786"/>
      <c r="B1422" s="939"/>
      <c r="C1422" s="949"/>
      <c r="D1422" s="1005"/>
      <c r="E1422" s="938"/>
      <c r="F1422" s="979"/>
      <c r="G1422" s="995" t="s">
        <v>3131</v>
      </c>
      <c r="H1422" s="2272">
        <f>'Part IX A-Scoring Criteria'!H104</f>
        <v>0</v>
      </c>
      <c r="I1422" s="2272"/>
      <c r="J1422" s="979"/>
      <c r="K1422" s="995" t="s">
        <v>3130</v>
      </c>
      <c r="L1422" s="2273" t="str">
        <f>'Part IX A-Scoring Criteria'!L104</f>
        <v>&lt;&lt;Select event type&gt;&gt;</v>
      </c>
      <c r="M1422" s="2273"/>
      <c r="N1422" s="979"/>
      <c r="O1422" s="979"/>
      <c r="P1422" s="979"/>
      <c r="Q1422" s="979"/>
    </row>
    <row r="1423" spans="1:21" ht="13.5">
      <c r="B1423" s="939" t="s">
        <v>2592</v>
      </c>
      <c r="C1423" s="949" t="s">
        <v>3136</v>
      </c>
      <c r="D1423" s="566"/>
      <c r="G1423" s="995" t="s">
        <v>3340</v>
      </c>
      <c r="L1423" s="1074">
        <f>'Part IX A-Scoring Criteria'!L105</f>
        <v>0</v>
      </c>
      <c r="M1423" s="786"/>
      <c r="N1423" s="939" t="s">
        <v>2592</v>
      </c>
      <c r="O1423" s="960" t="str">
        <f>'Part IX A-Scoring Criteria'!O105</f>
        <v>N/a</v>
      </c>
      <c r="P1423" s="960"/>
    </row>
    <row r="1424" spans="1:21" ht="13.5">
      <c r="B1424" s="939"/>
      <c r="C1424" s="949"/>
      <c r="D1424" s="566"/>
      <c r="G1424" s="995" t="s">
        <v>3419</v>
      </c>
      <c r="L1424" s="2272">
        <f>'Part IX A-Scoring Criteria'!L106</f>
        <v>0</v>
      </c>
      <c r="M1424" s="2272"/>
    </row>
    <row r="1425" spans="1:17" ht="13.5">
      <c r="B1425" s="939"/>
      <c r="C1425" s="949" t="s">
        <v>3133</v>
      </c>
      <c r="D1425" s="566"/>
      <c r="G1425" s="995"/>
      <c r="K1425" s="824" t="s">
        <v>2928</v>
      </c>
      <c r="L1425" s="824">
        <f>'Part IX A-Scoring Criteria'!L107</f>
        <v>0</v>
      </c>
      <c r="M1425" s="786"/>
      <c r="N1425" s="939"/>
      <c r="O1425" s="960" t="str">
        <f>'Part IX A-Scoring Criteria'!O107</f>
        <v>N/a</v>
      </c>
      <c r="P1425" s="960"/>
    </row>
    <row r="1426" spans="1:17">
      <c r="B1426" s="939" t="s">
        <v>2593</v>
      </c>
      <c r="C1426" s="584" t="s">
        <v>3137</v>
      </c>
      <c r="K1426" s="824" t="s">
        <v>2928</v>
      </c>
      <c r="L1426" s="824">
        <f>'Part IX A-Scoring Criteria'!L108</f>
        <v>0</v>
      </c>
      <c r="M1426" s="786"/>
      <c r="N1426" s="939" t="s">
        <v>2593</v>
      </c>
      <c r="O1426" s="960" t="str">
        <f>'Part IX A-Scoring Criteria'!O108</f>
        <v>N/a</v>
      </c>
      <c r="P1426" s="960"/>
    </row>
    <row r="1427" spans="1:17">
      <c r="B1427" s="939" t="s">
        <v>2594</v>
      </c>
      <c r="C1427" s="584" t="s">
        <v>3138</v>
      </c>
      <c r="K1427" s="824" t="s">
        <v>2928</v>
      </c>
      <c r="L1427" s="824">
        <f>'Part IX A-Scoring Criteria'!L109</f>
        <v>0</v>
      </c>
      <c r="M1427" s="786"/>
      <c r="N1427" s="939" t="s">
        <v>2594</v>
      </c>
      <c r="O1427" s="960" t="str">
        <f>'Part IX A-Scoring Criteria'!O109</f>
        <v>N/a</v>
      </c>
      <c r="P1427" s="960"/>
    </row>
    <row r="1428" spans="1:17">
      <c r="B1428" s="939" t="s">
        <v>2610</v>
      </c>
      <c r="C1428" s="584" t="s">
        <v>3141</v>
      </c>
      <c r="K1428" s="824" t="s">
        <v>2928</v>
      </c>
      <c r="L1428" s="824">
        <f>'Part IX A-Scoring Criteria'!L110</f>
        <v>0</v>
      </c>
      <c r="M1428" s="786"/>
      <c r="N1428" s="939" t="s">
        <v>2610</v>
      </c>
      <c r="O1428" s="960" t="str">
        <f>'Part IX A-Scoring Criteria'!O110</f>
        <v>N/a</v>
      </c>
      <c r="P1428" s="960"/>
    </row>
    <row r="1429" spans="1:17">
      <c r="B1429" s="939"/>
      <c r="C1429" s="584" t="s">
        <v>3139</v>
      </c>
      <c r="K1429" s="817"/>
      <c r="M1429" s="786"/>
      <c r="N1429" s="939"/>
      <c r="O1429" s="960" t="str">
        <f>'Part IX A-Scoring Criteria'!O111</f>
        <v>N/a</v>
      </c>
      <c r="P1429" s="960"/>
    </row>
    <row r="1430" spans="1:17">
      <c r="B1430" s="939" t="s">
        <v>2611</v>
      </c>
      <c r="C1430" s="584" t="s">
        <v>3140</v>
      </c>
      <c r="D1430" s="566"/>
      <c r="K1430" s="824" t="s">
        <v>2928</v>
      </c>
      <c r="L1430" s="824">
        <f>'Part IX A-Scoring Criteria'!L112</f>
        <v>0</v>
      </c>
      <c r="M1430" s="786"/>
      <c r="N1430" s="939" t="s">
        <v>2611</v>
      </c>
      <c r="O1430" s="960" t="str">
        <f>'Part IX A-Scoring Criteria'!O112</f>
        <v>N/a</v>
      </c>
      <c r="P1430" s="960"/>
    </row>
    <row r="1431" spans="1:17">
      <c r="B1431" s="939" t="s">
        <v>2612</v>
      </c>
      <c r="C1431" s="584" t="s">
        <v>3142</v>
      </c>
      <c r="K1431" s="824" t="s">
        <v>2928</v>
      </c>
      <c r="L1431" s="824">
        <f>'Part IX A-Scoring Criteria'!L113</f>
        <v>0</v>
      </c>
      <c r="M1431" s="786"/>
      <c r="N1431" s="939" t="s">
        <v>2612</v>
      </c>
      <c r="O1431" s="960" t="str">
        <f>'Part IX A-Scoring Criteria'!O113</f>
        <v>N/a</v>
      </c>
      <c r="P1431" s="960"/>
    </row>
    <row r="1432" spans="1:17">
      <c r="B1432" s="939" t="s">
        <v>2613</v>
      </c>
      <c r="C1432" s="584" t="s">
        <v>3143</v>
      </c>
      <c r="K1432" s="824" t="s">
        <v>2928</v>
      </c>
      <c r="L1432" s="824">
        <f>'Part IX A-Scoring Criteria'!L114</f>
        <v>0</v>
      </c>
      <c r="M1432" s="786"/>
      <c r="N1432" s="939" t="s">
        <v>2613</v>
      </c>
      <c r="O1432" s="960" t="str">
        <f>'Part IX A-Scoring Criteria'!O114</f>
        <v>N/a</v>
      </c>
      <c r="P1432" s="960"/>
    </row>
    <row r="1433" spans="1:17">
      <c r="B1433" s="939" t="s">
        <v>2614</v>
      </c>
      <c r="C1433" s="584" t="s">
        <v>3145</v>
      </c>
      <c r="K1433" s="824" t="s">
        <v>2928</v>
      </c>
      <c r="L1433" s="824">
        <f>'Part IX A-Scoring Criteria'!L115</f>
        <v>0</v>
      </c>
      <c r="M1433" s="786"/>
      <c r="N1433" s="939" t="s">
        <v>2614</v>
      </c>
      <c r="O1433" s="960" t="str">
        <f>'Part IX A-Scoring Criteria'!O115</f>
        <v>N/a</v>
      </c>
      <c r="P1433" s="960"/>
    </row>
    <row r="1434" spans="1:17">
      <c r="A1434" s="947" t="s">
        <v>2113</v>
      </c>
      <c r="B1434" s="887" t="s">
        <v>3075</v>
      </c>
      <c r="D1434" s="583"/>
      <c r="M1434" s="784">
        <v>1</v>
      </c>
      <c r="O1434" s="948" t="s">
        <v>2672</v>
      </c>
      <c r="P1434" s="948" t="s">
        <v>2672</v>
      </c>
    </row>
    <row r="1435" spans="1:17" ht="13.5">
      <c r="A1435" s="940" t="s">
        <v>1434</v>
      </c>
      <c r="B1435" s="566" t="s">
        <v>3077</v>
      </c>
      <c r="O1435" s="960" t="str">
        <f>'Part IX A-Scoring Criteria'!O117</f>
        <v>No</v>
      </c>
      <c r="P1435" s="960"/>
      <c r="Q1435" s="995"/>
    </row>
    <row r="1436" spans="1:17">
      <c r="A1436" s="947" t="s">
        <v>793</v>
      </c>
      <c r="B1436" s="887" t="s">
        <v>3076</v>
      </c>
      <c r="C1436" s="887"/>
      <c r="D1436" s="583"/>
      <c r="M1436" s="780">
        <v>2</v>
      </c>
      <c r="O1436" s="935" t="s">
        <v>2672</v>
      </c>
      <c r="P1436" s="935" t="s">
        <v>2672</v>
      </c>
    </row>
    <row r="1437" spans="1:17">
      <c r="B1437" s="2129" t="s">
        <v>3276</v>
      </c>
      <c r="C1437" s="2129"/>
      <c r="D1437" s="2129"/>
      <c r="E1437" s="2129"/>
      <c r="F1437" s="2129"/>
      <c r="G1437" s="2129"/>
      <c r="H1437" s="2129"/>
      <c r="I1437" s="2129"/>
      <c r="J1437" s="2129"/>
      <c r="K1437" s="2129"/>
      <c r="L1437" s="2129"/>
      <c r="O1437" s="960" t="str">
        <f>'Part IX A-Scoring Criteria'!O119</f>
        <v>No</v>
      </c>
      <c r="P1437" s="960"/>
    </row>
    <row r="1438" spans="1:17" ht="15">
      <c r="A1438" s="583"/>
      <c r="B1438" s="941" t="s">
        <v>269</v>
      </c>
      <c r="C1438" s="583"/>
      <c r="D1438" s="587"/>
      <c r="E1438" s="587"/>
      <c r="F1438" s="587"/>
      <c r="G1438" s="587"/>
      <c r="H1438" s="584"/>
      <c r="I1438" s="584"/>
      <c r="J1438" s="584"/>
      <c r="K1438" s="584"/>
      <c r="L1438" s="979"/>
      <c r="M1438" s="780"/>
      <c r="N1438" s="784"/>
      <c r="O1438" s="975"/>
      <c r="P1438" s="786"/>
      <c r="Q1438" s="979"/>
    </row>
    <row r="1439" spans="1:17" ht="15.75">
      <c r="A1439" s="2129">
        <f>'Part IX A-Scoring Criteria'!A121</f>
        <v>0</v>
      </c>
      <c r="B1439" s="2129"/>
      <c r="C1439" s="2129"/>
      <c r="D1439" s="2129"/>
      <c r="E1439" s="2129"/>
      <c r="F1439" s="2129"/>
      <c r="G1439" s="2129"/>
      <c r="H1439" s="2129"/>
      <c r="I1439" s="2129"/>
      <c r="J1439" s="2129"/>
      <c r="K1439" s="2129"/>
      <c r="L1439" s="2129"/>
      <c r="M1439" s="2129"/>
      <c r="N1439" s="2129"/>
      <c r="O1439" s="2129"/>
      <c r="P1439" s="2129"/>
      <c r="Q1439" s="980" t="s">
        <v>1326</v>
      </c>
    </row>
    <row r="1440" spans="1:17" ht="15">
      <c r="A1440" s="583"/>
      <c r="B1440" s="942" t="s">
        <v>1988</v>
      </c>
      <c r="C1440" s="583"/>
      <c r="D1440" s="942"/>
      <c r="E1440" s="944"/>
      <c r="F1440" s="944"/>
      <c r="G1440" s="944"/>
      <c r="H1440" s="944"/>
      <c r="I1440" s="944"/>
      <c r="J1440" s="944"/>
      <c r="K1440" s="944"/>
      <c r="L1440" s="944"/>
      <c r="M1440" s="944"/>
      <c r="N1440" s="991"/>
      <c r="O1440" s="992"/>
      <c r="P1440" s="888"/>
      <c r="Q1440" s="985"/>
    </row>
    <row r="1441" spans="1:21" ht="15.75">
      <c r="A1441" s="2267"/>
      <c r="B1441" s="2267"/>
      <c r="C1441" s="2267"/>
      <c r="D1441" s="2267"/>
      <c r="E1441" s="2267"/>
      <c r="F1441" s="2267"/>
      <c r="G1441" s="2267"/>
      <c r="H1441" s="2267"/>
      <c r="I1441" s="2267"/>
      <c r="J1441" s="2267"/>
      <c r="K1441" s="2267"/>
      <c r="L1441" s="2267"/>
      <c r="M1441" s="2267"/>
      <c r="N1441" s="2267"/>
      <c r="O1441" s="2267"/>
      <c r="P1441" s="2267"/>
      <c r="Q1441" s="980" t="s">
        <v>1326</v>
      </c>
    </row>
    <row r="1442" spans="1:21">
      <c r="N1442" s="784"/>
      <c r="O1442" s="786"/>
      <c r="P1442" s="786"/>
    </row>
    <row r="1443" spans="1:21" ht="15">
      <c r="A1443" s="976" t="s">
        <v>227</v>
      </c>
      <c r="B1443" s="977" t="s">
        <v>2615</v>
      </c>
      <c r="C1443" s="979"/>
      <c r="D1443" s="993"/>
      <c r="E1443" s="993"/>
      <c r="F1443" s="993"/>
      <c r="G1443" s="979"/>
      <c r="H1443" s="1011"/>
      <c r="I1443" s="979"/>
      <c r="J1443" s="1011" t="s">
        <v>419</v>
      </c>
      <c r="K1443" s="587"/>
      <c r="L1443" s="979"/>
      <c r="M1443" s="888">
        <v>3</v>
      </c>
      <c r="N1443" s="780"/>
      <c r="O1443" s="888">
        <f>IF(AND(J1444="Flexible",O1444=$M1444),$M1444,IF(O1450&gt;0,O1450,0))</f>
        <v>3</v>
      </c>
      <c r="P1443" s="888">
        <f>MIN($M1443,(P1444+P1450))</f>
        <v>0</v>
      </c>
      <c r="Q1443" s="888" t="s">
        <v>461</v>
      </c>
      <c r="U1443" s="975">
        <f>'Part IX A-Scoring Criteria'!O125</f>
        <v>3</v>
      </c>
    </row>
    <row r="1444" spans="1:21" ht="13.5">
      <c r="A1444" s="890" t="s">
        <v>2110</v>
      </c>
      <c r="B1444" s="887" t="s">
        <v>2371</v>
      </c>
      <c r="D1444" s="583"/>
      <c r="E1444" s="583"/>
      <c r="F1444" s="583"/>
      <c r="G1444" s="580" t="str">
        <f>IF(AND(O1444&lt;0,L1451&lt;0),"Select either A or B but not both!&gt;","")</f>
        <v/>
      </c>
      <c r="H1444" s="887" t="s">
        <v>3072</v>
      </c>
      <c r="I1444" s="781"/>
      <c r="J1444" s="887" t="str">
        <f>'Part I-Project Information'!$H$85</f>
        <v>Flexible</v>
      </c>
      <c r="M1444" s="780">
        <v>3</v>
      </c>
      <c r="N1444" s="939" t="s">
        <v>2110</v>
      </c>
      <c r="O1444" s="888">
        <f>'Part IX A-Scoring Criteria'!O126</f>
        <v>0</v>
      </c>
      <c r="P1444" s="888"/>
      <c r="Q1444" s="995" t="s">
        <v>2929</v>
      </c>
    </row>
    <row r="1445" spans="1:21">
      <c r="A1445" s="566"/>
      <c r="B1445" s="1001" t="s">
        <v>2114</v>
      </c>
      <c r="C1445" s="2129" t="s">
        <v>3277</v>
      </c>
      <c r="D1445" s="2130"/>
      <c r="E1445" s="2130"/>
      <c r="F1445" s="2130"/>
      <c r="G1445" s="2130"/>
      <c r="H1445" s="2130"/>
      <c r="I1445" s="2130"/>
      <c r="J1445" s="2130"/>
      <c r="K1445" s="2130"/>
      <c r="L1445" s="2130"/>
      <c r="M1445" s="1000"/>
      <c r="N1445" s="1001" t="s">
        <v>2114</v>
      </c>
      <c r="O1445" s="960" t="str">
        <f>'Part IX A-Scoring Criteria'!O127</f>
        <v>N/a</v>
      </c>
      <c r="P1445" s="960"/>
      <c r="Q1445" s="566"/>
    </row>
    <row r="1446" spans="1:21">
      <c r="A1446" s="566"/>
      <c r="B1446" s="994"/>
      <c r="C1446" s="584" t="s">
        <v>1014</v>
      </c>
      <c r="D1446" s="566"/>
      <c r="E1446" s="566"/>
      <c r="F1446" s="566"/>
      <c r="G1446" s="566"/>
      <c r="H1446" s="948" t="s">
        <v>2756</v>
      </c>
      <c r="I1446" s="782">
        <f>'Part IX A-Scoring Criteria'!I128</f>
        <v>0</v>
      </c>
      <c r="J1446" s="948" t="s">
        <v>2442</v>
      </c>
      <c r="K1446" s="2143">
        <f>'Part IX A-Scoring Criteria'!K128</f>
        <v>0</v>
      </c>
      <c r="L1446" s="2143"/>
      <c r="M1446" s="2143"/>
      <c r="N1446" s="566"/>
      <c r="O1446" s="566"/>
      <c r="P1446" s="566"/>
      <c r="Q1446" s="566"/>
    </row>
    <row r="1447" spans="1:21">
      <c r="A1447" s="566"/>
      <c r="B1447" s="994" t="s">
        <v>2116</v>
      </c>
      <c r="C1447" s="584" t="s">
        <v>1015</v>
      </c>
      <c r="D1447" s="566"/>
      <c r="E1447" s="566"/>
      <c r="F1447" s="566"/>
      <c r="G1447" s="566"/>
      <c r="H1447" s="566"/>
      <c r="I1447" s="566"/>
      <c r="J1447" s="566"/>
      <c r="K1447" s="566"/>
      <c r="L1447" s="566"/>
      <c r="M1447" s="780"/>
      <c r="N1447" s="994" t="s">
        <v>2116</v>
      </c>
      <c r="O1447" s="960" t="str">
        <f>'Part IX A-Scoring Criteria'!O129</f>
        <v>N/a</v>
      </c>
      <c r="P1447" s="960"/>
      <c r="Q1447" s="566"/>
    </row>
    <row r="1448" spans="1:21">
      <c r="A1448" s="566"/>
      <c r="B1448" s="994" t="s">
        <v>2698</v>
      </c>
      <c r="C1448" s="584" t="s">
        <v>1016</v>
      </c>
      <c r="D1448" s="566"/>
      <c r="E1448" s="566"/>
      <c r="F1448" s="566"/>
      <c r="G1448" s="566"/>
      <c r="H1448" s="566"/>
      <c r="I1448" s="566"/>
      <c r="J1448" s="566"/>
      <c r="K1448" s="566"/>
      <c r="L1448" s="566"/>
      <c r="M1448" s="780"/>
      <c r="N1448" s="994" t="s">
        <v>2698</v>
      </c>
      <c r="O1448" s="960" t="str">
        <f>'Part IX A-Scoring Criteria'!O130</f>
        <v>N/a</v>
      </c>
      <c r="P1448" s="960"/>
      <c r="Q1448" s="566"/>
    </row>
    <row r="1449" spans="1:21">
      <c r="A1449" s="940" t="s">
        <v>1434</v>
      </c>
      <c r="B1449" s="994" t="s">
        <v>1295</v>
      </c>
      <c r="C1449" s="584" t="s">
        <v>1017</v>
      </c>
      <c r="D1449" s="566"/>
      <c r="E1449" s="566"/>
      <c r="F1449" s="566"/>
      <c r="G1449" s="566"/>
      <c r="H1449" s="566"/>
      <c r="I1449" s="566"/>
      <c r="J1449" s="566"/>
      <c r="K1449" s="566"/>
      <c r="L1449" s="566"/>
      <c r="M1449" s="780"/>
      <c r="N1449" s="994" t="s">
        <v>1295</v>
      </c>
      <c r="O1449" s="960" t="str">
        <f>'Part IX A-Scoring Criteria'!O131</f>
        <v>N/a</v>
      </c>
      <c r="P1449" s="960"/>
      <c r="Q1449" s="566"/>
    </row>
    <row r="1450" spans="1:21" ht="13.5">
      <c r="A1450" s="890" t="s">
        <v>2113</v>
      </c>
      <c r="B1450" s="887" t="s">
        <v>2372</v>
      </c>
      <c r="E1450" s="995" t="s">
        <v>3032</v>
      </c>
      <c r="M1450" s="780">
        <v>3</v>
      </c>
      <c r="N1450" s="939" t="s">
        <v>2113</v>
      </c>
      <c r="O1450" s="780">
        <f>IF($L1451=5,3,IF($L1451=4,2,0))</f>
        <v>3</v>
      </c>
      <c r="P1450" s="888"/>
    </row>
    <row r="1451" spans="1:21" ht="15">
      <c r="B1451" s="938" t="s">
        <v>3146</v>
      </c>
      <c r="D1451" s="583"/>
      <c r="E1451" s="583"/>
      <c r="F1451" s="583"/>
      <c r="G1451" s="938"/>
      <c r="H1451" s="938"/>
      <c r="I1451" s="938"/>
      <c r="J1451" s="938"/>
      <c r="L1451" s="935">
        <f>'Part IX A-Scoring Criteria'!L133</f>
        <v>5</v>
      </c>
      <c r="M1451" s="584" t="s">
        <v>3147</v>
      </c>
      <c r="N1451" s="784"/>
      <c r="O1451" s="1005"/>
      <c r="P1451" s="1005"/>
    </row>
    <row r="1452" spans="1:21" ht="15">
      <c r="B1452" s="938" t="s">
        <v>3148</v>
      </c>
      <c r="D1452" s="583"/>
      <c r="E1452" s="583"/>
      <c r="F1452" s="583"/>
      <c r="G1452" s="938"/>
      <c r="H1452" s="938"/>
      <c r="I1452" s="938"/>
      <c r="J1452" s="938"/>
      <c r="N1452" s="584"/>
      <c r="O1452" s="1005"/>
      <c r="P1452" s="1005"/>
    </row>
    <row r="1453" spans="1:21" ht="15">
      <c r="A1453" s="583"/>
      <c r="B1453" s="941" t="s">
        <v>269</v>
      </c>
      <c r="C1453" s="583"/>
      <c r="D1453" s="587"/>
      <c r="E1453" s="587"/>
      <c r="F1453" s="587"/>
      <c r="G1453" s="587"/>
      <c r="H1453" s="584"/>
      <c r="I1453" s="584"/>
      <c r="J1453" s="584"/>
      <c r="K1453" s="584"/>
      <c r="L1453" s="979"/>
      <c r="M1453" s="780"/>
      <c r="N1453" s="784"/>
      <c r="O1453" s="975"/>
      <c r="P1453" s="786"/>
      <c r="Q1453" s="979"/>
    </row>
    <row r="1454" spans="1:21" ht="15.75">
      <c r="A1454" s="2129" t="str">
        <f>'Part IX A-Scoring Criteria'!A136</f>
        <v>The subject property is located in a non-Rural area outside of a 2-mile radius from a funded project.  Please see Tab 30 for a map of the two-mile radius.</v>
      </c>
      <c r="B1454" s="2129"/>
      <c r="C1454" s="2129"/>
      <c r="D1454" s="2129"/>
      <c r="E1454" s="2129"/>
      <c r="F1454" s="2129"/>
      <c r="G1454" s="2129"/>
      <c r="H1454" s="2129"/>
      <c r="I1454" s="2129"/>
      <c r="J1454" s="2129"/>
      <c r="K1454" s="2129"/>
      <c r="L1454" s="2129"/>
      <c r="M1454" s="2129"/>
      <c r="N1454" s="2129"/>
      <c r="O1454" s="2129"/>
      <c r="P1454" s="2129"/>
      <c r="Q1454" s="980" t="s">
        <v>1326</v>
      </c>
    </row>
    <row r="1455" spans="1:21" ht="15">
      <c r="A1455" s="979"/>
      <c r="B1455" s="942" t="s">
        <v>1988</v>
      </c>
      <c r="C1455" s="583"/>
      <c r="D1455" s="942"/>
      <c r="E1455" s="944"/>
      <c r="F1455" s="944"/>
      <c r="G1455" s="944"/>
      <c r="H1455" s="944"/>
      <c r="I1455" s="944"/>
      <c r="J1455" s="944"/>
      <c r="K1455" s="944"/>
      <c r="L1455" s="944"/>
      <c r="M1455" s="944"/>
      <c r="N1455" s="991"/>
      <c r="O1455" s="992"/>
      <c r="P1455" s="888"/>
      <c r="Q1455" s="985"/>
    </row>
    <row r="1456" spans="1:21" ht="15.75">
      <c r="A1456" s="2129"/>
      <c r="B1456" s="2129"/>
      <c r="C1456" s="2129"/>
      <c r="D1456" s="2129"/>
      <c r="E1456" s="2129"/>
      <c r="F1456" s="2129"/>
      <c r="G1456" s="2129"/>
      <c r="H1456" s="2129"/>
      <c r="I1456" s="2129"/>
      <c r="J1456" s="2129"/>
      <c r="K1456" s="2129"/>
      <c r="L1456" s="2129"/>
      <c r="M1456" s="2129"/>
      <c r="N1456" s="2129"/>
      <c r="O1456" s="2129"/>
      <c r="P1456" s="2129"/>
      <c r="Q1456" s="980" t="s">
        <v>1326</v>
      </c>
    </row>
    <row r="1457" spans="1:21">
      <c r="N1457" s="784"/>
      <c r="O1457" s="786"/>
      <c r="P1457" s="786"/>
    </row>
    <row r="1458" spans="1:21" ht="15">
      <c r="A1458" s="976" t="s">
        <v>228</v>
      </c>
      <c r="B1458" s="977" t="s">
        <v>2616</v>
      </c>
      <c r="C1458" s="979"/>
      <c r="D1458" s="979"/>
      <c r="E1458" s="993"/>
      <c r="F1458" s="993"/>
      <c r="G1458" s="979"/>
      <c r="H1458" s="1011"/>
      <c r="I1458" s="979"/>
      <c r="J1458" s="979"/>
      <c r="K1458" s="587"/>
      <c r="L1458" s="1004" t="str">
        <f>IF(OR($O1458=$M1458,$O1458=0,$O1458=""),"","* * Check Score! * *")</f>
        <v/>
      </c>
      <c r="M1458" s="888">
        <v>2</v>
      </c>
      <c r="N1458" s="1007" t="str">
        <f>IF(OR($O1458=$M1458,$O1458=0,$O1458=""),"","***")</f>
        <v/>
      </c>
      <c r="O1458" s="1002">
        <f>'Part IX A-Scoring Criteria'!O140</f>
        <v>2</v>
      </c>
      <c r="P1458" s="888"/>
      <c r="Q1458" s="888" t="s">
        <v>461</v>
      </c>
      <c r="U1458" s="975">
        <f>'Part IX A-Scoring Criteria'!O140</f>
        <v>2</v>
      </c>
    </row>
    <row r="1459" spans="1:21">
      <c r="B1459" s="566" t="s">
        <v>1774</v>
      </c>
      <c r="M1459" s="897"/>
      <c r="P1459" s="948" t="s">
        <v>2672</v>
      </c>
    </row>
    <row r="1460" spans="1:21">
      <c r="A1460" s="956" t="s">
        <v>2110</v>
      </c>
      <c r="B1460" s="2135" t="s">
        <v>2815</v>
      </c>
      <c r="C1460" s="2159"/>
      <c r="D1460" s="2159"/>
      <c r="E1460" s="2159"/>
      <c r="F1460" s="2159"/>
      <c r="G1460" s="2159"/>
      <c r="H1460" s="2159"/>
      <c r="I1460" s="2159"/>
      <c r="J1460" s="2159"/>
      <c r="K1460" s="2159"/>
      <c r="L1460" s="2159"/>
      <c r="M1460" s="2159"/>
      <c r="N1460" s="2159"/>
      <c r="O1460" s="958" t="s">
        <v>2590</v>
      </c>
      <c r="P1460" s="1009"/>
      <c r="Q1460" s="957"/>
    </row>
    <row r="1461" spans="1:21">
      <c r="A1461" s="956" t="s">
        <v>2113</v>
      </c>
      <c r="B1461" s="2135" t="s">
        <v>2976</v>
      </c>
      <c r="C1461" s="2159"/>
      <c r="D1461" s="2159"/>
      <c r="E1461" s="2159"/>
      <c r="F1461" s="2159"/>
      <c r="G1461" s="2159"/>
      <c r="H1461" s="2159"/>
      <c r="I1461" s="2159"/>
      <c r="J1461" s="2159"/>
      <c r="K1461" s="2159"/>
      <c r="L1461" s="2159"/>
      <c r="M1461" s="2159"/>
      <c r="N1461" s="2159"/>
      <c r="O1461" s="958" t="s">
        <v>2591</v>
      </c>
      <c r="P1461" s="1009"/>
      <c r="Q1461" s="957"/>
    </row>
    <row r="1462" spans="1:21">
      <c r="A1462" s="956" t="s">
        <v>793</v>
      </c>
      <c r="B1462" s="946" t="s">
        <v>1775</v>
      </c>
      <c r="C1462" s="957"/>
      <c r="D1462" s="957"/>
      <c r="E1462" s="957"/>
      <c r="F1462" s="957"/>
      <c r="G1462" s="957"/>
      <c r="H1462" s="957"/>
      <c r="I1462" s="957"/>
      <c r="J1462" s="957"/>
      <c r="K1462" s="957"/>
      <c r="L1462" s="957"/>
      <c r="M1462" s="1012"/>
      <c r="N1462" s="958"/>
      <c r="O1462" s="958" t="s">
        <v>2592</v>
      </c>
      <c r="P1462" s="1009"/>
      <c r="Q1462" s="957"/>
    </row>
    <row r="1463" spans="1:21" ht="15">
      <c r="A1463" s="958"/>
      <c r="B1463" s="941" t="s">
        <v>269</v>
      </c>
      <c r="C1463" s="583"/>
      <c r="D1463" s="587"/>
      <c r="E1463" s="587"/>
      <c r="F1463" s="587"/>
      <c r="G1463" s="587"/>
      <c r="H1463" s="584"/>
      <c r="I1463" s="584"/>
      <c r="J1463" s="584"/>
      <c r="K1463" s="584"/>
      <c r="L1463" s="979"/>
      <c r="M1463" s="780"/>
      <c r="N1463" s="784"/>
      <c r="O1463" s="975"/>
      <c r="P1463" s="786"/>
      <c r="Q1463" s="979"/>
    </row>
    <row r="1464" spans="1:21" ht="15.75">
      <c r="A1464" s="2129" t="str">
        <f>'Part IX A-Scoring Criteria'!A146</f>
        <v xml:space="preserve">See tab 5 for market study. </v>
      </c>
      <c r="B1464" s="2129"/>
      <c r="C1464" s="2129"/>
      <c r="D1464" s="2129"/>
      <c r="E1464" s="2129"/>
      <c r="F1464" s="2129"/>
      <c r="G1464" s="2129"/>
      <c r="H1464" s="2129"/>
      <c r="I1464" s="2129"/>
      <c r="J1464" s="2129"/>
      <c r="K1464" s="2129"/>
      <c r="L1464" s="2129"/>
      <c r="M1464" s="2129"/>
      <c r="N1464" s="2129"/>
      <c r="O1464" s="2129"/>
      <c r="P1464" s="2129"/>
      <c r="Q1464" s="980" t="s">
        <v>1326</v>
      </c>
    </row>
    <row r="1465" spans="1:21" ht="15">
      <c r="A1465" s="583"/>
      <c r="B1465" s="942" t="s">
        <v>1988</v>
      </c>
      <c r="C1465" s="583"/>
      <c r="D1465" s="942"/>
      <c r="E1465" s="944"/>
      <c r="F1465" s="944"/>
      <c r="G1465" s="944"/>
      <c r="H1465" s="944"/>
      <c r="I1465" s="944"/>
      <c r="J1465" s="944"/>
      <c r="K1465" s="944"/>
      <c r="L1465" s="944"/>
      <c r="M1465" s="944"/>
      <c r="N1465" s="991"/>
      <c r="O1465" s="992"/>
      <c r="P1465" s="888"/>
      <c r="Q1465" s="985"/>
    </row>
    <row r="1466" spans="1:21" ht="15.75">
      <c r="A1466" s="2129"/>
      <c r="B1466" s="2129"/>
      <c r="C1466" s="2129"/>
      <c r="D1466" s="2129"/>
      <c r="E1466" s="2129"/>
      <c r="F1466" s="2129"/>
      <c r="G1466" s="2129"/>
      <c r="H1466" s="2129"/>
      <c r="I1466" s="2129"/>
      <c r="J1466" s="2129"/>
      <c r="K1466" s="2129"/>
      <c r="L1466" s="2129"/>
      <c r="M1466" s="2129"/>
      <c r="N1466" s="2129"/>
      <c r="O1466" s="2129"/>
      <c r="P1466" s="2129"/>
      <c r="Q1466" s="980" t="s">
        <v>1326</v>
      </c>
    </row>
    <row r="1467" spans="1:21">
      <c r="N1467" s="784"/>
      <c r="O1467" s="786"/>
      <c r="P1467" s="786"/>
    </row>
    <row r="1468" spans="1:21" ht="15">
      <c r="A1468" s="1013" t="s">
        <v>229</v>
      </c>
      <c r="B1468" s="977" t="s">
        <v>3149</v>
      </c>
      <c r="C1468" s="979"/>
      <c r="D1468" s="993"/>
      <c r="E1468" s="993"/>
      <c r="F1468" s="993"/>
      <c r="G1468" s="979"/>
      <c r="H1468" s="584"/>
      <c r="I1468" s="979"/>
      <c r="J1468" s="1011" t="s">
        <v>419</v>
      </c>
      <c r="K1468" s="587"/>
      <c r="L1468" s="979"/>
      <c r="M1468" s="888">
        <v>1</v>
      </c>
      <c r="N1468" s="780"/>
      <c r="O1468" s="888">
        <f>MIN($M1468,SUM(O1469:O1470))</f>
        <v>1</v>
      </c>
      <c r="P1468" s="888">
        <f>MIN($M1468,SUM(P1469:P1470))</f>
        <v>0</v>
      </c>
      <c r="Q1468" s="888" t="s">
        <v>461</v>
      </c>
      <c r="U1468" s="975">
        <f>'Part IX A-Scoring Criteria'!O150</f>
        <v>1</v>
      </c>
    </row>
    <row r="1469" spans="1:21" ht="15">
      <c r="A1469" s="947" t="s">
        <v>2110</v>
      </c>
      <c r="B1469" s="887" t="s">
        <v>2373</v>
      </c>
      <c r="C1469" s="1005"/>
      <c r="D1469" s="1011"/>
      <c r="E1469" s="1011"/>
      <c r="F1469" s="973"/>
      <c r="H1469" s="1005"/>
      <c r="I1469" s="1005"/>
      <c r="J1469" s="1005"/>
      <c r="K1469" s="939" t="s">
        <v>2912</v>
      </c>
      <c r="L1469" s="960" t="str">
        <f>'Part IX A-Scoring Criteria'!L151</f>
        <v>Yes</v>
      </c>
      <c r="M1469" s="780">
        <v>1</v>
      </c>
      <c r="N1469" s="939" t="s">
        <v>2110</v>
      </c>
      <c r="O1469" s="1002">
        <f>'Part IX A-Scoring Criteria'!O151</f>
        <v>1</v>
      </c>
      <c r="P1469" s="888"/>
      <c r="Q1469" s="995"/>
    </row>
    <row r="1470" spans="1:21" ht="15">
      <c r="A1470" s="947" t="s">
        <v>2113</v>
      </c>
      <c r="B1470" s="887" t="s">
        <v>2374</v>
      </c>
      <c r="C1470" s="979"/>
      <c r="D1470" s="584"/>
      <c r="E1470" s="979"/>
      <c r="F1470" s="979"/>
      <c r="G1470" s="979"/>
      <c r="H1470" s="935" t="s">
        <v>2899</v>
      </c>
      <c r="I1470" s="979"/>
      <c r="J1470" s="979"/>
      <c r="K1470" s="584"/>
      <c r="L1470" s="960" t="str">
        <f>'Part IX A-Scoring Criteria'!L152</f>
        <v>No</v>
      </c>
      <c r="M1470" s="780">
        <v>1</v>
      </c>
      <c r="N1470" s="939" t="s">
        <v>2113</v>
      </c>
      <c r="O1470" s="1002">
        <f>'Part IX A-Scoring Criteria'!O152</f>
        <v>0</v>
      </c>
      <c r="P1470" s="888"/>
      <c r="Q1470" s="995"/>
    </row>
    <row r="1471" spans="1:21" ht="15">
      <c r="A1471" s="583"/>
      <c r="B1471" s="941" t="s">
        <v>269</v>
      </c>
      <c r="C1471" s="583"/>
      <c r="D1471" s="587"/>
      <c r="E1471" s="587"/>
      <c r="F1471" s="587"/>
      <c r="G1471" s="587"/>
      <c r="H1471" s="584"/>
      <c r="I1471" s="584"/>
      <c r="J1471" s="584"/>
      <c r="K1471" s="584"/>
      <c r="L1471" s="979"/>
      <c r="M1471" s="780"/>
      <c r="N1471" s="784"/>
      <c r="O1471" s="975"/>
      <c r="P1471" s="786"/>
      <c r="Q1471" s="979"/>
    </row>
    <row r="1472" spans="1:21" ht="15.75">
      <c r="A1472" s="2129" t="str">
        <f>'Part IX A-Scoring Criteria'!A154</f>
        <v xml:space="preserve">The applicant agrees to forego its cancellation option for at least five years after the close of the Compliance Period. </v>
      </c>
      <c r="B1472" s="2129"/>
      <c r="C1472" s="2129"/>
      <c r="D1472" s="2129"/>
      <c r="E1472" s="2129"/>
      <c r="F1472" s="2129"/>
      <c r="G1472" s="2129"/>
      <c r="H1472" s="2129"/>
      <c r="I1472" s="2129"/>
      <c r="J1472" s="2129"/>
      <c r="K1472" s="2129"/>
      <c r="L1472" s="2129"/>
      <c r="M1472" s="2129"/>
      <c r="N1472" s="2129"/>
      <c r="O1472" s="2129"/>
      <c r="P1472" s="2129"/>
      <c r="Q1472" s="980" t="s">
        <v>1326</v>
      </c>
    </row>
    <row r="1473" spans="1:21" ht="15">
      <c r="A1473" s="583"/>
      <c r="B1473" s="942" t="s">
        <v>1988</v>
      </c>
      <c r="C1473" s="583"/>
      <c r="D1473" s="942"/>
      <c r="E1473" s="944"/>
      <c r="F1473" s="944"/>
      <c r="G1473" s="944"/>
      <c r="H1473" s="944"/>
      <c r="I1473" s="944"/>
      <c r="J1473" s="944"/>
      <c r="K1473" s="944"/>
      <c r="L1473" s="944"/>
      <c r="M1473" s="944"/>
      <c r="N1473" s="991"/>
      <c r="O1473" s="992"/>
      <c r="P1473" s="888"/>
      <c r="Q1473" s="985"/>
    </row>
    <row r="1474" spans="1:21" ht="15.75">
      <c r="A1474" s="2129"/>
      <c r="B1474" s="2129"/>
      <c r="C1474" s="2129"/>
      <c r="D1474" s="2129"/>
      <c r="E1474" s="2129"/>
      <c r="F1474" s="2129"/>
      <c r="G1474" s="2129"/>
      <c r="H1474" s="2129"/>
      <c r="I1474" s="2129"/>
      <c r="J1474" s="2129"/>
      <c r="K1474" s="2129"/>
      <c r="L1474" s="2129"/>
      <c r="M1474" s="2129"/>
      <c r="N1474" s="2129"/>
      <c r="O1474" s="2129"/>
      <c r="P1474" s="2129"/>
      <c r="Q1474" s="980" t="s">
        <v>1326</v>
      </c>
    </row>
    <row r="1475" spans="1:21" ht="15">
      <c r="A1475" s="583"/>
      <c r="B1475" s="583"/>
      <c r="C1475" s="944"/>
      <c r="D1475" s="944"/>
      <c r="E1475" s="944"/>
      <c r="F1475" s="944"/>
      <c r="G1475" s="944"/>
      <c r="H1475" s="944"/>
      <c r="I1475" s="944"/>
      <c r="J1475" s="944"/>
      <c r="K1475" s="944"/>
      <c r="L1475" s="944"/>
      <c r="M1475" s="944"/>
      <c r="N1475" s="991"/>
      <c r="O1475" s="992"/>
      <c r="P1475" s="888"/>
      <c r="Q1475" s="979"/>
    </row>
    <row r="1476" spans="1:21" ht="15">
      <c r="A1476" s="1013" t="s">
        <v>247</v>
      </c>
      <c r="B1476" s="983" t="s">
        <v>2891</v>
      </c>
      <c r="C1476" s="984"/>
      <c r="D1476" s="963"/>
      <c r="E1476" s="584"/>
      <c r="F1476" s="979"/>
      <c r="G1476" s="979"/>
      <c r="H1476" s="979"/>
      <c r="I1476" s="979"/>
      <c r="J1476" s="979"/>
      <c r="K1476" s="979"/>
      <c r="L1476" s="979"/>
      <c r="M1476" s="888">
        <v>3</v>
      </c>
      <c r="N1476" s="780"/>
      <c r="O1476" s="780"/>
      <c r="P1476" s="888"/>
      <c r="Q1476" s="888" t="s">
        <v>461</v>
      </c>
      <c r="U1476" s="975">
        <f>'Part IX A-Scoring Criteria'!O158</f>
        <v>0</v>
      </c>
    </row>
    <row r="1477" spans="1:21" ht="15">
      <c r="A1477" s="1013"/>
      <c r="B1477" s="824" t="s">
        <v>2902</v>
      </c>
      <c r="C1477" s="984"/>
      <c r="D1477" s="963"/>
      <c r="E1477" s="584"/>
      <c r="F1477" s="979"/>
      <c r="G1477" s="783">
        <f>'Part I-Project Information'!$H$81</f>
        <v>0</v>
      </c>
      <c r="H1477" s="979"/>
      <c r="I1477" s="979"/>
      <c r="J1477" s="1011"/>
      <c r="K1477" s="979"/>
      <c r="L1477" s="979"/>
      <c r="M1477" s="888"/>
      <c r="N1477" s="888"/>
      <c r="O1477" s="948" t="s">
        <v>2672</v>
      </c>
      <c r="P1477" s="948" t="s">
        <v>2672</v>
      </c>
      <c r="Q1477" s="888"/>
    </row>
    <row r="1478" spans="1:21" ht="15">
      <c r="A1478" s="947"/>
      <c r="B1478" s="566" t="s">
        <v>2495</v>
      </c>
      <c r="C1478" s="979"/>
      <c r="D1478" s="583"/>
      <c r="E1478" s="979"/>
      <c r="F1478" s="979"/>
      <c r="G1478" s="979"/>
      <c r="H1478" s="979"/>
      <c r="I1478" s="979"/>
      <c r="J1478" s="979"/>
      <c r="K1478" s="979"/>
      <c r="L1478" s="979"/>
      <c r="M1478" s="979"/>
      <c r="N1478" s="939"/>
      <c r="O1478" s="1002" t="str">
        <f>'Part IX A-Scoring Criteria'!O160</f>
        <v>No</v>
      </c>
      <c r="P1478" s="960"/>
      <c r="Q1478" s="979"/>
    </row>
    <row r="1479" spans="1:21" ht="15">
      <c r="A1479" s="947"/>
      <c r="B1479" s="566" t="s">
        <v>3291</v>
      </c>
      <c r="C1479" s="979"/>
      <c r="D1479" s="583"/>
      <c r="E1479" s="979"/>
      <c r="F1479" s="979"/>
      <c r="G1479" s="979"/>
      <c r="H1479" s="979"/>
      <c r="I1479" s="979"/>
      <c r="J1479" s="979"/>
      <c r="K1479" s="979"/>
      <c r="L1479" s="979"/>
      <c r="M1479" s="979"/>
      <c r="N1479" s="939"/>
      <c r="O1479" s="1002" t="str">
        <f>'Part IX A-Scoring Criteria'!O161</f>
        <v>N/a</v>
      </c>
      <c r="P1479" s="960"/>
      <c r="Q1479" s="979"/>
    </row>
    <row r="1480" spans="1:21" ht="15">
      <c r="A1480" s="583"/>
      <c r="B1480" s="941" t="s">
        <v>269</v>
      </c>
      <c r="C1480" s="583"/>
      <c r="D1480" s="587"/>
      <c r="E1480" s="587"/>
      <c r="F1480" s="587"/>
      <c r="G1480" s="587"/>
      <c r="H1480" s="584"/>
      <c r="I1480" s="584"/>
      <c r="J1480" s="584"/>
      <c r="K1480" s="584"/>
      <c r="L1480" s="979"/>
      <c r="M1480" s="780"/>
      <c r="N1480" s="784"/>
      <c r="O1480" s="975"/>
      <c r="P1480" s="786"/>
      <c r="Q1480" s="979"/>
    </row>
    <row r="1481" spans="1:21" ht="15.75">
      <c r="A1481" s="2129">
        <f>'Part IX A-Scoring Criteria'!A163</f>
        <v>0</v>
      </c>
      <c r="B1481" s="2129"/>
      <c r="C1481" s="2129"/>
      <c r="D1481" s="2129"/>
      <c r="E1481" s="2129"/>
      <c r="F1481" s="2129"/>
      <c r="G1481" s="2129"/>
      <c r="H1481" s="2129"/>
      <c r="I1481" s="2129"/>
      <c r="J1481" s="2129"/>
      <c r="K1481" s="2129"/>
      <c r="L1481" s="2129"/>
      <c r="M1481" s="2129"/>
      <c r="N1481" s="2129"/>
      <c r="O1481" s="2129"/>
      <c r="P1481" s="2129"/>
      <c r="Q1481" s="980" t="s">
        <v>1326</v>
      </c>
    </row>
    <row r="1482" spans="1:21" ht="15">
      <c r="A1482" s="979"/>
      <c r="B1482" s="942" t="s">
        <v>1988</v>
      </c>
      <c r="C1482" s="583"/>
      <c r="D1482" s="942"/>
      <c r="E1482" s="944"/>
      <c r="F1482" s="944"/>
      <c r="G1482" s="944"/>
      <c r="H1482" s="944"/>
      <c r="I1482" s="944"/>
      <c r="J1482" s="944"/>
      <c r="K1482" s="944"/>
      <c r="L1482" s="944"/>
      <c r="M1482" s="944"/>
      <c r="N1482" s="991"/>
      <c r="O1482" s="992"/>
      <c r="P1482" s="888"/>
      <c r="Q1482" s="985"/>
    </row>
    <row r="1483" spans="1:21" ht="15.75">
      <c r="A1483" s="2129"/>
      <c r="B1483" s="2129"/>
      <c r="C1483" s="2129"/>
      <c r="D1483" s="2129"/>
      <c r="E1483" s="2129"/>
      <c r="F1483" s="2129"/>
      <c r="G1483" s="2129"/>
      <c r="H1483" s="2129"/>
      <c r="I1483" s="2129"/>
      <c r="J1483" s="2129"/>
      <c r="K1483" s="2129"/>
      <c r="L1483" s="2129"/>
      <c r="M1483" s="2129"/>
      <c r="N1483" s="2129"/>
      <c r="O1483" s="2129"/>
      <c r="P1483" s="2129"/>
      <c r="Q1483" s="980" t="s">
        <v>1326</v>
      </c>
    </row>
    <row r="1484" spans="1:21">
      <c r="N1484" s="784"/>
      <c r="O1484" s="786"/>
      <c r="P1484" s="786"/>
    </row>
    <row r="1485" spans="1:21" ht="15">
      <c r="A1485" s="976" t="s">
        <v>248</v>
      </c>
      <c r="B1485" s="977" t="s">
        <v>3150</v>
      </c>
      <c r="C1485" s="1014"/>
      <c r="D1485" s="1014"/>
      <c r="E1485" s="938" t="s">
        <v>3043</v>
      </c>
      <c r="F1485" s="1014"/>
      <c r="G1485" s="993"/>
      <c r="H1485" s="566"/>
      <c r="I1485" s="1014"/>
      <c r="J1485" s="1014"/>
      <c r="K1485" s="888">
        <f>'Part VI-Revenues &amp; Expenses'!$M$62</f>
        <v>84</v>
      </c>
      <c r="L1485" s="640" t="s">
        <v>1908</v>
      </c>
      <c r="M1485" s="888">
        <v>3</v>
      </c>
      <c r="N1485" s="1007" t="str">
        <f>IF(OR($O1485=$M1485,$O1485=0,$O1485=""),"","***")</f>
        <v/>
      </c>
      <c r="O1485" s="1002">
        <f>'Part IX A-Scoring Criteria'!O167</f>
        <v>0</v>
      </c>
      <c r="P1485" s="888"/>
      <c r="Q1485" s="888" t="s">
        <v>461</v>
      </c>
      <c r="U1485" s="975">
        <f>'Part IX A-Scoring Criteria'!O167</f>
        <v>0</v>
      </c>
    </row>
    <row r="1486" spans="1:21" ht="15">
      <c r="A1486" s="976"/>
      <c r="B1486" s="887" t="s">
        <v>3072</v>
      </c>
      <c r="C1486" s="781"/>
      <c r="D1486" s="1014"/>
      <c r="E1486" s="1015" t="str">
        <f>'Part I-Project Information'!$H$85</f>
        <v>Flexible</v>
      </c>
      <c r="F1486" s="1014"/>
      <c r="G1486" s="938" t="str">
        <f>IF(E1486="Flexible","(NOTE: Only Rural pool applicants are eligible for this section.)","")</f>
        <v>(NOTE: Only Rural pool applicants are eligible for this section.)</v>
      </c>
      <c r="H1486" s="566"/>
      <c r="I1486" s="1016"/>
      <c r="J1486" s="640"/>
      <c r="K1486" s="1017">
        <f>'Part VI-Revenues &amp; Expenses'!$M$74/'Part VI-Revenues &amp; Expenses'!$M$62</f>
        <v>1</v>
      </c>
      <c r="L1486" s="640" t="s">
        <v>3035</v>
      </c>
      <c r="M1486" s="888"/>
      <c r="N1486" s="1007"/>
      <c r="O1486" s="1007"/>
      <c r="P1486" s="1007"/>
      <c r="Q1486" s="888"/>
    </row>
    <row r="1487" spans="1:21" ht="15">
      <c r="A1487" s="976"/>
      <c r="B1487" s="2138" t="s">
        <v>2951</v>
      </c>
      <c r="C1487" s="2138"/>
      <c r="D1487" s="2138"/>
      <c r="E1487" s="2138"/>
      <c r="F1487" s="2138"/>
      <c r="G1487" s="2138"/>
      <c r="H1487" s="2138"/>
      <c r="I1487" s="2138"/>
      <c r="J1487" s="2138"/>
      <c r="K1487" s="2138"/>
      <c r="L1487" s="2138"/>
      <c r="M1487" s="2138"/>
      <c r="N1487" s="888"/>
      <c r="O1487" s="1014"/>
      <c r="P1487" s="1014"/>
      <c r="Q1487" s="1014"/>
    </row>
    <row r="1488" spans="1:21" ht="15">
      <c r="A1488" s="583"/>
      <c r="B1488" s="941" t="s">
        <v>269</v>
      </c>
      <c r="C1488" s="583"/>
      <c r="D1488" s="587"/>
      <c r="E1488" s="587"/>
      <c r="F1488" s="587"/>
      <c r="G1488" s="587"/>
      <c r="H1488" s="584"/>
      <c r="I1488" s="584"/>
      <c r="J1488" s="942" t="s">
        <v>1988</v>
      </c>
      <c r="K1488" s="979"/>
      <c r="L1488" s="979"/>
      <c r="M1488" s="780"/>
      <c r="N1488" s="784"/>
      <c r="O1488" s="975"/>
      <c r="P1488" s="786"/>
      <c r="Q1488" s="979"/>
    </row>
    <row r="1489" spans="1:21" ht="15.75">
      <c r="A1489" s="2129">
        <f>'Part IX A-Scoring Criteria'!A171</f>
        <v>0</v>
      </c>
      <c r="B1489" s="2129"/>
      <c r="C1489" s="2129"/>
      <c r="D1489" s="2129"/>
      <c r="E1489" s="2129"/>
      <c r="F1489" s="2129"/>
      <c r="G1489" s="2129"/>
      <c r="H1489" s="2129"/>
      <c r="I1489" s="2129"/>
      <c r="J1489" s="2129"/>
      <c r="K1489" s="2129"/>
      <c r="L1489" s="2129"/>
      <c r="M1489" s="2129"/>
      <c r="N1489" s="2129"/>
      <c r="O1489" s="2129"/>
      <c r="P1489" s="2129"/>
      <c r="Q1489" s="980" t="s">
        <v>1326</v>
      </c>
    </row>
    <row r="1490" spans="1:21" ht="15">
      <c r="A1490" s="583"/>
      <c r="B1490" s="979"/>
      <c r="C1490" s="944"/>
      <c r="D1490" s="944"/>
      <c r="E1490" s="944"/>
      <c r="F1490" s="944"/>
      <c r="G1490" s="944"/>
      <c r="H1490" s="944"/>
      <c r="I1490" s="944"/>
      <c r="J1490" s="944"/>
      <c r="K1490" s="944"/>
      <c r="L1490" s="944"/>
      <c r="M1490" s="944"/>
      <c r="N1490" s="991"/>
      <c r="O1490" s="992"/>
      <c r="P1490" s="888"/>
      <c r="Q1490" s="979"/>
    </row>
    <row r="1491" spans="1:21" ht="15">
      <c r="A1491" s="976" t="s">
        <v>1488</v>
      </c>
      <c r="B1491" s="983" t="s">
        <v>1777</v>
      </c>
      <c r="C1491" s="979"/>
      <c r="D1491" s="984"/>
      <c r="E1491" s="984"/>
      <c r="F1491" s="979"/>
      <c r="G1491" s="584"/>
      <c r="H1491" s="584"/>
      <c r="I1491" s="584"/>
      <c r="J1491" s="979"/>
      <c r="K1491" s="935"/>
      <c r="L1491" s="1004" t="str">
        <f>IF(OR($O1491=$M1491,$O1491=0,$O1491=""),"","* * Check Score! * *")</f>
        <v/>
      </c>
      <c r="M1491" s="888">
        <v>1</v>
      </c>
      <c r="N1491" s="1007" t="str">
        <f>IF(OR($O1491=$M1491,$O1491=0,$O1491=""),"","***")</f>
        <v/>
      </c>
      <c r="O1491" s="1002">
        <f>'Part IX A-Scoring Criteria'!O173</f>
        <v>0</v>
      </c>
      <c r="P1491" s="888"/>
      <c r="Q1491" s="888" t="s">
        <v>461</v>
      </c>
      <c r="U1491" s="975">
        <f>'Part IX A-Scoring Criteria'!O173</f>
        <v>0</v>
      </c>
    </row>
    <row r="1492" spans="1:21" ht="15">
      <c r="A1492" s="979"/>
      <c r="B1492" s="954" t="s">
        <v>3151</v>
      </c>
      <c r="C1492" s="979"/>
      <c r="D1492" s="1005"/>
      <c r="E1492" s="984"/>
      <c r="F1492" s="584"/>
      <c r="G1492" s="584"/>
      <c r="H1492" s="584"/>
      <c r="I1492" s="960"/>
      <c r="J1492" s="979"/>
      <c r="K1492" s="979"/>
      <c r="L1492" s="979"/>
      <c r="M1492" s="979"/>
      <c r="N1492" s="979"/>
      <c r="O1492" s="948" t="s">
        <v>2672</v>
      </c>
      <c r="P1492" s="948" t="s">
        <v>2672</v>
      </c>
      <c r="Q1492" s="979"/>
    </row>
    <row r="1493" spans="1:21">
      <c r="A1493" s="947" t="s">
        <v>2110</v>
      </c>
      <c r="B1493" s="584" t="s">
        <v>3278</v>
      </c>
      <c r="C1493" s="566"/>
      <c r="D1493" s="584"/>
      <c r="E1493" s="584"/>
      <c r="F1493" s="584"/>
      <c r="G1493" s="566"/>
      <c r="H1493" s="566"/>
      <c r="I1493" s="566"/>
      <c r="J1493" s="2144" t="str">
        <f>'Part IX A-Scoring Criteria'!J175</f>
        <v>&lt; Select applicable GICH &gt;</v>
      </c>
      <c r="K1493" s="2144"/>
      <c r="L1493" s="2144"/>
      <c r="M1493" s="566"/>
      <c r="N1493" s="939" t="s">
        <v>2110</v>
      </c>
      <c r="O1493" s="1002" t="str">
        <f>'Part IX A-Scoring Criteria'!O175</f>
        <v>N/a</v>
      </c>
      <c r="P1493" s="960"/>
      <c r="Q1493" s="566"/>
    </row>
    <row r="1494" spans="1:21">
      <c r="A1494" s="947" t="s">
        <v>2113</v>
      </c>
      <c r="B1494" s="584" t="s">
        <v>3279</v>
      </c>
      <c r="C1494" s="566"/>
      <c r="D1494" s="584"/>
      <c r="E1494" s="584"/>
      <c r="F1494" s="584"/>
      <c r="G1494" s="584"/>
      <c r="H1494" s="566"/>
      <c r="I1494" s="566"/>
      <c r="J1494" s="566"/>
      <c r="K1494" s="566"/>
      <c r="L1494" s="584"/>
      <c r="M1494" s="584"/>
      <c r="N1494" s="939" t="s">
        <v>2113</v>
      </c>
      <c r="O1494" s="1002" t="str">
        <f>'Part IX A-Scoring Criteria'!O176</f>
        <v>N/a</v>
      </c>
      <c r="P1494" s="960"/>
      <c r="Q1494" s="566"/>
    </row>
    <row r="1495" spans="1:21">
      <c r="A1495" s="947" t="s">
        <v>793</v>
      </c>
      <c r="B1495" s="584" t="s">
        <v>3280</v>
      </c>
      <c r="C1495" s="566"/>
      <c r="D1495" s="584"/>
      <c r="E1495" s="584"/>
      <c r="F1495" s="584"/>
      <c r="G1495" s="584"/>
      <c r="H1495" s="584"/>
      <c r="I1495" s="566"/>
      <c r="J1495" s="566"/>
      <c r="K1495" s="566"/>
      <c r="L1495" s="584"/>
      <c r="M1495" s="584"/>
      <c r="N1495" s="939" t="s">
        <v>793</v>
      </c>
      <c r="O1495" s="1002" t="str">
        <f>'Part IX A-Scoring Criteria'!O177</f>
        <v>N/a</v>
      </c>
      <c r="P1495" s="960"/>
      <c r="Q1495" s="566"/>
    </row>
    <row r="1496" spans="1:21">
      <c r="A1496" s="947" t="s">
        <v>2245</v>
      </c>
      <c r="B1496" s="584" t="s">
        <v>3281</v>
      </c>
      <c r="C1496" s="566"/>
      <c r="D1496" s="584"/>
      <c r="E1496" s="584"/>
      <c r="F1496" s="584"/>
      <c r="G1496" s="584"/>
      <c r="H1496" s="584"/>
      <c r="I1496" s="584"/>
      <c r="J1496" s="584"/>
      <c r="K1496" s="584"/>
      <c r="L1496" s="584"/>
      <c r="M1496" s="584"/>
      <c r="N1496" s="939" t="s">
        <v>2245</v>
      </c>
      <c r="O1496" s="1002" t="str">
        <f>'Part IX A-Scoring Criteria'!O178</f>
        <v>N/a</v>
      </c>
      <c r="P1496" s="960"/>
      <c r="Q1496" s="566"/>
    </row>
    <row r="1497" spans="1:21">
      <c r="A1497" s="1018" t="s">
        <v>3282</v>
      </c>
      <c r="B1497" s="584"/>
      <c r="C1497" s="566"/>
      <c r="D1497" s="584"/>
      <c r="E1497" s="584"/>
      <c r="F1497" s="584"/>
      <c r="G1497" s="584"/>
      <c r="H1497" s="584"/>
      <c r="I1497" s="584"/>
      <c r="J1497" s="584"/>
      <c r="K1497" s="584"/>
      <c r="L1497" s="584"/>
      <c r="M1497" s="584"/>
      <c r="N1497" s="939"/>
      <c r="O1497" s="939"/>
      <c r="P1497" s="939"/>
      <c r="Q1497" s="566"/>
    </row>
    <row r="1498" spans="1:21" ht="15">
      <c r="A1498" s="583"/>
      <c r="B1498" s="941" t="s">
        <v>269</v>
      </c>
      <c r="C1498" s="583"/>
      <c r="D1498" s="587"/>
      <c r="E1498" s="587"/>
      <c r="F1498" s="587"/>
      <c r="G1498" s="587"/>
      <c r="H1498" s="584"/>
      <c r="I1498" s="584"/>
      <c r="J1498" s="942" t="s">
        <v>1988</v>
      </c>
      <c r="K1498" s="979"/>
      <c r="L1498" s="979"/>
      <c r="M1498" s="780"/>
      <c r="N1498" s="784"/>
      <c r="O1498" s="975"/>
      <c r="P1498" s="786"/>
      <c r="Q1498" s="979"/>
    </row>
    <row r="1499" spans="1:21" ht="15.75">
      <c r="A1499" s="2129">
        <f>'Part IX A-Scoring Criteria'!A181</f>
        <v>0</v>
      </c>
      <c r="B1499" s="2129"/>
      <c r="C1499" s="2129"/>
      <c r="D1499" s="2129"/>
      <c r="E1499" s="2129"/>
      <c r="F1499" s="2129"/>
      <c r="G1499" s="2129"/>
      <c r="H1499" s="2129"/>
      <c r="I1499" s="2129"/>
      <c r="J1499" s="2129"/>
      <c r="K1499" s="2129"/>
      <c r="L1499" s="2129"/>
      <c r="M1499" s="2129"/>
      <c r="N1499" s="2129"/>
      <c r="O1499" s="2129"/>
      <c r="P1499" s="2129"/>
      <c r="Q1499" s="980" t="s">
        <v>1326</v>
      </c>
    </row>
    <row r="1500" spans="1:21">
      <c r="N1500" s="784"/>
      <c r="O1500" s="786"/>
      <c r="P1500" s="786"/>
    </row>
    <row r="1501" spans="1:21" ht="15">
      <c r="A1501" s="976" t="s">
        <v>1776</v>
      </c>
      <c r="B1501" s="983" t="s">
        <v>3154</v>
      </c>
      <c r="C1501" s="979"/>
      <c r="D1501" s="984"/>
      <c r="E1501" s="984"/>
      <c r="F1501" s="584"/>
      <c r="G1501" s="584"/>
      <c r="H1501" s="584"/>
      <c r="I1501" s="887" t="s">
        <v>3072</v>
      </c>
      <c r="J1501" s="781"/>
      <c r="K1501" s="1014"/>
      <c r="L1501" s="887" t="str">
        <f>'Part I-Project Information'!$H$85</f>
        <v>Flexible</v>
      </c>
      <c r="M1501" s="975">
        <v>7</v>
      </c>
      <c r="N1501" s="780"/>
      <c r="O1501" s="975">
        <f>O1508+O1525+O1527</f>
        <v>0</v>
      </c>
      <c r="P1501" s="975">
        <f>P1508+P1525+P1527</f>
        <v>0</v>
      </c>
      <c r="Q1501" s="888" t="s">
        <v>461</v>
      </c>
      <c r="U1501" s="975">
        <f>'Part IX A-Scoring Criteria'!O183</f>
        <v>0</v>
      </c>
    </row>
    <row r="1502" spans="1:21" ht="15">
      <c r="A1502" s="583"/>
      <c r="B1502" s="954" t="s">
        <v>3292</v>
      </c>
      <c r="C1502" s="979"/>
      <c r="D1502" s="979"/>
      <c r="E1502" s="984"/>
      <c r="F1502" s="584"/>
      <c r="G1502" s="584"/>
      <c r="H1502" s="584"/>
      <c r="I1502" s="584"/>
      <c r="J1502" s="979"/>
      <c r="K1502" s="935"/>
      <c r="L1502" s="1019"/>
      <c r="M1502" s="979"/>
      <c r="N1502" s="979"/>
      <c r="O1502" s="948" t="s">
        <v>2672</v>
      </c>
      <c r="P1502" s="948" t="s">
        <v>2672</v>
      </c>
      <c r="Q1502" s="979"/>
    </row>
    <row r="1503" spans="1:21" ht="15">
      <c r="A1503" s="566"/>
      <c r="B1503" s="1020" t="s">
        <v>2114</v>
      </c>
      <c r="C1503" s="566" t="s">
        <v>3152</v>
      </c>
      <c r="D1503" s="566"/>
      <c r="E1503" s="984"/>
      <c r="F1503" s="584"/>
      <c r="G1503" s="584"/>
      <c r="H1503" s="584"/>
      <c r="I1503" s="584"/>
      <c r="J1503" s="979"/>
      <c r="K1503" s="935"/>
      <c r="L1503" s="1019" t="str">
        <f>IF(M1503&gt;14,"Over limit!","")</f>
        <v/>
      </c>
      <c r="M1503" s="566"/>
      <c r="N1503" s="994" t="s">
        <v>2114</v>
      </c>
      <c r="O1503" s="1002" t="str">
        <f>'Part IX A-Scoring Criteria'!O185</f>
        <v>N/a</v>
      </c>
      <c r="P1503" s="960"/>
      <c r="Q1503" s="566"/>
    </row>
    <row r="1504" spans="1:21">
      <c r="A1504" s="566"/>
      <c r="B1504" s="1020" t="s">
        <v>2116</v>
      </c>
      <c r="C1504" s="566" t="s">
        <v>597</v>
      </c>
      <c r="D1504" s="566"/>
      <c r="E1504" s="566"/>
      <c r="F1504" s="566"/>
      <c r="G1504" s="566"/>
      <c r="H1504" s="566"/>
      <c r="I1504" s="566"/>
      <c r="J1504" s="566"/>
      <c r="K1504" s="566"/>
      <c r="L1504" s="566"/>
      <c r="M1504" s="566"/>
      <c r="N1504" s="994" t="s">
        <v>2116</v>
      </c>
      <c r="O1504" s="1002" t="str">
        <f>'Part IX A-Scoring Criteria'!O186</f>
        <v>N/a</v>
      </c>
      <c r="P1504" s="960"/>
      <c r="Q1504" s="566"/>
    </row>
    <row r="1505" spans="1:17">
      <c r="A1505" s="566"/>
      <c r="B1505" s="1020" t="s">
        <v>2698</v>
      </c>
      <c r="C1505" s="566" t="s">
        <v>598</v>
      </c>
      <c r="D1505" s="566"/>
      <c r="E1505" s="566"/>
      <c r="F1505" s="566"/>
      <c r="G1505" s="566"/>
      <c r="H1505" s="566"/>
      <c r="I1505" s="566"/>
      <c r="J1505" s="566"/>
      <c r="K1505" s="566"/>
      <c r="L1505" s="566"/>
      <c r="M1505" s="566"/>
      <c r="N1505" s="994" t="s">
        <v>2698</v>
      </c>
      <c r="O1505" s="1002" t="str">
        <f>'Part IX A-Scoring Criteria'!O187</f>
        <v>N/a</v>
      </c>
      <c r="P1505" s="960"/>
      <c r="Q1505" s="566"/>
    </row>
    <row r="1506" spans="1:17">
      <c r="A1506" s="566"/>
      <c r="B1506" s="1020" t="s">
        <v>1295</v>
      </c>
      <c r="C1506" s="566" t="s">
        <v>599</v>
      </c>
      <c r="D1506" s="566"/>
      <c r="E1506" s="566"/>
      <c r="F1506" s="566"/>
      <c r="G1506" s="566"/>
      <c r="H1506" s="566"/>
      <c r="I1506" s="566"/>
      <c r="J1506" s="566"/>
      <c r="K1506" s="566"/>
      <c r="L1506" s="566"/>
      <c r="M1506" s="566"/>
      <c r="N1506" s="994" t="s">
        <v>1295</v>
      </c>
      <c r="O1506" s="1002" t="str">
        <f>'Part IX A-Scoring Criteria'!O188</f>
        <v>N/a</v>
      </c>
      <c r="P1506" s="960"/>
      <c r="Q1506" s="566"/>
    </row>
    <row r="1507" spans="1:17">
      <c r="A1507" s="566"/>
      <c r="B1507" s="1020" t="s">
        <v>1296</v>
      </c>
      <c r="C1507" s="566" t="s">
        <v>607</v>
      </c>
      <c r="D1507" s="566"/>
      <c r="E1507" s="566"/>
      <c r="F1507" s="566"/>
      <c r="G1507" s="566"/>
      <c r="H1507" s="566"/>
      <c r="I1507" s="566"/>
      <c r="J1507" s="566"/>
      <c r="K1507" s="566"/>
      <c r="L1507" s="566"/>
      <c r="M1507" s="566"/>
      <c r="N1507" s="994" t="s">
        <v>1296</v>
      </c>
      <c r="O1507" s="1002" t="str">
        <f>'Part IX A-Scoring Criteria'!O189</f>
        <v>N/a</v>
      </c>
      <c r="P1507" s="960"/>
      <c r="Q1507" s="566"/>
    </row>
    <row r="1508" spans="1:17" ht="15">
      <c r="A1508" s="947" t="s">
        <v>2110</v>
      </c>
      <c r="B1508" s="1018" t="s">
        <v>1965</v>
      </c>
      <c r="C1508" s="979"/>
      <c r="D1508" s="938"/>
      <c r="E1508" s="938"/>
      <c r="F1508" s="583"/>
      <c r="G1508" s="1005"/>
      <c r="H1508" s="1005"/>
      <c r="I1508" s="1005"/>
      <c r="J1508" s="938"/>
      <c r="K1508" s="1005"/>
      <c r="L1508" s="583"/>
      <c r="M1508" s="780">
        <v>4</v>
      </c>
      <c r="N1508" s="939" t="s">
        <v>2110</v>
      </c>
      <c r="O1508" s="916">
        <f>IF(AND($L1501="Flexible",$I1524&gt;=0.15), 4,IF(AND($L1501="Flexible",$I1524&gt;=0.1), 3,IF(AND($L1501="Flexible",$I1524&gt;=0.05), 2,IF(AND($L1501="Flexible",$I1524&gt;=0.02), 1,IF(AND($L1501="Rural",$I1524&gt;=0.1), 4,IF(AND($L1501="Rural",$I1524&gt;=0.05), 2,IF(AND($L1501="Rural",$I1524&gt;=0.02), 1,0)))))))</f>
        <v>0</v>
      </c>
      <c r="P1508" s="916">
        <f>IF(AND($L1501="Flexible",$L1524&gt;=0.15), 4,IF(AND($L1501="Flexible",$L1524&gt;=0.1), 3,IF(AND($L1501="Flexible",$L1524&gt;=0.05), 2,IF(AND($L1501="Flexible",$L1524&gt;=0.02), 1,IF(AND($L1501="Rural",$L1524&gt;=0.1), 4,IF(AND($L1501="Rural",$L1524&gt;=0.05), 2,IF(AND($L1501="Rural",$L1524&gt;=0.02), 1,0)))))))</f>
        <v>0</v>
      </c>
      <c r="Q1508" s="979"/>
    </row>
    <row r="1509" spans="1:17">
      <c r="B1509" s="1008" t="s">
        <v>2114</v>
      </c>
      <c r="C1509" s="968" t="s">
        <v>2809</v>
      </c>
      <c r="I1509" s="2274" t="s">
        <v>2118</v>
      </c>
      <c r="J1509" s="2274"/>
      <c r="L1509" s="1021" t="s">
        <v>2118</v>
      </c>
      <c r="N1509" s="994" t="s">
        <v>2114</v>
      </c>
      <c r="O1509" s="786"/>
      <c r="P1509" s="786"/>
    </row>
    <row r="1510" spans="1:17" ht="15">
      <c r="A1510" s="897"/>
      <c r="B1510" s="1022"/>
      <c r="C1510" s="939" t="s">
        <v>2590</v>
      </c>
      <c r="D1510" s="584" t="s">
        <v>1572</v>
      </c>
      <c r="E1510" s="979"/>
      <c r="F1510" s="979"/>
      <c r="G1510" s="979"/>
      <c r="H1510" s="566"/>
      <c r="I1510" s="2275">
        <f>'Part IX A-Scoring Criteria'!I192</f>
        <v>0</v>
      </c>
      <c r="J1510" s="2275"/>
      <c r="K1510" s="963"/>
      <c r="L1510" s="1023">
        <f>'Part IX A-Scoring Criteria'!L192</f>
        <v>0</v>
      </c>
      <c r="M1510" s="780"/>
      <c r="N1510" s="939" t="s">
        <v>2590</v>
      </c>
      <c r="O1510" s="1002" t="str">
        <f>'Part IX A-Scoring Criteria'!O192</f>
        <v>N/a</v>
      </c>
      <c r="P1510" s="960"/>
      <c r="Q1510" s="979"/>
    </row>
    <row r="1511" spans="1:17">
      <c r="A1511" s="924"/>
      <c r="B1511" s="784"/>
      <c r="C1511" s="958" t="s">
        <v>2591</v>
      </c>
      <c r="D1511" s="584" t="s">
        <v>1573</v>
      </c>
      <c r="H1511" s="566"/>
      <c r="I1511" s="2275">
        <f>'Part IX A-Scoring Criteria'!I193</f>
        <v>0</v>
      </c>
      <c r="J1511" s="2275"/>
      <c r="L1511" s="1023">
        <f>'Part IX A-Scoring Criteria'!L193</f>
        <v>0</v>
      </c>
      <c r="M1511" s="780"/>
      <c r="N1511" s="958" t="s">
        <v>2591</v>
      </c>
      <c r="O1511" s="1002" t="str">
        <f>'Part IX A-Scoring Criteria'!O193</f>
        <v>N/a</v>
      </c>
      <c r="P1511" s="960"/>
    </row>
    <row r="1512" spans="1:17">
      <c r="B1512" s="1020"/>
      <c r="C1512" s="939" t="s">
        <v>2592</v>
      </c>
      <c r="D1512" s="584" t="s">
        <v>2808</v>
      </c>
      <c r="H1512" s="566"/>
      <c r="I1512" s="2275">
        <f>'Part IX A-Scoring Criteria'!I194</f>
        <v>0</v>
      </c>
      <c r="J1512" s="2275"/>
      <c r="L1512" s="1023">
        <f>'Part IX A-Scoring Criteria'!L194</f>
        <v>0</v>
      </c>
      <c r="M1512" s="780"/>
      <c r="N1512" s="939" t="s">
        <v>2592</v>
      </c>
      <c r="O1512" s="1002" t="str">
        <f>'Part IX A-Scoring Criteria'!O194</f>
        <v>N/a</v>
      </c>
      <c r="P1512" s="960"/>
    </row>
    <row r="1513" spans="1:17">
      <c r="A1513" s="924"/>
      <c r="B1513" s="1020"/>
      <c r="C1513" s="939" t="s">
        <v>2593</v>
      </c>
      <c r="D1513" s="584" t="s">
        <v>3153</v>
      </c>
      <c r="I1513" s="2275">
        <f>'Part IX A-Scoring Criteria'!I195</f>
        <v>0</v>
      </c>
      <c r="J1513" s="2275"/>
      <c r="L1513" s="1023">
        <f>'Part IX A-Scoring Criteria'!L195</f>
        <v>0</v>
      </c>
      <c r="M1513" s="780"/>
      <c r="N1513" s="939" t="s">
        <v>2593</v>
      </c>
      <c r="O1513" s="1002" t="str">
        <f>'Part IX A-Scoring Criteria'!O195</f>
        <v>N/a</v>
      </c>
      <c r="P1513" s="960"/>
    </row>
    <row r="1514" spans="1:17" ht="15">
      <c r="A1514" s="897"/>
      <c r="B1514" s="1020"/>
      <c r="C1514" s="958" t="s">
        <v>2594</v>
      </c>
      <c r="D1514" s="584" t="s">
        <v>1574</v>
      </c>
      <c r="E1514" s="979"/>
      <c r="F1514" s="979"/>
      <c r="G1514" s="979"/>
      <c r="H1514" s="566"/>
      <c r="I1514" s="2275">
        <f>'Part IX A-Scoring Criteria'!I196</f>
        <v>0</v>
      </c>
      <c r="J1514" s="2275"/>
      <c r="K1514" s="963"/>
      <c r="L1514" s="1023">
        <f>'Part IX A-Scoring Criteria'!L196</f>
        <v>0</v>
      </c>
      <c r="M1514" s="780"/>
      <c r="N1514" s="958" t="s">
        <v>2594</v>
      </c>
      <c r="O1514" s="1002" t="str">
        <f>'Part IX A-Scoring Criteria'!O196</f>
        <v>N/a</v>
      </c>
      <c r="P1514" s="960"/>
      <c r="Q1514" s="979"/>
    </row>
    <row r="1515" spans="1:17">
      <c r="B1515" s="1020"/>
      <c r="C1515" s="939" t="s">
        <v>2610</v>
      </c>
      <c r="D1515" s="584" t="s">
        <v>1575</v>
      </c>
      <c r="H1515" s="566"/>
      <c r="I1515" s="2275">
        <f>'Part IX A-Scoring Criteria'!I197</f>
        <v>0</v>
      </c>
      <c r="J1515" s="2275"/>
      <c r="L1515" s="1023">
        <f>'Part IX A-Scoring Criteria'!L197</f>
        <v>0</v>
      </c>
      <c r="M1515" s="780"/>
      <c r="N1515" s="939" t="s">
        <v>2610</v>
      </c>
      <c r="O1515" s="1002" t="str">
        <f>'Part IX A-Scoring Criteria'!O197</f>
        <v>N/a</v>
      </c>
      <c r="P1515" s="960"/>
    </row>
    <row r="1516" spans="1:17">
      <c r="A1516" s="924"/>
      <c r="B1516" s="1020"/>
      <c r="C1516" s="939" t="s">
        <v>2611</v>
      </c>
      <c r="D1516" s="584" t="s">
        <v>1576</v>
      </c>
      <c r="H1516" s="566"/>
      <c r="I1516" s="2275">
        <f>'Part IX A-Scoring Criteria'!I198</f>
        <v>0</v>
      </c>
      <c r="J1516" s="2275"/>
      <c r="L1516" s="1023">
        <f>'Part IX A-Scoring Criteria'!L198</f>
        <v>0</v>
      </c>
      <c r="M1516" s="780"/>
      <c r="N1516" s="939" t="s">
        <v>2611</v>
      </c>
      <c r="O1516" s="1002" t="str">
        <f>'Part IX A-Scoring Criteria'!O198</f>
        <v>N/a</v>
      </c>
      <c r="P1516" s="960"/>
    </row>
    <row r="1517" spans="1:17">
      <c r="B1517" s="1020"/>
      <c r="C1517" s="939" t="s">
        <v>2612</v>
      </c>
      <c r="D1517" s="584" t="s">
        <v>2977</v>
      </c>
      <c r="H1517" s="566"/>
      <c r="I1517" s="2275">
        <f>'Part IX A-Scoring Criteria'!I199</f>
        <v>0</v>
      </c>
      <c r="J1517" s="2275"/>
      <c r="L1517" s="1023">
        <f>'Part IX A-Scoring Criteria'!L199</f>
        <v>0</v>
      </c>
      <c r="M1517" s="780"/>
      <c r="N1517" s="939" t="s">
        <v>2612</v>
      </c>
      <c r="O1517" s="1002" t="str">
        <f>'Part IX A-Scoring Criteria'!O199</f>
        <v>N/a</v>
      </c>
      <c r="P1517" s="960"/>
    </row>
    <row r="1518" spans="1:17">
      <c r="A1518" s="924"/>
      <c r="B1518" s="1020"/>
      <c r="C1518" s="939" t="s">
        <v>2613</v>
      </c>
      <c r="D1518" s="584" t="s">
        <v>3283</v>
      </c>
      <c r="H1518" s="566"/>
      <c r="I1518" s="2275">
        <f>'Part IX A-Scoring Criteria'!I200</f>
        <v>0</v>
      </c>
      <c r="J1518" s="2275"/>
      <c r="L1518" s="1023">
        <f>'Part IX A-Scoring Criteria'!L200</f>
        <v>0</v>
      </c>
      <c r="M1518" s="780"/>
      <c r="N1518" s="939" t="s">
        <v>2613</v>
      </c>
      <c r="O1518" s="1002" t="str">
        <f>'Part IX A-Scoring Criteria'!O200</f>
        <v>N/a</v>
      </c>
      <c r="P1518" s="960"/>
    </row>
    <row r="1519" spans="1:17">
      <c r="A1519" s="924"/>
      <c r="B1519" s="1020"/>
      <c r="C1519" s="939" t="s">
        <v>2614</v>
      </c>
      <c r="D1519" s="584" t="s">
        <v>3284</v>
      </c>
      <c r="H1519" s="566"/>
      <c r="I1519" s="2275">
        <f>'Part IX A-Scoring Criteria'!I201</f>
        <v>0</v>
      </c>
      <c r="J1519" s="2275"/>
      <c r="L1519" s="1023">
        <f>'Part IX A-Scoring Criteria'!L201</f>
        <v>0</v>
      </c>
      <c r="M1519" s="780"/>
      <c r="N1519" s="939" t="s">
        <v>2614</v>
      </c>
      <c r="O1519" s="1002" t="str">
        <f>'Part IX A-Scoring Criteria'!O201</f>
        <v>N/a</v>
      </c>
      <c r="P1519" s="960"/>
    </row>
    <row r="1520" spans="1:17">
      <c r="A1520" s="924"/>
      <c r="B1520" s="1020"/>
      <c r="C1520" s="939" t="s">
        <v>629</v>
      </c>
      <c r="D1520" s="584" t="s">
        <v>3285</v>
      </c>
      <c r="H1520" s="566"/>
      <c r="I1520" s="2275">
        <f>'Part IX A-Scoring Criteria'!I202</f>
        <v>0</v>
      </c>
      <c r="J1520" s="2275"/>
      <c r="L1520" s="1023">
        <f>'Part IX A-Scoring Criteria'!L202</f>
        <v>0</v>
      </c>
      <c r="M1520" s="780"/>
      <c r="N1520" s="939" t="s">
        <v>629</v>
      </c>
      <c r="O1520" s="1002" t="str">
        <f>'Part IX A-Scoring Criteria'!O202</f>
        <v>N/a</v>
      </c>
      <c r="P1520" s="960"/>
    </row>
    <row r="1521" spans="1:21">
      <c r="A1521" s="924"/>
      <c r="B1521" s="1020"/>
      <c r="D1521" s="938" t="s">
        <v>2811</v>
      </c>
      <c r="H1521" s="566"/>
      <c r="I1521" s="2275">
        <f>SUM(I1510:J1520)</f>
        <v>0</v>
      </c>
      <c r="J1521" s="2275"/>
      <c r="L1521" s="1023">
        <f>SUM($L1510:$L1520)</f>
        <v>0</v>
      </c>
      <c r="M1521" s="1024"/>
      <c r="N1521" s="1004"/>
      <c r="O1521" s="1004"/>
      <c r="P1521" s="1004"/>
    </row>
    <row r="1522" spans="1:21" ht="15">
      <c r="A1522" s="583"/>
      <c r="B1522" s="1022"/>
      <c r="C1522" s="979"/>
      <c r="D1522" s="584"/>
      <c r="E1522" s="584"/>
      <c r="F1522" s="888"/>
      <c r="G1522" s="888"/>
      <c r="H1522" s="888"/>
      <c r="I1522" s="888"/>
      <c r="J1522" s="938"/>
      <c r="K1522" s="938"/>
      <c r="L1522" s="938"/>
      <c r="M1522" s="935"/>
      <c r="N1522" s="888"/>
      <c r="O1522" s="786"/>
      <c r="P1522" s="975"/>
      <c r="Q1522" s="979"/>
    </row>
    <row r="1523" spans="1:21">
      <c r="B1523" s="1008" t="s">
        <v>2116</v>
      </c>
      <c r="C1523" s="968" t="s">
        <v>2810</v>
      </c>
      <c r="D1523" s="938" t="s">
        <v>2812</v>
      </c>
      <c r="I1523" s="2275">
        <f>'Part IV-Uses of Funds'!$G$130</f>
        <v>12233897</v>
      </c>
      <c r="J1523" s="2275"/>
    </row>
    <row r="1524" spans="1:21">
      <c r="B1524" s="994"/>
      <c r="C1524" s="1025"/>
      <c r="D1524" s="949" t="s">
        <v>2813</v>
      </c>
      <c r="G1524" s="1023"/>
      <c r="H1524" s="1023"/>
      <c r="I1524" s="2276">
        <f>IF($I1523=0,0,$I1521/$I1523)</f>
        <v>0</v>
      </c>
      <c r="J1524" s="2276"/>
      <c r="L1524" s="1026">
        <f>IF($I1523=0,0,$L1521/$I1523)</f>
        <v>0</v>
      </c>
    </row>
    <row r="1525" spans="1:21" ht="15">
      <c r="A1525" s="947" t="s">
        <v>2113</v>
      </c>
      <c r="B1525" s="1018" t="s">
        <v>2900</v>
      </c>
      <c r="C1525" s="979"/>
      <c r="D1525" s="584"/>
      <c r="E1525" s="584"/>
      <c r="F1525" s="888"/>
      <c r="G1525" s="979"/>
      <c r="H1525" s="584"/>
      <c r="I1525" s="888"/>
      <c r="J1525" s="938"/>
      <c r="K1525" s="938"/>
      <c r="L1525" s="938"/>
      <c r="M1525" s="780">
        <v>1</v>
      </c>
      <c r="N1525" s="939" t="s">
        <v>2113</v>
      </c>
      <c r="O1525" s="1002">
        <f>'Part IX A-Scoring Criteria'!O207</f>
        <v>0</v>
      </c>
      <c r="P1525" s="888"/>
      <c r="Q1525" s="995" t="s">
        <v>2929</v>
      </c>
    </row>
    <row r="1526" spans="1:21" ht="15">
      <c r="A1526" s="947"/>
      <c r="B1526" s="584" t="s">
        <v>3155</v>
      </c>
      <c r="C1526" s="584"/>
      <c r="D1526" s="584"/>
      <c r="E1526" s="584"/>
      <c r="F1526" s="584"/>
      <c r="G1526" s="584"/>
      <c r="H1526" s="584"/>
      <c r="I1526" s="584"/>
      <c r="J1526" s="584"/>
      <c r="K1526" s="584"/>
      <c r="L1526" s="584"/>
      <c r="M1526" s="584"/>
      <c r="N1526" s="584"/>
      <c r="O1526" s="1002" t="str">
        <f>'Part IX A-Scoring Criteria'!O208</f>
        <v>N/a</v>
      </c>
      <c r="P1526" s="960"/>
      <c r="Q1526" s="979"/>
    </row>
    <row r="1527" spans="1:21" ht="15">
      <c r="A1527" s="947" t="s">
        <v>793</v>
      </c>
      <c r="B1527" s="1018" t="s">
        <v>681</v>
      </c>
      <c r="C1527" s="979"/>
      <c r="D1527" s="584"/>
      <c r="E1527" s="584"/>
      <c r="F1527" s="888"/>
      <c r="G1527" s="888"/>
      <c r="H1527" s="888"/>
      <c r="I1527" s="888"/>
      <c r="J1527" s="938"/>
      <c r="K1527" s="938"/>
      <c r="L1527" s="938"/>
      <c r="M1527" s="780">
        <v>2</v>
      </c>
      <c r="N1527" s="939" t="s">
        <v>793</v>
      </c>
      <c r="O1527" s="916">
        <f>IF(AND($L1501="Flexible",$K1528&gt;=0.1), 2,IF(AND($L1501="Flexible",$K1528&gt;=0.05), 1,IF(AND($L1501="Rural",$K1528&gt;=0.05), 2,0)))</f>
        <v>0</v>
      </c>
      <c r="P1527" s="916">
        <f>IF(AND($L1501="Flexible",$M1528&gt;=0.1), 2,IF(AND($L1501="Flexible",$M1528&gt;=0.05), 1,IF(AND($L1501="Rural",$M1528&gt;=0.05), 2,0)))</f>
        <v>0</v>
      </c>
      <c r="Q1527" s="979"/>
    </row>
    <row r="1528" spans="1:21">
      <c r="B1528" s="584" t="s">
        <v>3357</v>
      </c>
      <c r="E1528" s="948"/>
      <c r="I1528" s="2277">
        <f>'Part IX A-Scoring Criteria'!I210</f>
        <v>0</v>
      </c>
      <c r="J1528" s="2277"/>
      <c r="K1528" s="1026">
        <f>IF($I1528=0,0,$I1528/$I1523)</f>
        <v>0</v>
      </c>
      <c r="L1528" s="1023"/>
      <c r="M1528" s="2276">
        <f>IF($L1528=0,0,$L1528/$I1523)</f>
        <v>0</v>
      </c>
      <c r="N1528" s="2276"/>
      <c r="O1528" s="994"/>
      <c r="P1528" s="994"/>
    </row>
    <row r="1529" spans="1:21" ht="15">
      <c r="A1529" s="897"/>
      <c r="B1529" s="584" t="s">
        <v>3205</v>
      </c>
      <c r="C1529" s="979"/>
      <c r="D1529" s="979"/>
      <c r="E1529" s="2138">
        <f>'Part IX A-Scoring Criteria'!E211</f>
        <v>0</v>
      </c>
      <c r="F1529" s="2138"/>
      <c r="G1529" s="2138"/>
      <c r="H1529" s="2138"/>
      <c r="I1529" s="2138"/>
      <c r="J1529" s="2138"/>
      <c r="K1529" s="948" t="s">
        <v>1376</v>
      </c>
      <c r="L1529" s="2175" t="str">
        <f>'Part IX A-Scoring Criteria'!L211</f>
        <v>&lt;Select unrelated 3rd party type&gt;</v>
      </c>
      <c r="M1529" s="2175"/>
      <c r="N1529" s="2175"/>
      <c r="O1529" s="979"/>
      <c r="P1529" s="979"/>
      <c r="Q1529" s="979"/>
    </row>
    <row r="1530" spans="1:21">
      <c r="A1530" s="924"/>
      <c r="B1530" s="946" t="s">
        <v>2501</v>
      </c>
      <c r="D1530" s="957"/>
      <c r="E1530" s="2136">
        <f>'Part IX A-Scoring Criteria'!E212</f>
        <v>0</v>
      </c>
      <c r="F1530" s="2278"/>
      <c r="G1530" s="2278"/>
      <c r="H1530" s="2278"/>
      <c r="I1530" s="2278"/>
      <c r="J1530" s="2278"/>
      <c r="K1530" s="2278"/>
      <c r="L1530" s="2278"/>
      <c r="M1530" s="2278"/>
      <c r="N1530" s="2278"/>
      <c r="O1530" s="2278"/>
      <c r="P1530" s="2278"/>
    </row>
    <row r="1531" spans="1:21" ht="15">
      <c r="A1531" s="583"/>
      <c r="B1531" s="941" t="s">
        <v>269</v>
      </c>
      <c r="C1531" s="583"/>
      <c r="D1531" s="587"/>
      <c r="E1531" s="587"/>
      <c r="F1531" s="587"/>
      <c r="G1531" s="587"/>
      <c r="H1531" s="584"/>
      <c r="I1531" s="584"/>
      <c r="J1531" s="584"/>
      <c r="K1531" s="584"/>
      <c r="L1531" s="979"/>
      <c r="M1531" s="780"/>
      <c r="N1531" s="784"/>
      <c r="O1531" s="975"/>
      <c r="P1531" s="786"/>
      <c r="Q1531" s="979"/>
    </row>
    <row r="1532" spans="1:21" ht="15.75">
      <c r="A1532" s="2129">
        <f>'Part IX A-Scoring Criteria'!A214</f>
        <v>0</v>
      </c>
      <c r="B1532" s="2129"/>
      <c r="C1532" s="2129"/>
      <c r="D1532" s="2129"/>
      <c r="E1532" s="2129"/>
      <c r="F1532" s="2129"/>
      <c r="G1532" s="2129"/>
      <c r="H1532" s="2129"/>
      <c r="I1532" s="2129"/>
      <c r="J1532" s="2129"/>
      <c r="K1532" s="2129"/>
      <c r="L1532" s="2129"/>
      <c r="M1532" s="2129"/>
      <c r="N1532" s="2129"/>
      <c r="O1532" s="2129"/>
      <c r="P1532" s="2129"/>
      <c r="Q1532" s="980" t="s">
        <v>1326</v>
      </c>
    </row>
    <row r="1533" spans="1:21" ht="15">
      <c r="A1533" s="583"/>
      <c r="B1533" s="941" t="s">
        <v>1988</v>
      </c>
      <c r="C1533" s="583"/>
      <c r="D1533" s="941"/>
      <c r="E1533" s="901"/>
      <c r="F1533" s="901"/>
      <c r="G1533" s="901"/>
      <c r="H1533" s="901"/>
      <c r="I1533" s="901"/>
      <c r="J1533" s="901"/>
      <c r="K1533" s="901"/>
      <c r="L1533" s="901"/>
      <c r="M1533" s="901"/>
      <c r="N1533" s="981"/>
      <c r="O1533" s="606"/>
      <c r="P1533" s="888"/>
      <c r="Q1533" s="985"/>
    </row>
    <row r="1534" spans="1:21" ht="15.75">
      <c r="A1534" s="2129"/>
      <c r="B1534" s="2129"/>
      <c r="C1534" s="2129"/>
      <c r="D1534" s="2129"/>
      <c r="E1534" s="2129"/>
      <c r="F1534" s="2129"/>
      <c r="G1534" s="2129"/>
      <c r="H1534" s="2129"/>
      <c r="I1534" s="2129"/>
      <c r="J1534" s="2129"/>
      <c r="K1534" s="2129"/>
      <c r="L1534" s="2129"/>
      <c r="M1534" s="2129"/>
      <c r="N1534" s="2129"/>
      <c r="O1534" s="2129"/>
      <c r="P1534" s="2129"/>
      <c r="Q1534" s="980" t="s">
        <v>1326</v>
      </c>
    </row>
    <row r="1535" spans="1:21">
      <c r="N1535" s="784"/>
      <c r="O1535" s="786"/>
      <c r="P1535" s="786"/>
    </row>
    <row r="1536" spans="1:21" ht="15">
      <c r="A1536" s="976" t="s">
        <v>1778</v>
      </c>
      <c r="B1536" s="977" t="s">
        <v>1781</v>
      </c>
      <c r="C1536" s="939"/>
      <c r="D1536" s="979"/>
      <c r="E1536" s="993"/>
      <c r="F1536" s="979"/>
      <c r="G1536" s="584"/>
      <c r="H1536" s="584"/>
      <c r="I1536" s="584"/>
      <c r="J1536" s="587"/>
      <c r="K1536" s="587"/>
      <c r="L1536" s="1004" t="str">
        <f>IF(OR($O1536=$M1536,$O1536=0,$O1536=""),"","* * Check Score! * *")</f>
        <v/>
      </c>
      <c r="M1536" s="888">
        <v>3</v>
      </c>
      <c r="N1536" s="1005"/>
      <c r="O1536" s="780"/>
      <c r="P1536" s="888"/>
      <c r="Q1536" s="888" t="s">
        <v>461</v>
      </c>
      <c r="U1536" s="975">
        <f>'Part IX A-Scoring Criteria'!O218</f>
        <v>0</v>
      </c>
    </row>
    <row r="1537" spans="1:21" s="979" customFormat="1" ht="12" customHeight="1">
      <c r="A1537" s="947" t="s">
        <v>2110</v>
      </c>
      <c r="B1537" s="887" t="s">
        <v>2979</v>
      </c>
      <c r="D1537" s="583"/>
      <c r="G1537" s="566" t="s">
        <v>2495</v>
      </c>
      <c r="M1537" s="780">
        <v>3</v>
      </c>
      <c r="N1537" s="939" t="s">
        <v>2110</v>
      </c>
      <c r="O1537" s="1002" t="str">
        <f>'Part IX A-Scoring Criteria'!O219</f>
        <v>N/a</v>
      </c>
      <c r="P1537" s="960"/>
      <c r="R1537" s="1004"/>
    </row>
    <row r="1538" spans="1:21" s="979" customFormat="1" ht="23.25" customHeight="1">
      <c r="A1538" s="984" t="s">
        <v>1434</v>
      </c>
      <c r="B1538" s="2279" t="s">
        <v>3348</v>
      </c>
      <c r="C1538" s="2280"/>
      <c r="D1538" s="2280"/>
      <c r="E1538" s="2280"/>
      <c r="F1538" s="2280"/>
      <c r="G1538" s="2280"/>
      <c r="H1538" s="2280"/>
      <c r="I1538" s="2280"/>
      <c r="J1538" s="2280"/>
      <c r="K1538" s="2280"/>
      <c r="L1538" s="2280"/>
      <c r="M1538" s="780"/>
      <c r="N1538" s="784"/>
      <c r="O1538" s="1002" t="str">
        <f>'Part IX A-Scoring Criteria'!O220</f>
        <v>N/a</v>
      </c>
      <c r="P1538" s="960"/>
    </row>
    <row r="1539" spans="1:21" s="946" customFormat="1" ht="3" customHeight="1">
      <c r="B1539" s="1010"/>
      <c r="C1539" s="1027"/>
      <c r="D1539" s="1027"/>
      <c r="E1539" s="1027"/>
      <c r="F1539" s="1027"/>
      <c r="G1539" s="1027"/>
      <c r="H1539" s="1027"/>
      <c r="I1539" s="1027"/>
      <c r="J1539" s="1027"/>
      <c r="K1539" s="1027"/>
      <c r="L1539" s="1027"/>
      <c r="M1539" s="1027"/>
      <c r="N1539" s="1027"/>
      <c r="O1539" s="1027"/>
      <c r="P1539" s="1027"/>
    </row>
    <row r="1540" spans="1:21" s="979" customFormat="1" ht="12" customHeight="1">
      <c r="A1540" s="947" t="s">
        <v>2113</v>
      </c>
      <c r="B1540" s="887" t="s">
        <v>2978</v>
      </c>
      <c r="D1540" s="583"/>
      <c r="E1540" s="583"/>
      <c r="F1540" s="583"/>
      <c r="G1540" s="887" t="s">
        <v>3072</v>
      </c>
      <c r="I1540" s="890" t="str">
        <f>'Part I-Project Information'!$H$85</f>
        <v>Flexible</v>
      </c>
      <c r="R1540" s="1004"/>
    </row>
    <row r="1541" spans="1:21" s="979" customFormat="1" ht="12" customHeight="1">
      <c r="A1541" s="947"/>
      <c r="B1541" s="566" t="s">
        <v>2495</v>
      </c>
      <c r="D1541" s="583"/>
      <c r="M1541" s="1022">
        <v>3</v>
      </c>
      <c r="N1541" s="939" t="s">
        <v>2113</v>
      </c>
      <c r="O1541" s="1002" t="str">
        <f>'Part IX A-Scoring Criteria'!O223</f>
        <v>N/a</v>
      </c>
      <c r="P1541" s="960"/>
      <c r="R1541" s="1004"/>
    </row>
    <row r="1542" spans="1:21" s="979" customFormat="1" ht="23.25" customHeight="1">
      <c r="A1542" s="984"/>
      <c r="B1542" s="2279" t="s">
        <v>3348</v>
      </c>
      <c r="C1542" s="2280"/>
      <c r="D1542" s="2280"/>
      <c r="E1542" s="2280"/>
      <c r="F1542" s="2280"/>
      <c r="G1542" s="2280"/>
      <c r="H1542" s="2280"/>
      <c r="I1542" s="2280"/>
      <c r="J1542" s="2280"/>
      <c r="K1542" s="2280"/>
      <c r="L1542" s="2280"/>
      <c r="M1542" s="780"/>
      <c r="N1542" s="784"/>
      <c r="O1542" s="1002" t="str">
        <f>'Part IX A-Scoring Criteria'!O224</f>
        <v>N/a</v>
      </c>
      <c r="P1542" s="960"/>
    </row>
    <row r="1543" spans="1:21" ht="15">
      <c r="A1543" s="583"/>
      <c r="B1543" s="941" t="s">
        <v>269</v>
      </c>
      <c r="C1543" s="583"/>
      <c r="D1543" s="587"/>
      <c r="E1543" s="587"/>
      <c r="F1543" s="587"/>
      <c r="G1543" s="587"/>
      <c r="H1543" s="584"/>
      <c r="I1543" s="584"/>
      <c r="J1543" s="584"/>
      <c r="K1543" s="584"/>
      <c r="L1543" s="979"/>
      <c r="M1543" s="780"/>
      <c r="N1543" s="784"/>
      <c r="O1543" s="975"/>
      <c r="P1543" s="786"/>
      <c r="Q1543" s="979"/>
    </row>
    <row r="1544" spans="1:21" ht="15.75">
      <c r="A1544" s="2129">
        <f>'Part IX A-Scoring Criteria'!A226</f>
        <v>0</v>
      </c>
      <c r="B1544" s="2129"/>
      <c r="C1544" s="2129"/>
      <c r="D1544" s="2129"/>
      <c r="E1544" s="2129"/>
      <c r="F1544" s="2129"/>
      <c r="G1544" s="2129"/>
      <c r="H1544" s="2129"/>
      <c r="I1544" s="2129"/>
      <c r="J1544" s="2129"/>
      <c r="K1544" s="2129"/>
      <c r="L1544" s="2129"/>
      <c r="M1544" s="2129"/>
      <c r="N1544" s="2129"/>
      <c r="O1544" s="2129"/>
      <c r="P1544" s="2129"/>
      <c r="Q1544" s="980" t="s">
        <v>1326</v>
      </c>
    </row>
    <row r="1545" spans="1:21" ht="15">
      <c r="A1545" s="583"/>
      <c r="B1545" s="941" t="s">
        <v>1988</v>
      </c>
      <c r="C1545" s="583"/>
      <c r="D1545" s="941"/>
      <c r="E1545" s="901"/>
      <c r="F1545" s="901"/>
      <c r="G1545" s="901"/>
      <c r="H1545" s="901"/>
      <c r="I1545" s="901"/>
      <c r="J1545" s="901"/>
      <c r="K1545" s="901"/>
      <c r="L1545" s="901"/>
      <c r="M1545" s="901"/>
      <c r="N1545" s="981"/>
      <c r="O1545" s="606"/>
      <c r="P1545" s="888"/>
      <c r="Q1545" s="985"/>
    </row>
    <row r="1546" spans="1:21" ht="15.75">
      <c r="A1546" s="2129"/>
      <c r="B1546" s="2129"/>
      <c r="C1546" s="2129"/>
      <c r="D1546" s="2129"/>
      <c r="E1546" s="2129"/>
      <c r="F1546" s="2129"/>
      <c r="G1546" s="2129"/>
      <c r="H1546" s="2129"/>
      <c r="I1546" s="2129"/>
      <c r="J1546" s="2129"/>
      <c r="K1546" s="2129"/>
      <c r="L1546" s="2129"/>
      <c r="M1546" s="2129"/>
      <c r="N1546" s="2129"/>
      <c r="O1546" s="2129"/>
      <c r="P1546" s="2129"/>
      <c r="Q1546" s="980" t="s">
        <v>1326</v>
      </c>
    </row>
    <row r="1547" spans="1:21" ht="15">
      <c r="A1547" s="583"/>
      <c r="B1547" s="583"/>
      <c r="C1547" s="944"/>
      <c r="D1547" s="944"/>
      <c r="E1547" s="944"/>
      <c r="F1547" s="944"/>
      <c r="G1547" s="944"/>
      <c r="H1547" s="944"/>
      <c r="I1547" s="944"/>
      <c r="J1547" s="944"/>
      <c r="K1547" s="944"/>
      <c r="L1547" s="944"/>
      <c r="M1547" s="944"/>
      <c r="N1547" s="991"/>
      <c r="O1547" s="992"/>
      <c r="P1547" s="888"/>
      <c r="Q1547" s="979"/>
    </row>
    <row r="1548" spans="1:21" ht="15">
      <c r="A1548" s="1013" t="s">
        <v>1779</v>
      </c>
      <c r="B1548" s="983" t="s">
        <v>2952</v>
      </c>
      <c r="C1548" s="984"/>
      <c r="D1548" s="963"/>
      <c r="E1548" s="584"/>
      <c r="F1548" s="979"/>
      <c r="G1548" s="979"/>
      <c r="H1548" s="979"/>
      <c r="I1548" s="979"/>
      <c r="J1548" s="1011"/>
      <c r="K1548" s="979"/>
      <c r="L1548" s="979"/>
      <c r="M1548" s="888">
        <v>3</v>
      </c>
      <c r="N1548" s="780"/>
      <c r="O1548" s="888">
        <f>MIN($M1548,O1549+O1553)</f>
        <v>3</v>
      </c>
      <c r="P1548" s="888">
        <f>MIN($M1548,P1549+P1553)</f>
        <v>0</v>
      </c>
      <c r="Q1548" s="888" t="s">
        <v>461</v>
      </c>
      <c r="U1548" s="975">
        <f>'Part IX A-Scoring Criteria'!O230</f>
        <v>3</v>
      </c>
    </row>
    <row r="1549" spans="1:21" ht="15">
      <c r="A1549" s="947" t="s">
        <v>2110</v>
      </c>
      <c r="B1549" s="887" t="s">
        <v>3157</v>
      </c>
      <c r="C1549" s="979"/>
      <c r="D1549" s="583"/>
      <c r="E1549" s="583"/>
      <c r="F1549" s="583"/>
      <c r="G1549" s="979"/>
      <c r="H1549" s="979"/>
      <c r="I1549" s="979"/>
      <c r="J1549" s="961" t="s">
        <v>3293</v>
      </c>
      <c r="K1549" s="1028">
        <f>'Part VI-Revenues &amp; Expenses'!$I$57/'Part VI-Revenues &amp; Expenses'!$M$58</f>
        <v>0.16455696202531644</v>
      </c>
      <c r="L1549" s="1004" t="str">
        <f>IF(OR($O1549=$M1549,$O1549=0,$O1549=""),"","* * Check Score! * *")</f>
        <v/>
      </c>
      <c r="M1549" s="780">
        <v>3</v>
      </c>
      <c r="N1549" s="939" t="s">
        <v>2110</v>
      </c>
      <c r="O1549" s="1002">
        <f>'Part IX A-Scoring Criteria'!O231</f>
        <v>3</v>
      </c>
      <c r="P1549" s="888"/>
      <c r="Q1549" s="995" t="s">
        <v>2929</v>
      </c>
    </row>
    <row r="1550" spans="1:21">
      <c r="A1550" s="956"/>
      <c r="B1550" s="1010" t="s">
        <v>2114</v>
      </c>
      <c r="C1550" s="2135" t="s">
        <v>3158</v>
      </c>
      <c r="D1550" s="2135"/>
      <c r="E1550" s="2135"/>
      <c r="F1550" s="2135"/>
      <c r="G1550" s="2135"/>
      <c r="H1550" s="2135"/>
      <c r="I1550" s="2135"/>
      <c r="J1550" s="2135"/>
      <c r="K1550" s="2135"/>
      <c r="L1550" s="2135"/>
      <c r="M1550" s="2135"/>
      <c r="N1550" s="1001" t="s">
        <v>2114</v>
      </c>
      <c r="O1550" s="1002" t="str">
        <f>'Part IX A-Scoring Criteria'!O232</f>
        <v>Agree</v>
      </c>
      <c r="P1550" s="1002"/>
      <c r="Q1550" s="1002"/>
    </row>
    <row r="1551" spans="1:21">
      <c r="A1551" s="984" t="s">
        <v>1434</v>
      </c>
      <c r="B1551" s="1010" t="s">
        <v>2116</v>
      </c>
      <c r="C1551" s="2135" t="s">
        <v>3159</v>
      </c>
      <c r="D1551" s="2135"/>
      <c r="E1551" s="2135"/>
      <c r="F1551" s="2135"/>
      <c r="G1551" s="2135"/>
      <c r="H1551" s="2135"/>
      <c r="I1551" s="2135"/>
      <c r="J1551" s="2135"/>
      <c r="K1551" s="2135"/>
      <c r="L1551" s="2135"/>
      <c r="M1551" s="2135"/>
      <c r="N1551" s="1001" t="s">
        <v>2116</v>
      </c>
      <c r="O1551" s="1002" t="str">
        <f>'Part IX A-Scoring Criteria'!O233</f>
        <v>Yes</v>
      </c>
      <c r="P1551" s="960"/>
      <c r="Q1551" s="946"/>
    </row>
    <row r="1552" spans="1:21">
      <c r="A1552" s="946"/>
      <c r="B1552" s="1010"/>
      <c r="C1552" s="1027"/>
      <c r="D1552" s="1027"/>
      <c r="E1552" s="1027"/>
      <c r="F1552" s="1027"/>
      <c r="G1552" s="1027"/>
      <c r="H1552" s="1027"/>
      <c r="I1552" s="1027"/>
      <c r="J1552" s="1027"/>
      <c r="K1552" s="1027"/>
      <c r="L1552" s="1027"/>
      <c r="M1552" s="1027"/>
      <c r="N1552" s="1027"/>
      <c r="O1552" s="1027"/>
      <c r="P1552" s="1027"/>
      <c r="Q1552" s="946"/>
    </row>
    <row r="1553" spans="1:21" ht="15">
      <c r="A1553" s="947" t="s">
        <v>2113</v>
      </c>
      <c r="B1553" s="887" t="s">
        <v>2953</v>
      </c>
      <c r="C1553" s="979"/>
      <c r="D1553" s="938"/>
      <c r="E1553" s="979"/>
      <c r="F1553" s="584" t="s">
        <v>3160</v>
      </c>
      <c r="G1553" s="979"/>
      <c r="H1553" s="2175" t="str">
        <f>'Part IX A-Scoring Criteria'!H235</f>
        <v>&lt;&lt;Select applicable documentation&gt;&gt;</v>
      </c>
      <c r="I1553" s="2175"/>
      <c r="J1553" s="2175"/>
      <c r="K1553" s="2175"/>
      <c r="L1553" s="1004" t="str">
        <f>IF(OR($O1553=$M1553,$O1553=0,$O1553=""),"","* * Check Score! * *")</f>
        <v/>
      </c>
      <c r="M1553" s="780">
        <v>3</v>
      </c>
      <c r="N1553" s="939" t="s">
        <v>2113</v>
      </c>
      <c r="O1553" s="1002">
        <f>'Part IX A-Scoring Criteria'!O235</f>
        <v>0</v>
      </c>
      <c r="P1553" s="888"/>
      <c r="Q1553" s="995" t="s">
        <v>2929</v>
      </c>
    </row>
    <row r="1554" spans="1:21" ht="15">
      <c r="A1554" s="583"/>
      <c r="B1554" s="941" t="s">
        <v>269</v>
      </c>
      <c r="C1554" s="583"/>
      <c r="D1554" s="587"/>
      <c r="E1554" s="587"/>
      <c r="F1554" s="587"/>
      <c r="G1554" s="587"/>
      <c r="H1554" s="584"/>
      <c r="I1554" s="584"/>
      <c r="J1554" s="584"/>
      <c r="K1554" s="584"/>
      <c r="L1554" s="979"/>
      <c r="M1554" s="780"/>
      <c r="N1554" s="784"/>
      <c r="O1554" s="975"/>
      <c r="P1554" s="786"/>
      <c r="Q1554" s="979"/>
    </row>
    <row r="1555" spans="1:21" ht="15.75">
      <c r="A1555" s="2129" t="str">
        <f>'Part IX A-Scoring Criteria'!A237</f>
        <v xml:space="preserve">The project agrees to the integrated supportive housing/section 8 rental assistance. We have set aside 16.46% of the one bedroom units at 50% rent limits. </v>
      </c>
      <c r="B1555" s="2129"/>
      <c r="C1555" s="2129"/>
      <c r="D1555" s="2129"/>
      <c r="E1555" s="2129"/>
      <c r="F1555" s="2129"/>
      <c r="G1555" s="2129"/>
      <c r="H1555" s="2129"/>
      <c r="I1555" s="2129"/>
      <c r="J1555" s="2129"/>
      <c r="K1555" s="2129"/>
      <c r="L1555" s="2129"/>
      <c r="M1555" s="2129"/>
      <c r="N1555" s="2129"/>
      <c r="O1555" s="2129"/>
      <c r="P1555" s="2129"/>
      <c r="Q1555" s="980" t="s">
        <v>1326</v>
      </c>
    </row>
    <row r="1556" spans="1:21" ht="15">
      <c r="A1556" s="979"/>
      <c r="B1556" s="942" t="s">
        <v>1988</v>
      </c>
      <c r="C1556" s="583"/>
      <c r="D1556" s="942"/>
      <c r="E1556" s="944"/>
      <c r="F1556" s="944"/>
      <c r="G1556" s="944"/>
      <c r="H1556" s="944"/>
      <c r="I1556" s="944"/>
      <c r="J1556" s="944"/>
      <c r="K1556" s="944"/>
      <c r="L1556" s="944"/>
      <c r="M1556" s="944"/>
      <c r="N1556" s="991"/>
      <c r="O1556" s="992"/>
      <c r="P1556" s="888"/>
      <c r="Q1556" s="985"/>
    </row>
    <row r="1557" spans="1:21" ht="15.75">
      <c r="A1557" s="2129"/>
      <c r="B1557" s="2129"/>
      <c r="C1557" s="2129"/>
      <c r="D1557" s="2129"/>
      <c r="E1557" s="2129"/>
      <c r="F1557" s="2129"/>
      <c r="G1557" s="2129"/>
      <c r="H1557" s="2129"/>
      <c r="I1557" s="2129"/>
      <c r="J1557" s="2129"/>
      <c r="K1557" s="2129"/>
      <c r="L1557" s="2129"/>
      <c r="M1557" s="2129"/>
      <c r="N1557" s="2129"/>
      <c r="O1557" s="2129"/>
      <c r="P1557" s="2129"/>
      <c r="Q1557" s="980" t="s">
        <v>1326</v>
      </c>
    </row>
    <row r="1558" spans="1:21" ht="15">
      <c r="A1558" s="583"/>
      <c r="B1558" s="583"/>
      <c r="C1558" s="944"/>
      <c r="D1558" s="944"/>
      <c r="E1558" s="944"/>
      <c r="F1558" s="944"/>
      <c r="G1558" s="944"/>
      <c r="H1558" s="944"/>
      <c r="I1558" s="944"/>
      <c r="J1558" s="944"/>
      <c r="K1558" s="944"/>
      <c r="L1558" s="944"/>
      <c r="M1558" s="944"/>
      <c r="N1558" s="991"/>
      <c r="O1558" s="992"/>
      <c r="P1558" s="888"/>
      <c r="Q1558" s="979"/>
    </row>
    <row r="1559" spans="1:21" ht="15">
      <c r="A1559" s="976" t="s">
        <v>1780</v>
      </c>
      <c r="B1559" s="977" t="s">
        <v>2954</v>
      </c>
      <c r="C1559" s="979"/>
      <c r="D1559" s="938"/>
      <c r="E1559" s="979"/>
      <c r="F1559" s="938"/>
      <c r="G1559" s="1005"/>
      <c r="H1559" s="1011" t="s">
        <v>419</v>
      </c>
      <c r="I1559" s="979"/>
      <c r="J1559" s="979"/>
      <c r="K1559" s="1005"/>
      <c r="L1559" s="584"/>
      <c r="M1559" s="888">
        <v>2</v>
      </c>
      <c r="N1559" s="939"/>
      <c r="O1559" s="780">
        <f>MIN($M1559,O1560+O1564)</f>
        <v>0</v>
      </c>
      <c r="P1559" s="780">
        <f>MIN($M1559,P1560+P1564)</f>
        <v>0</v>
      </c>
      <c r="Q1559" s="888" t="s">
        <v>461</v>
      </c>
      <c r="U1559" s="975">
        <f>'Part IX A-Scoring Criteria'!O241</f>
        <v>0</v>
      </c>
    </row>
    <row r="1560" spans="1:21" ht="15">
      <c r="A1560" s="1029" t="s">
        <v>2110</v>
      </c>
      <c r="B1560" s="946" t="s">
        <v>3162</v>
      </c>
      <c r="C1560" s="1030"/>
      <c r="D1560" s="946"/>
      <c r="E1560" s="2281" t="str">
        <f>'Part IX A-Scoring Criteria'!E242</f>
        <v>&lt;&lt;Select applicable status&gt;&gt;</v>
      </c>
      <c r="F1560" s="2281"/>
      <c r="G1560" s="2281"/>
      <c r="H1560" s="2281"/>
      <c r="I1560" s="1030"/>
      <c r="J1560" s="946" t="s">
        <v>3166</v>
      </c>
      <c r="K1560" s="1030"/>
      <c r="L1560" s="1031">
        <f>'Part III-Sources of Funds'!$H$42</f>
        <v>0</v>
      </c>
      <c r="M1560" s="1000">
        <v>2</v>
      </c>
      <c r="N1560" s="958" t="s">
        <v>2110</v>
      </c>
      <c r="O1560" s="1002">
        <f>'Part IX A-Scoring Criteria'!O242</f>
        <v>0</v>
      </c>
      <c r="P1560" s="888"/>
      <c r="Q1560" s="807" t="s">
        <v>2929</v>
      </c>
    </row>
    <row r="1561" spans="1:21" ht="15">
      <c r="A1561" s="1002"/>
      <c r="B1561" s="1032"/>
      <c r="C1561" s="1030"/>
      <c r="D1561" s="1030"/>
      <c r="E1561" s="1030"/>
      <c r="F1561" s="1030"/>
      <c r="G1561" s="1030"/>
      <c r="H1561" s="1030"/>
      <c r="I1561" s="1030"/>
      <c r="J1561" s="946" t="s">
        <v>3165</v>
      </c>
      <c r="K1561" s="946"/>
      <c r="L1561" s="1031">
        <f>'Part VI-Revenues &amp; Expenses'!$M$81</f>
        <v>0</v>
      </c>
      <c r="M1561" s="1000"/>
      <c r="N1561" s="1000"/>
      <c r="O1561" s="1000"/>
      <c r="P1561" s="1000"/>
      <c r="Q1561" s="807"/>
    </row>
    <row r="1562" spans="1:21" ht="15">
      <c r="A1562" s="1002"/>
      <c r="B1562" s="1032"/>
      <c r="C1562" s="1030"/>
      <c r="D1562" s="1030"/>
      <c r="E1562" s="1030"/>
      <c r="F1562" s="959"/>
      <c r="G1562" s="890"/>
      <c r="H1562" s="935"/>
      <c r="I1562" s="890"/>
      <c r="J1562" s="951" t="s">
        <v>3163</v>
      </c>
      <c r="K1562" s="1030"/>
      <c r="L1562" s="1031">
        <f>'Part VI-Revenues &amp; Expenses'!$M$62</f>
        <v>84</v>
      </c>
      <c r="M1562" s="1000"/>
      <c r="N1562" s="1000"/>
      <c r="O1562" s="1000"/>
      <c r="P1562" s="1000"/>
      <c r="Q1562" s="807"/>
    </row>
    <row r="1563" spans="1:21" ht="15">
      <c r="A1563" s="933" t="s">
        <v>1434</v>
      </c>
      <c r="B1563" s="1032"/>
      <c r="C1563" s="1030"/>
      <c r="D1563" s="1030"/>
      <c r="E1563" s="1030"/>
      <c r="F1563" s="959"/>
      <c r="G1563" s="890"/>
      <c r="H1563" s="935"/>
      <c r="I1563" s="890"/>
      <c r="J1563" s="938" t="s">
        <v>3164</v>
      </c>
      <c r="K1563" s="1030"/>
      <c r="L1563" s="890">
        <f>L1561/L1562</f>
        <v>0</v>
      </c>
      <c r="M1563" s="1000"/>
      <c r="N1563" s="1000"/>
      <c r="O1563" s="1000"/>
      <c r="P1563" s="1000"/>
      <c r="Q1563" s="807"/>
    </row>
    <row r="1564" spans="1:21">
      <c r="A1564" s="1029" t="s">
        <v>2113</v>
      </c>
      <c r="B1564" s="2129" t="s">
        <v>2996</v>
      </c>
      <c r="C1564" s="2129"/>
      <c r="D1564" s="2129"/>
      <c r="E1564" s="2129"/>
      <c r="F1564" s="2129"/>
      <c r="G1564" s="2129"/>
      <c r="H1564" s="2129"/>
      <c r="I1564" s="2129"/>
      <c r="J1564" s="2129"/>
      <c r="K1564" s="2129"/>
      <c r="L1564" s="2129"/>
      <c r="M1564" s="1000">
        <v>1</v>
      </c>
      <c r="N1564" s="958" t="s">
        <v>2113</v>
      </c>
      <c r="O1564" s="1002">
        <f>'Part IX A-Scoring Criteria'!O246</f>
        <v>0</v>
      </c>
      <c r="P1564" s="888"/>
      <c r="Q1564" s="807" t="s">
        <v>2929</v>
      </c>
    </row>
    <row r="1565" spans="1:21" ht="15">
      <c r="A1565" s="583"/>
      <c r="B1565" s="941" t="s">
        <v>269</v>
      </c>
      <c r="C1565" s="583"/>
      <c r="D1565" s="587"/>
      <c r="E1565" s="587"/>
      <c r="F1565" s="587"/>
      <c r="G1565" s="587"/>
      <c r="H1565" s="584"/>
      <c r="I1565" s="584"/>
      <c r="J1565" s="584"/>
      <c r="K1565" s="584"/>
      <c r="L1565" s="979"/>
      <c r="M1565" s="780"/>
      <c r="N1565" s="784"/>
      <c r="O1565" s="975"/>
      <c r="P1565" s="786"/>
      <c r="Q1565" s="979"/>
    </row>
    <row r="1566" spans="1:21" ht="15.75">
      <c r="A1566" s="2129">
        <f>'Part IX A-Scoring Criteria'!A248</f>
        <v>0</v>
      </c>
      <c r="B1566" s="2129"/>
      <c r="C1566" s="2129"/>
      <c r="D1566" s="2129"/>
      <c r="E1566" s="2129"/>
      <c r="F1566" s="2129"/>
      <c r="G1566" s="2129"/>
      <c r="H1566" s="2129"/>
      <c r="I1566" s="2129"/>
      <c r="J1566" s="2129"/>
      <c r="K1566" s="2129"/>
      <c r="L1566" s="2129"/>
      <c r="M1566" s="2129"/>
      <c r="N1566" s="2129"/>
      <c r="O1566" s="2129"/>
      <c r="P1566" s="2129"/>
      <c r="Q1566" s="980" t="s">
        <v>1326</v>
      </c>
    </row>
    <row r="1567" spans="1:21" ht="15">
      <c r="A1567" s="979"/>
      <c r="B1567" s="942" t="s">
        <v>1988</v>
      </c>
      <c r="C1567" s="583"/>
      <c r="D1567" s="942"/>
      <c r="E1567" s="944"/>
      <c r="F1567" s="944"/>
      <c r="G1567" s="944"/>
      <c r="H1567" s="944"/>
      <c r="I1567" s="944"/>
      <c r="J1567" s="944"/>
      <c r="K1567" s="944"/>
      <c r="L1567" s="944"/>
      <c r="M1567" s="944"/>
      <c r="N1567" s="991"/>
      <c r="O1567" s="992"/>
      <c r="P1567" s="888"/>
      <c r="Q1567" s="985"/>
    </row>
    <row r="1568" spans="1:21" ht="15.75">
      <c r="A1568" s="2129"/>
      <c r="B1568" s="2129"/>
      <c r="C1568" s="2129"/>
      <c r="D1568" s="2129"/>
      <c r="E1568" s="2129"/>
      <c r="F1568" s="2129"/>
      <c r="G1568" s="2129"/>
      <c r="H1568" s="2129"/>
      <c r="I1568" s="2129"/>
      <c r="J1568" s="2129"/>
      <c r="K1568" s="2129"/>
      <c r="L1568" s="2129"/>
      <c r="M1568" s="2129"/>
      <c r="N1568" s="2129"/>
      <c r="O1568" s="2129"/>
      <c r="P1568" s="2129"/>
      <c r="Q1568" s="980" t="s">
        <v>1326</v>
      </c>
    </row>
    <row r="1569" spans="1:21" ht="15">
      <c r="A1569" s="583"/>
      <c r="B1569" s="583"/>
      <c r="C1569" s="944"/>
      <c r="D1569" s="944"/>
      <c r="E1569" s="944"/>
      <c r="F1569" s="944"/>
      <c r="G1569" s="944"/>
      <c r="H1569" s="944"/>
      <c r="I1569" s="944"/>
      <c r="J1569" s="944"/>
      <c r="K1569" s="944"/>
      <c r="L1569" s="944"/>
      <c r="M1569" s="944"/>
      <c r="N1569" s="991"/>
      <c r="O1569" s="992"/>
      <c r="P1569" s="888"/>
      <c r="Q1569" s="979"/>
    </row>
    <row r="1570" spans="1:21" ht="15">
      <c r="A1570" s="1013" t="s">
        <v>1782</v>
      </c>
      <c r="B1570" s="977" t="s">
        <v>2814</v>
      </c>
      <c r="C1570" s="979"/>
      <c r="D1570" s="993"/>
      <c r="E1570" s="993"/>
      <c r="F1570" s="979"/>
      <c r="G1570" s="979"/>
      <c r="H1570" s="979"/>
      <c r="I1570" s="987" t="s">
        <v>3420</v>
      </c>
      <c r="J1570" s="993"/>
      <c r="K1570" s="993"/>
      <c r="L1570" s="979"/>
      <c r="M1570" s="1016">
        <v>5</v>
      </c>
      <c r="N1570" s="979"/>
      <c r="O1570" s="979"/>
      <c r="P1570" s="888"/>
      <c r="Q1570" s="888" t="s">
        <v>461</v>
      </c>
      <c r="U1570" s="975">
        <f>'Part IX A-Scoring Criteria'!O252</f>
        <v>0</v>
      </c>
    </row>
    <row r="1571" spans="1:21" ht="15">
      <c r="A1571" s="1013"/>
      <c r="B1571" s="979"/>
      <c r="C1571" s="979"/>
      <c r="D1571" s="2144" t="s">
        <v>3203</v>
      </c>
      <c r="E1571" s="2144"/>
      <c r="F1571" s="2282">
        <f>'Part IV-Uses of Funds'!J1489</f>
        <v>0</v>
      </c>
      <c r="G1571" s="2170"/>
      <c r="H1571" s="979"/>
      <c r="I1571" s="979"/>
      <c r="J1571" s="979"/>
      <c r="K1571" s="979"/>
      <c r="L1571" s="979"/>
      <c r="M1571" s="1016"/>
      <c r="N1571" s="979"/>
      <c r="O1571" s="979"/>
      <c r="P1571" s="979"/>
      <c r="Q1571" s="888"/>
    </row>
    <row r="1572" spans="1:21" ht="15">
      <c r="A1572" s="1013"/>
      <c r="B1572" s="979"/>
      <c r="C1572" s="979"/>
      <c r="D1572" s="979"/>
      <c r="E1572" s="979"/>
      <c r="F1572" s="979"/>
      <c r="G1572" s="979"/>
      <c r="H1572" s="993"/>
      <c r="I1572" s="987" t="s">
        <v>3421</v>
      </c>
      <c r="J1572" s="993"/>
      <c r="K1572" s="993"/>
      <c r="L1572" s="979"/>
      <c r="M1572" s="780">
        <v>18</v>
      </c>
      <c r="N1572" s="780"/>
      <c r="O1572" s="888">
        <f>MIN($M1572,(O1573+O1576+O1579+O1581+O1584+O1587))</f>
        <v>0</v>
      </c>
      <c r="P1572" s="888">
        <f>MIN($M1572,(P1573+P1576+P1579+P1581+P1584+P1587))</f>
        <v>0</v>
      </c>
      <c r="Q1572" s="888"/>
    </row>
    <row r="1573" spans="1:21">
      <c r="A1573" s="1013"/>
      <c r="B1573" s="947" t="s">
        <v>2110</v>
      </c>
      <c r="C1573" s="2283" t="s">
        <v>3167</v>
      </c>
      <c r="D1573" s="2283"/>
      <c r="E1573" s="2283"/>
      <c r="F1573" s="2283"/>
      <c r="G1573" s="2283"/>
      <c r="H1573" s="2283"/>
      <c r="I1573" s="2283"/>
      <c r="J1573" s="2283"/>
      <c r="K1573" s="2283"/>
      <c r="L1573" s="2283"/>
      <c r="M1573" s="1000">
        <v>6</v>
      </c>
      <c r="N1573" s="993"/>
      <c r="O1573" s="2284">
        <f>'Part IX A-Scoring Criteria'!O255</f>
        <v>0</v>
      </c>
      <c r="P1573" s="2284"/>
      <c r="Q1573" s="807"/>
    </row>
    <row r="1574" spans="1:21">
      <c r="A1574" s="933" t="s">
        <v>1434</v>
      </c>
      <c r="B1574" s="956" t="s">
        <v>2113</v>
      </c>
      <c r="C1574" s="2135" t="s">
        <v>3343</v>
      </c>
      <c r="D1574" s="2135"/>
      <c r="E1574" s="2135"/>
      <c r="F1574" s="2135"/>
      <c r="G1574" s="2135"/>
      <c r="H1574" s="2135"/>
      <c r="I1574" s="2135"/>
      <c r="J1574" s="2135"/>
      <c r="K1574" s="2135"/>
      <c r="L1574" s="2135"/>
      <c r="M1574" s="1000">
        <v>5</v>
      </c>
      <c r="N1574" s="1033"/>
      <c r="O1574" s="2284"/>
      <c r="P1574" s="2284"/>
      <c r="Q1574" s="807" t="s">
        <v>2929</v>
      </c>
    </row>
    <row r="1575" spans="1:21" ht="15">
      <c r="A1575" s="583"/>
      <c r="B1575" s="583"/>
      <c r="C1575" s="944"/>
      <c r="D1575" s="944"/>
      <c r="E1575" s="944"/>
      <c r="F1575" s="944"/>
      <c r="G1575" s="944"/>
      <c r="H1575" s="944"/>
      <c r="I1575" s="944"/>
      <c r="J1575" s="944"/>
      <c r="K1575" s="944"/>
      <c r="L1575" s="944"/>
      <c r="M1575" s="944"/>
      <c r="N1575" s="991"/>
      <c r="O1575" s="992"/>
      <c r="P1575" s="888"/>
      <c r="Q1575" s="979"/>
    </row>
    <row r="1576" spans="1:21">
      <c r="A1576" s="1034"/>
      <c r="B1576" s="956" t="s">
        <v>793</v>
      </c>
      <c r="C1576" s="2135" t="s">
        <v>3169</v>
      </c>
      <c r="D1576" s="2135"/>
      <c r="E1576" s="2135"/>
      <c r="F1576" s="2135"/>
      <c r="G1576" s="2135"/>
      <c r="H1576" s="2135"/>
      <c r="I1576" s="2135"/>
      <c r="J1576" s="2135"/>
      <c r="K1576" s="2135"/>
      <c r="L1576" s="2135"/>
      <c r="M1576" s="1000">
        <v>4</v>
      </c>
      <c r="N1576" s="1033"/>
      <c r="O1576" s="2284">
        <f>'Part IX A-Scoring Criteria'!O258</f>
        <v>0</v>
      </c>
      <c r="P1576" s="2284"/>
      <c r="Q1576" s="807" t="s">
        <v>2929</v>
      </c>
    </row>
    <row r="1577" spans="1:21">
      <c r="A1577" s="933" t="s">
        <v>1434</v>
      </c>
      <c r="B1577" s="956"/>
      <c r="C1577" s="2135" t="s">
        <v>3168</v>
      </c>
      <c r="D1577" s="2135"/>
      <c r="E1577" s="2135"/>
      <c r="F1577" s="2135"/>
      <c r="G1577" s="2135"/>
      <c r="H1577" s="2135"/>
      <c r="I1577" s="2135"/>
      <c r="J1577" s="2135"/>
      <c r="K1577" s="2135"/>
      <c r="L1577" s="2135"/>
      <c r="M1577" s="1000">
        <v>2</v>
      </c>
      <c r="N1577" s="1033"/>
      <c r="O1577" s="2284"/>
      <c r="P1577" s="2284"/>
      <c r="Q1577" s="566"/>
    </row>
    <row r="1578" spans="1:21" ht="15">
      <c r="A1578" s="583"/>
      <c r="B1578" s="583"/>
      <c r="C1578" s="944"/>
      <c r="D1578" s="944"/>
      <c r="E1578" s="944"/>
      <c r="F1578" s="944"/>
      <c r="G1578" s="944"/>
      <c r="H1578" s="944"/>
      <c r="I1578" s="944"/>
      <c r="J1578" s="944"/>
      <c r="K1578" s="944"/>
      <c r="L1578" s="944"/>
      <c r="M1578" s="944"/>
      <c r="N1578" s="991"/>
      <c r="O1578" s="992"/>
      <c r="P1578" s="888"/>
      <c r="Q1578" s="979"/>
    </row>
    <row r="1579" spans="1:21">
      <c r="A1579" s="1034"/>
      <c r="B1579" s="956" t="s">
        <v>2245</v>
      </c>
      <c r="C1579" s="2135" t="s">
        <v>3170</v>
      </c>
      <c r="D1579" s="2135"/>
      <c r="E1579" s="2135"/>
      <c r="F1579" s="2135"/>
      <c r="G1579" s="2135"/>
      <c r="H1579" s="2135"/>
      <c r="I1579" s="2135"/>
      <c r="J1579" s="2135"/>
      <c r="K1579" s="2135"/>
      <c r="L1579" s="2135"/>
      <c r="M1579" s="1000">
        <v>1</v>
      </c>
      <c r="N1579" s="1033"/>
      <c r="O1579" s="1002">
        <f>'Part IX A-Scoring Criteria'!O261</f>
        <v>0</v>
      </c>
      <c r="P1579" s="1002"/>
      <c r="Q1579" s="807" t="s">
        <v>2929</v>
      </c>
    </row>
    <row r="1580" spans="1:21" ht="15">
      <c r="A1580" s="583"/>
      <c r="B1580" s="583"/>
      <c r="C1580" s="944"/>
      <c r="D1580" s="944"/>
      <c r="E1580" s="944"/>
      <c r="F1580" s="944"/>
      <c r="G1580" s="944"/>
      <c r="H1580" s="944"/>
      <c r="I1580" s="944"/>
      <c r="J1580" s="944"/>
      <c r="K1580" s="944"/>
      <c r="L1580" s="944"/>
      <c r="M1580" s="944"/>
      <c r="N1580" s="991"/>
      <c r="O1580" s="992"/>
      <c r="P1580" s="888"/>
      <c r="Q1580" s="979"/>
    </row>
    <row r="1581" spans="1:21">
      <c r="A1581" s="1013"/>
      <c r="B1581" s="956" t="s">
        <v>1848</v>
      </c>
      <c r="C1581" s="2135" t="s">
        <v>3173</v>
      </c>
      <c r="D1581" s="2135"/>
      <c r="E1581" s="2135"/>
      <c r="F1581" s="2135"/>
      <c r="G1581" s="2135"/>
      <c r="H1581" s="2135"/>
      <c r="I1581" s="2135"/>
      <c r="J1581" s="2135"/>
      <c r="K1581" s="2135"/>
      <c r="L1581" s="2135"/>
      <c r="M1581" s="1000">
        <v>2</v>
      </c>
      <c r="N1581" s="993"/>
      <c r="O1581" s="2284">
        <f>'Part IX A-Scoring Criteria'!O263</f>
        <v>0</v>
      </c>
      <c r="P1581" s="2284"/>
      <c r="Q1581" s="807" t="s">
        <v>2929</v>
      </c>
    </row>
    <row r="1582" spans="1:21">
      <c r="A1582" s="933" t="s">
        <v>1434</v>
      </c>
      <c r="B1582" s="947"/>
      <c r="C1582" s="2283" t="s">
        <v>3171</v>
      </c>
      <c r="D1582" s="2283"/>
      <c r="E1582" s="2283"/>
      <c r="F1582" s="2283"/>
      <c r="G1582" s="2283"/>
      <c r="H1582" s="2283"/>
      <c r="I1582" s="2283"/>
      <c r="J1582" s="2283"/>
      <c r="K1582" s="2283"/>
      <c r="L1582" s="2283"/>
      <c r="M1582" s="784">
        <v>1</v>
      </c>
      <c r="N1582" s="993"/>
      <c r="O1582" s="2284"/>
      <c r="P1582" s="2284"/>
      <c r="Q1582" s="566"/>
    </row>
    <row r="1583" spans="1:21" ht="15">
      <c r="A1583" s="583"/>
      <c r="B1583" s="583"/>
      <c r="C1583" s="944"/>
      <c r="D1583" s="944"/>
      <c r="E1583" s="944"/>
      <c r="F1583" s="944"/>
      <c r="G1583" s="944"/>
      <c r="H1583" s="944"/>
      <c r="I1583" s="944"/>
      <c r="J1583" s="944"/>
      <c r="K1583" s="944"/>
      <c r="L1583" s="944"/>
      <c r="M1583" s="944"/>
      <c r="N1583" s="991"/>
      <c r="O1583" s="992"/>
      <c r="P1583" s="888"/>
      <c r="Q1583" s="979"/>
    </row>
    <row r="1584" spans="1:21">
      <c r="A1584" s="1034"/>
      <c r="B1584" s="956" t="s">
        <v>1849</v>
      </c>
      <c r="C1584" s="2135" t="s">
        <v>3172</v>
      </c>
      <c r="D1584" s="2135"/>
      <c r="E1584" s="2135"/>
      <c r="F1584" s="2135"/>
      <c r="G1584" s="2135"/>
      <c r="H1584" s="2135"/>
      <c r="I1584" s="2135"/>
      <c r="J1584" s="2135"/>
      <c r="K1584" s="2135"/>
      <c r="L1584" s="2135"/>
      <c r="M1584" s="1000">
        <v>3</v>
      </c>
      <c r="N1584" s="1033"/>
      <c r="O1584" s="2284">
        <f>'Part IX A-Scoring Criteria'!O266</f>
        <v>0</v>
      </c>
      <c r="P1584" s="2284"/>
      <c r="Q1584" s="807" t="s">
        <v>2929</v>
      </c>
    </row>
    <row r="1585" spans="1:21">
      <c r="A1585" s="933" t="s">
        <v>1434</v>
      </c>
      <c r="B1585" s="956"/>
      <c r="C1585" s="2135" t="s">
        <v>3174</v>
      </c>
      <c r="D1585" s="2135"/>
      <c r="E1585" s="2135"/>
      <c r="F1585" s="2135"/>
      <c r="G1585" s="2135"/>
      <c r="H1585" s="2135"/>
      <c r="I1585" s="2135"/>
      <c r="J1585" s="2135"/>
      <c r="K1585" s="2135"/>
      <c r="L1585" s="2135"/>
      <c r="M1585" s="1000">
        <v>1</v>
      </c>
      <c r="N1585" s="1033"/>
      <c r="O1585" s="2284"/>
      <c r="P1585" s="2284"/>
      <c r="Q1585" s="807"/>
    </row>
    <row r="1586" spans="1:21" ht="15">
      <c r="A1586" s="583"/>
      <c r="B1586" s="583"/>
      <c r="C1586" s="944"/>
      <c r="D1586" s="944"/>
      <c r="E1586" s="944"/>
      <c r="F1586" s="944"/>
      <c r="G1586" s="944"/>
      <c r="H1586" s="944"/>
      <c r="I1586" s="944"/>
      <c r="J1586" s="944"/>
      <c r="K1586" s="944"/>
      <c r="L1586" s="944"/>
      <c r="M1586" s="944"/>
      <c r="N1586" s="991"/>
      <c r="O1586" s="992"/>
      <c r="P1586" s="888"/>
      <c r="Q1586" s="979"/>
    </row>
    <row r="1587" spans="1:21">
      <c r="A1587" s="1013"/>
      <c r="B1587" s="947" t="s">
        <v>2073</v>
      </c>
      <c r="C1587" s="2283" t="s">
        <v>3175</v>
      </c>
      <c r="D1587" s="2283"/>
      <c r="E1587" s="2283"/>
      <c r="F1587" s="2283"/>
      <c r="G1587" s="2283"/>
      <c r="H1587" s="2283"/>
      <c r="I1587" s="2283"/>
      <c r="J1587" s="2283"/>
      <c r="K1587" s="2283"/>
      <c r="L1587" s="2283"/>
      <c r="M1587" s="782">
        <v>2</v>
      </c>
      <c r="N1587" s="993"/>
      <c r="O1587" s="1002">
        <f>'Part IX A-Scoring Criteria'!O269</f>
        <v>0</v>
      </c>
      <c r="P1587" s="1002"/>
      <c r="Q1587" s="807" t="s">
        <v>2929</v>
      </c>
    </row>
    <row r="1588" spans="1:21" ht="15">
      <c r="A1588" s="583"/>
      <c r="B1588" s="583"/>
      <c r="C1588" s="944"/>
      <c r="D1588" s="944"/>
      <c r="E1588" s="944"/>
      <c r="F1588" s="944"/>
      <c r="G1588" s="944"/>
      <c r="H1588" s="944"/>
      <c r="I1588" s="944"/>
      <c r="J1588" s="944"/>
      <c r="K1588" s="944"/>
      <c r="L1588" s="944"/>
      <c r="M1588" s="944"/>
      <c r="N1588" s="991"/>
      <c r="O1588" s="992"/>
      <c r="P1588" s="888"/>
      <c r="Q1588" s="979"/>
    </row>
    <row r="1589" spans="1:21" ht="15">
      <c r="A1589" s="583"/>
      <c r="B1589" s="941" t="s">
        <v>269</v>
      </c>
      <c r="C1589" s="583"/>
      <c r="D1589" s="587"/>
      <c r="E1589" s="587"/>
      <c r="F1589" s="587"/>
      <c r="G1589" s="587"/>
      <c r="H1589" s="584"/>
      <c r="I1589" s="584"/>
      <c r="J1589" s="584"/>
      <c r="K1589" s="584"/>
      <c r="L1589" s="979"/>
      <c r="M1589" s="780"/>
      <c r="N1589" s="784"/>
      <c r="O1589" s="975"/>
      <c r="P1589" s="786"/>
      <c r="Q1589" s="979"/>
    </row>
    <row r="1590" spans="1:21" ht="15.75">
      <c r="A1590" s="2129">
        <f>'Part IX A-Scoring Criteria'!A272</f>
        <v>0</v>
      </c>
      <c r="B1590" s="2129"/>
      <c r="C1590" s="2129"/>
      <c r="D1590" s="2129"/>
      <c r="E1590" s="2129"/>
      <c r="F1590" s="2129"/>
      <c r="G1590" s="2129"/>
      <c r="H1590" s="2129"/>
      <c r="I1590" s="2129"/>
      <c r="J1590" s="2129"/>
      <c r="K1590" s="2129"/>
      <c r="L1590" s="2129"/>
      <c r="M1590" s="2129"/>
      <c r="N1590" s="2129"/>
      <c r="O1590" s="2129"/>
      <c r="P1590" s="2129"/>
      <c r="Q1590" s="980" t="s">
        <v>1326</v>
      </c>
    </row>
    <row r="1591" spans="1:21" ht="15">
      <c r="A1591" s="583"/>
      <c r="B1591" s="942" t="s">
        <v>1988</v>
      </c>
      <c r="C1591" s="583"/>
      <c r="D1591" s="942"/>
      <c r="E1591" s="944"/>
      <c r="F1591" s="944"/>
      <c r="G1591" s="944"/>
      <c r="H1591" s="944"/>
      <c r="I1591" s="944"/>
      <c r="J1591" s="944"/>
      <c r="K1591" s="944"/>
      <c r="L1591" s="944"/>
      <c r="M1591" s="944"/>
      <c r="N1591" s="991"/>
      <c r="O1591" s="992"/>
      <c r="P1591" s="888"/>
      <c r="Q1591" s="985"/>
    </row>
    <row r="1592" spans="1:21" ht="15.75">
      <c r="A1592" s="2129"/>
      <c r="B1592" s="2129"/>
      <c r="C1592" s="2129"/>
      <c r="D1592" s="2129"/>
      <c r="E1592" s="2129"/>
      <c r="F1592" s="2129"/>
      <c r="G1592" s="2129"/>
      <c r="H1592" s="2129"/>
      <c r="I1592" s="2129"/>
      <c r="J1592" s="2129"/>
      <c r="K1592" s="2129"/>
      <c r="L1592" s="2129"/>
      <c r="M1592" s="2129"/>
      <c r="N1592" s="2129"/>
      <c r="O1592" s="2129"/>
      <c r="P1592" s="2129"/>
      <c r="Q1592" s="980" t="s">
        <v>1326</v>
      </c>
    </row>
    <row r="1593" spans="1:21" ht="15">
      <c r="A1593" s="583"/>
      <c r="B1593" s="979"/>
      <c r="C1593" s="944"/>
      <c r="D1593" s="944"/>
      <c r="E1593" s="944"/>
      <c r="F1593" s="944"/>
      <c r="G1593" s="944"/>
      <c r="H1593" s="944"/>
      <c r="I1593" s="944"/>
      <c r="J1593" s="944"/>
      <c r="K1593" s="944"/>
      <c r="L1593" s="944"/>
      <c r="M1593" s="944"/>
      <c r="N1593" s="991"/>
      <c r="O1593" s="992"/>
      <c r="P1593" s="888"/>
      <c r="Q1593" s="979"/>
    </row>
    <row r="1594" spans="1:21" ht="15">
      <c r="A1594" s="1013" t="s">
        <v>3176</v>
      </c>
      <c r="B1594" s="977" t="s">
        <v>3177</v>
      </c>
      <c r="C1594" s="979"/>
      <c r="D1594" s="993"/>
      <c r="E1594" s="993"/>
      <c r="F1594" s="993"/>
      <c r="G1594" s="993"/>
      <c r="H1594" s="993"/>
      <c r="I1594" s="993"/>
      <c r="J1594" s="993"/>
      <c r="K1594" s="993"/>
      <c r="L1594" s="993"/>
      <c r="M1594" s="780">
        <v>1</v>
      </c>
      <c r="N1594" s="994"/>
      <c r="O1594" s="1002">
        <f>'Part IX A-Scoring Criteria'!O276</f>
        <v>0</v>
      </c>
      <c r="P1594" s="888"/>
      <c r="Q1594" s="888" t="s">
        <v>461</v>
      </c>
      <c r="U1594" s="975">
        <f>'Part IX A-Scoring Criteria'!O276</f>
        <v>0</v>
      </c>
    </row>
    <row r="1595" spans="1:21" ht="15" customHeight="1">
      <c r="A1595" s="947"/>
      <c r="B1595" s="2286" t="s">
        <v>3346</v>
      </c>
      <c r="C1595" s="2286"/>
      <c r="D1595" s="2286"/>
      <c r="E1595" s="2286"/>
      <c r="F1595" s="2286"/>
      <c r="G1595" s="2286"/>
      <c r="H1595" s="2286"/>
      <c r="I1595" s="2286"/>
      <c r="J1595" s="2286"/>
      <c r="K1595" s="2286"/>
      <c r="L1595" s="2286"/>
      <c r="M1595" s="2286"/>
      <c r="N1595" s="2286"/>
      <c r="O1595" s="960" t="str">
        <f>'Part IX A-Scoring Criteria'!O277</f>
        <v>No</v>
      </c>
      <c r="P1595" s="960"/>
      <c r="Q1595" s="979"/>
    </row>
    <row r="1596" spans="1:21" ht="15">
      <c r="A1596" s="947"/>
      <c r="B1596" s="1035"/>
      <c r="C1596" s="1035"/>
      <c r="D1596" s="1035"/>
      <c r="E1596" s="1035"/>
      <c r="F1596" s="1035"/>
      <c r="G1596" s="1035"/>
      <c r="H1596" s="1035"/>
      <c r="I1596" s="1035"/>
      <c r="J1596" s="1035"/>
      <c r="K1596" s="1035"/>
      <c r="L1596" s="1035"/>
      <c r="M1596" s="1035"/>
      <c r="N1596" s="979"/>
      <c r="O1596" s="979"/>
      <c r="P1596" s="979"/>
      <c r="Q1596" s="979"/>
    </row>
    <row r="1597" spans="1:21" ht="15">
      <c r="A1597" s="947"/>
      <c r="B1597" s="979"/>
      <c r="C1597" s="1036"/>
      <c r="D1597" s="1036"/>
      <c r="E1597" s="1036"/>
      <c r="F1597" s="1004"/>
      <c r="G1597" s="979"/>
      <c r="H1597" s="1036"/>
      <c r="I1597" s="1036"/>
      <c r="J1597" s="1036"/>
      <c r="K1597" s="1036"/>
      <c r="L1597" s="1036"/>
      <c r="M1597" s="1036"/>
      <c r="N1597" s="979"/>
      <c r="O1597" s="979"/>
      <c r="P1597" s="979"/>
      <c r="Q1597" s="979"/>
    </row>
    <row r="1598" spans="1:21" ht="15" customHeight="1">
      <c r="A1598" s="947"/>
      <c r="B1598" s="938" t="s">
        <v>3188</v>
      </c>
      <c r="C1598" s="901"/>
      <c r="D1598" s="2138">
        <f>'Part IX A-Scoring Criteria'!D280</f>
        <v>0</v>
      </c>
      <c r="E1598" s="2138"/>
      <c r="F1598" s="2138"/>
      <c r="G1598" s="2138"/>
      <c r="H1598" s="935" t="s">
        <v>3190</v>
      </c>
      <c r="I1598" s="1037">
        <f>'Part IX A-Scoring Criteria'!I280</f>
        <v>0</v>
      </c>
      <c r="J1598" s="1037" t="s">
        <v>3189</v>
      </c>
      <c r="K1598" s="2138">
        <f>'Part IX A-Scoring Criteria'!K280</f>
        <v>0</v>
      </c>
      <c r="L1598" s="2138"/>
      <c r="M1598" s="2138"/>
      <c r="N1598" s="2138"/>
      <c r="O1598" s="2138"/>
      <c r="P1598" s="1035"/>
      <c r="Q1598" s="979"/>
    </row>
    <row r="1599" spans="1:21" ht="15">
      <c r="A1599" s="947"/>
      <c r="B1599" s="979"/>
      <c r="C1599" s="1036"/>
      <c r="D1599" s="1036"/>
      <c r="E1599" s="1036"/>
      <c r="F1599" s="1004"/>
      <c r="G1599" s="979"/>
      <c r="H1599" s="1036"/>
      <c r="I1599" s="1036"/>
      <c r="J1599" s="1036"/>
      <c r="K1599" s="1036"/>
      <c r="L1599" s="1036"/>
      <c r="M1599" s="979"/>
      <c r="N1599" s="1035"/>
      <c r="O1599" s="1035"/>
      <c r="P1599" s="1035"/>
      <c r="Q1599" s="979"/>
    </row>
    <row r="1600" spans="1:21" ht="13.5" customHeight="1">
      <c r="A1600" s="940"/>
      <c r="B1600" s="2179" t="s">
        <v>3228</v>
      </c>
      <c r="C1600" s="2179"/>
      <c r="D1600" s="2179"/>
      <c r="E1600" s="2137" t="s">
        <v>3358</v>
      </c>
      <c r="F1600" s="2137"/>
      <c r="G1600" s="584"/>
      <c r="H1600" s="584"/>
      <c r="I1600" s="2285" t="s">
        <v>3359</v>
      </c>
      <c r="J1600" s="2285"/>
      <c r="K1600" s="584"/>
      <c r="L1600" s="584"/>
      <c r="M1600" s="2290" t="s">
        <v>3229</v>
      </c>
      <c r="N1600" s="2290"/>
      <c r="O1600" s="2290"/>
      <c r="P1600" s="2290"/>
      <c r="Q1600" s="566"/>
    </row>
    <row r="1601" spans="1:17">
      <c r="A1601" s="940"/>
      <c r="B1601" s="584" t="s">
        <v>3226</v>
      </c>
      <c r="C1601" s="807"/>
      <c r="D1601" s="807"/>
      <c r="E1601" s="964" t="s">
        <v>3182</v>
      </c>
      <c r="F1601" s="964" t="s">
        <v>3183</v>
      </c>
      <c r="G1601" s="935" t="s">
        <v>3225</v>
      </c>
      <c r="H1601" s="584"/>
      <c r="I1601" s="964" t="s">
        <v>3182</v>
      </c>
      <c r="J1601" s="964" t="s">
        <v>3183</v>
      </c>
      <c r="K1601" s="935" t="s">
        <v>3225</v>
      </c>
      <c r="L1601" s="584"/>
      <c r="M1601" s="2144" t="s">
        <v>3226</v>
      </c>
      <c r="N1601" s="2144"/>
      <c r="O1601" s="584" t="s">
        <v>3227</v>
      </c>
      <c r="P1601" s="584" t="s">
        <v>3230</v>
      </c>
      <c r="Q1601" s="566"/>
    </row>
    <row r="1602" spans="1:17">
      <c r="A1602" s="940"/>
      <c r="B1602" s="949" t="s">
        <v>3178</v>
      </c>
      <c r="C1602" s="566"/>
      <c r="D1602" s="566"/>
      <c r="E1602" s="1038">
        <f>'Part IX A-Scoring Criteria'!E284</f>
        <v>0</v>
      </c>
      <c r="F1602" s="1038">
        <f>'Part IX A-Scoring Criteria'!F284</f>
        <v>0</v>
      </c>
      <c r="G1602" s="1028">
        <f>E1602+F1602</f>
        <v>0</v>
      </c>
      <c r="H1602" s="566"/>
      <c r="I1602" s="1038">
        <f>'Part IX A-Scoring Criteria'!I284</f>
        <v>0</v>
      </c>
      <c r="J1602" s="1038">
        <f>'Part IX A-Scoring Criteria'!J284</f>
        <v>0</v>
      </c>
      <c r="K1602" s="1028">
        <f>I1602+J1602</f>
        <v>0</v>
      </c>
      <c r="L1602" s="566"/>
      <c r="M1602" s="2143" t="str">
        <f>IF(AND(G1602=0,K1602=0),"n/a",IF(G1602&gt;K1602,"Yes", "No"))</f>
        <v>n/a</v>
      </c>
      <c r="N1602" s="2143"/>
      <c r="O1602" s="2144" t="str">
        <f>IF(AND(M1602="n/a",M1603="n/a",M1604="n/a",M1605="n/a",M1606="n/a"),"n/a",IF(AND(M1602="Yes",M1603="Yes",M1604="Yes",M1605="Yes",M1606="Yes"),"Yes",IF(OR(M1602="No",M1603="No",M1604="No",M1605="No",M1606="No"), "No", "No")))</f>
        <v>n/a</v>
      </c>
      <c r="P1602" s="566"/>
      <c r="Q1602" s="566"/>
    </row>
    <row r="1603" spans="1:17">
      <c r="A1603" s="940"/>
      <c r="B1603" s="949" t="s">
        <v>3184</v>
      </c>
      <c r="C1603" s="566"/>
      <c r="D1603" s="566"/>
      <c r="E1603" s="1038">
        <f>'Part IX A-Scoring Criteria'!E285</f>
        <v>0</v>
      </c>
      <c r="F1603" s="1038">
        <f>'Part IX A-Scoring Criteria'!F285</f>
        <v>0</v>
      </c>
      <c r="G1603" s="1028">
        <f>E1603+F1603</f>
        <v>0</v>
      </c>
      <c r="H1603" s="566"/>
      <c r="I1603" s="1038">
        <f>'Part IX A-Scoring Criteria'!I285</f>
        <v>0</v>
      </c>
      <c r="J1603" s="1038">
        <f>'Part IX A-Scoring Criteria'!J285</f>
        <v>0</v>
      </c>
      <c r="K1603" s="1028">
        <f>I1603+J1603</f>
        <v>0</v>
      </c>
      <c r="L1603" s="566"/>
      <c r="M1603" s="2143" t="str">
        <f>IF(AND(G1603=0,K1603=0),"n/a",IF(G1603&gt;K1603,"Yes", "No"))</f>
        <v>n/a</v>
      </c>
      <c r="N1603" s="2143"/>
      <c r="O1603" s="2144"/>
      <c r="P1603" s="566"/>
      <c r="Q1603" s="566"/>
    </row>
    <row r="1604" spans="1:17">
      <c r="A1604" s="940"/>
      <c r="B1604" s="949" t="s">
        <v>3179</v>
      </c>
      <c r="C1604" s="566"/>
      <c r="D1604" s="566"/>
      <c r="E1604" s="1038">
        <f>'Part IX A-Scoring Criteria'!E286</f>
        <v>0</v>
      </c>
      <c r="F1604" s="1038">
        <f>'Part IX A-Scoring Criteria'!F286</f>
        <v>0</v>
      </c>
      <c r="G1604" s="1028">
        <f>E1604+F1604</f>
        <v>0</v>
      </c>
      <c r="H1604" s="566"/>
      <c r="I1604" s="1038">
        <f>'Part IX A-Scoring Criteria'!I286</f>
        <v>0</v>
      </c>
      <c r="J1604" s="1038">
        <f>'Part IX A-Scoring Criteria'!J286</f>
        <v>0</v>
      </c>
      <c r="K1604" s="1028">
        <f>I1604+J1604</f>
        <v>0</v>
      </c>
      <c r="L1604" s="566"/>
      <c r="M1604" s="2143" t="str">
        <f>IF(AND(G1604=0,K1604=0),"n/a",IF(G1604&gt;K1604,"Yes", "No"))</f>
        <v>n/a</v>
      </c>
      <c r="N1604" s="2143"/>
      <c r="O1604" s="2144"/>
      <c r="P1604" s="566"/>
      <c r="Q1604" s="566"/>
    </row>
    <row r="1605" spans="1:17">
      <c r="A1605" s="940"/>
      <c r="B1605" s="949" t="s">
        <v>3180</v>
      </c>
      <c r="C1605" s="566"/>
      <c r="D1605" s="566"/>
      <c r="E1605" s="1038">
        <f>'Part IX A-Scoring Criteria'!E287</f>
        <v>0</v>
      </c>
      <c r="F1605" s="1038">
        <f>'Part IX A-Scoring Criteria'!F287</f>
        <v>0</v>
      </c>
      <c r="G1605" s="1028">
        <f>E1605+F1605</f>
        <v>0</v>
      </c>
      <c r="H1605" s="566"/>
      <c r="I1605" s="1038">
        <f>'Part IX A-Scoring Criteria'!I287</f>
        <v>0</v>
      </c>
      <c r="J1605" s="1038">
        <f>'Part IX A-Scoring Criteria'!J287</f>
        <v>0</v>
      </c>
      <c r="K1605" s="1028">
        <f>I1605+J1605</f>
        <v>0</v>
      </c>
      <c r="L1605" s="566"/>
      <c r="M1605" s="2143" t="str">
        <f>IF(AND(G1605=0,K1605=0),"n/a",IF(G1605&gt;K1605,"Yes", "No"))</f>
        <v>n/a</v>
      </c>
      <c r="N1605" s="2143"/>
      <c r="O1605" s="2144"/>
      <c r="P1605" s="566"/>
      <c r="Q1605" s="566"/>
    </row>
    <row r="1606" spans="1:17">
      <c r="A1606" s="940"/>
      <c r="B1606" s="949" t="s">
        <v>3181</v>
      </c>
      <c r="C1606" s="566"/>
      <c r="D1606" s="566"/>
      <c r="E1606" s="1038">
        <f>'Part IX A-Scoring Criteria'!E288</f>
        <v>0</v>
      </c>
      <c r="F1606" s="1038">
        <f>'Part IX A-Scoring Criteria'!F288</f>
        <v>0</v>
      </c>
      <c r="G1606" s="1028">
        <f>E1606+F1606</f>
        <v>0</v>
      </c>
      <c r="H1606" s="566"/>
      <c r="I1606" s="1038">
        <f>'Part IX A-Scoring Criteria'!I288</f>
        <v>0</v>
      </c>
      <c r="J1606" s="1038">
        <f>'Part IX A-Scoring Criteria'!J288</f>
        <v>0</v>
      </c>
      <c r="K1606" s="1028">
        <f>I1606+J1606</f>
        <v>0</v>
      </c>
      <c r="L1606" s="566"/>
      <c r="M1606" s="2143" t="str">
        <f>IF(AND(G1606=0,K1606=0),"n/a",IF(G1606&gt;K1606,"Yes", "No"))</f>
        <v>n/a</v>
      </c>
      <c r="N1606" s="2143"/>
      <c r="O1606" s="2144"/>
      <c r="P1606" s="566"/>
      <c r="Q1606" s="566"/>
    </row>
    <row r="1607" spans="1:17">
      <c r="A1607" s="940"/>
      <c r="B1607" s="958"/>
      <c r="C1607" s="1036"/>
      <c r="D1607" s="1036"/>
      <c r="E1607" s="1036"/>
      <c r="F1607" s="1036"/>
      <c r="G1607" s="566"/>
      <c r="H1607" s="566"/>
      <c r="I1607" s="1036"/>
      <c r="J1607" s="1036"/>
      <c r="K1607" s="566"/>
      <c r="L1607" s="566"/>
      <c r="M1607" s="566"/>
      <c r="N1607" s="566"/>
      <c r="O1607" s="566"/>
      <c r="P1607" s="566"/>
      <c r="Q1607" s="566"/>
    </row>
    <row r="1608" spans="1:17">
      <c r="A1608" s="940"/>
      <c r="B1608" s="949" t="s">
        <v>3178</v>
      </c>
      <c r="C1608" s="566"/>
      <c r="D1608" s="566"/>
      <c r="E1608" s="1038">
        <f>'Part IX A-Scoring Criteria'!E290</f>
        <v>0</v>
      </c>
      <c r="F1608" s="1038">
        <f>'Part IX A-Scoring Criteria'!F290</f>
        <v>0</v>
      </c>
      <c r="G1608" s="1028">
        <f>E1608+F1608</f>
        <v>0</v>
      </c>
      <c r="H1608" s="566"/>
      <c r="I1608" s="1038">
        <f>'Part IX A-Scoring Criteria'!I290</f>
        <v>0</v>
      </c>
      <c r="J1608" s="1038">
        <f>'Part IX A-Scoring Criteria'!J290</f>
        <v>0</v>
      </c>
      <c r="K1608" s="1028">
        <f>I1608+J1608</f>
        <v>0</v>
      </c>
      <c r="L1608" s="566"/>
      <c r="M1608" s="2143" t="str">
        <f>IF(AND(G1608=0,K1608=0),"n/a",IF(G1608&gt;K1608,"Yes", "No"))</f>
        <v>n/a</v>
      </c>
      <c r="N1608" s="2143"/>
      <c r="O1608" s="2144" t="str">
        <f>IF(AND(M1608="n/a",M1609="n/a",M1610="n/a",M1611="n/a",M1612="n/a"),"n/a",IF(AND(M1608="Yes",M1609="Yes",M1610="Yes",M1611="Yes",M1612="Yes"),"Yes",IF(OR(M1608="No",M1609="No",M1610="No",M1611="No",M1612="No"), "No", "No")))</f>
        <v>n/a</v>
      </c>
      <c r="P1608" s="566"/>
      <c r="Q1608" s="566"/>
    </row>
    <row r="1609" spans="1:17">
      <c r="A1609" s="940"/>
      <c r="B1609" s="949" t="s">
        <v>3184</v>
      </c>
      <c r="C1609" s="566"/>
      <c r="D1609" s="566"/>
      <c r="E1609" s="1038">
        <f>'Part IX A-Scoring Criteria'!E291</f>
        <v>0</v>
      </c>
      <c r="F1609" s="1038">
        <f>'Part IX A-Scoring Criteria'!F291</f>
        <v>0</v>
      </c>
      <c r="G1609" s="1028">
        <f>E1609+F1609</f>
        <v>0</v>
      </c>
      <c r="H1609" s="566"/>
      <c r="I1609" s="1038">
        <f>'Part IX A-Scoring Criteria'!I291</f>
        <v>0</v>
      </c>
      <c r="J1609" s="1038">
        <f>'Part IX A-Scoring Criteria'!J291</f>
        <v>0</v>
      </c>
      <c r="K1609" s="1028">
        <f>I1609+J1609</f>
        <v>0</v>
      </c>
      <c r="L1609" s="566"/>
      <c r="M1609" s="2143" t="str">
        <f>IF(AND(G1609=0,K1609=0),"n/a",IF(G1609&gt;K1609,"Yes", "No"))</f>
        <v>n/a</v>
      </c>
      <c r="N1609" s="2143"/>
      <c r="O1609" s="2144"/>
      <c r="P1609" s="566"/>
      <c r="Q1609" s="566"/>
    </row>
    <row r="1610" spans="1:17">
      <c r="A1610" s="940"/>
      <c r="B1610" s="949" t="s">
        <v>3179</v>
      </c>
      <c r="C1610" s="566"/>
      <c r="D1610" s="566"/>
      <c r="E1610" s="1038">
        <f>'Part IX A-Scoring Criteria'!E292</f>
        <v>0</v>
      </c>
      <c r="F1610" s="1038">
        <f>'Part IX A-Scoring Criteria'!F292</f>
        <v>0</v>
      </c>
      <c r="G1610" s="1028">
        <f>E1610+F1610</f>
        <v>0</v>
      </c>
      <c r="H1610" s="566"/>
      <c r="I1610" s="1038">
        <f>'Part IX A-Scoring Criteria'!I292</f>
        <v>0</v>
      </c>
      <c r="J1610" s="1038">
        <f>'Part IX A-Scoring Criteria'!J292</f>
        <v>0</v>
      </c>
      <c r="K1610" s="1028">
        <f>I1610+J1610</f>
        <v>0</v>
      </c>
      <c r="L1610" s="566"/>
      <c r="M1610" s="2143" t="str">
        <f>IF(AND(G1610=0,K1610=0),"n/a",IF(G1610&gt;K1610,"Yes", "No"))</f>
        <v>n/a</v>
      </c>
      <c r="N1610" s="2143"/>
      <c r="O1610" s="2144"/>
      <c r="P1610" s="968"/>
      <c r="Q1610" s="566"/>
    </row>
    <row r="1611" spans="1:17">
      <c r="A1611" s="940"/>
      <c r="B1611" s="949" t="s">
        <v>3180</v>
      </c>
      <c r="C1611" s="566"/>
      <c r="D1611" s="566"/>
      <c r="E1611" s="1038">
        <f>'Part IX A-Scoring Criteria'!E293</f>
        <v>0</v>
      </c>
      <c r="F1611" s="1038">
        <f>'Part IX A-Scoring Criteria'!F293</f>
        <v>0</v>
      </c>
      <c r="G1611" s="1028">
        <f>E1611+F1611</f>
        <v>0</v>
      </c>
      <c r="H1611" s="566"/>
      <c r="I1611" s="1038">
        <f>'Part IX A-Scoring Criteria'!I293</f>
        <v>0</v>
      </c>
      <c r="J1611" s="1038">
        <f>'Part IX A-Scoring Criteria'!J293</f>
        <v>0</v>
      </c>
      <c r="K1611" s="1028">
        <f>I1611+J1611</f>
        <v>0</v>
      </c>
      <c r="L1611" s="566"/>
      <c r="M1611" s="2143" t="str">
        <f>IF(AND(G1611=0,K1611=0),"n/a",IF(G1611&gt;K1611,"Yes", "No"))</f>
        <v>n/a</v>
      </c>
      <c r="N1611" s="2143"/>
      <c r="O1611" s="2144"/>
      <c r="P1611" s="566"/>
      <c r="Q1611" s="566"/>
    </row>
    <row r="1612" spans="1:17">
      <c r="A1612" s="940"/>
      <c r="B1612" s="949" t="s">
        <v>3181</v>
      </c>
      <c r="C1612" s="566"/>
      <c r="D1612" s="566"/>
      <c r="E1612" s="1038">
        <f>'Part IX A-Scoring Criteria'!E294</f>
        <v>0</v>
      </c>
      <c r="F1612" s="1038">
        <f>'Part IX A-Scoring Criteria'!F294</f>
        <v>0</v>
      </c>
      <c r="G1612" s="1028">
        <f>E1612+F1612</f>
        <v>0</v>
      </c>
      <c r="H1612" s="566"/>
      <c r="I1612" s="1038">
        <f>'Part IX A-Scoring Criteria'!I294</f>
        <v>0</v>
      </c>
      <c r="J1612" s="1038">
        <f>'Part IX A-Scoring Criteria'!J294</f>
        <v>0</v>
      </c>
      <c r="K1612" s="1028">
        <f>I1612+J1612</f>
        <v>0</v>
      </c>
      <c r="L1612" s="566"/>
      <c r="M1612" s="2143" t="str">
        <f>IF(AND(G1612=0,K1612=0),"n/a",IF(G1612&gt;K1612,"Yes", "No"))</f>
        <v>n/a</v>
      </c>
      <c r="N1612" s="2143"/>
      <c r="O1612" s="2144"/>
      <c r="P1612" s="566"/>
      <c r="Q1612" s="566"/>
    </row>
    <row r="1613" spans="1:17" ht="15">
      <c r="A1613" s="940"/>
      <c r="B1613" s="979"/>
      <c r="C1613" s="1036"/>
      <c r="D1613" s="1036"/>
      <c r="E1613" s="1036"/>
      <c r="F1613" s="1036"/>
      <c r="G1613" s="979"/>
      <c r="H1613" s="979"/>
      <c r="I1613" s="1036"/>
      <c r="J1613" s="1036"/>
      <c r="K1613" s="979"/>
      <c r="L1613" s="979"/>
      <c r="M1613" s="979"/>
      <c r="N1613" s="979"/>
      <c r="O1613" s="979"/>
      <c r="P1613" s="903"/>
      <c r="Q1613" s="566"/>
    </row>
    <row r="1614" spans="1:17">
      <c r="A1614" s="940"/>
      <c r="B1614" s="1039"/>
      <c r="C1614" s="1039"/>
      <c r="D1614" s="1039"/>
      <c r="E1614" s="2285" t="s">
        <v>3360</v>
      </c>
      <c r="F1614" s="2285"/>
      <c r="G1614" s="584"/>
      <c r="H1614" s="584"/>
      <c r="I1614" s="2285" t="s">
        <v>3359</v>
      </c>
      <c r="J1614" s="2285"/>
      <c r="K1614" s="584"/>
      <c r="L1614" s="584"/>
      <c r="M1614" s="584"/>
      <c r="N1614" s="584"/>
      <c r="O1614" s="584"/>
      <c r="P1614" s="903"/>
      <c r="Q1614" s="566"/>
    </row>
    <row r="1615" spans="1:17" ht="15">
      <c r="A1615" s="947"/>
      <c r="B1615" s="949" t="s">
        <v>3178</v>
      </c>
      <c r="C1615" s="566"/>
      <c r="D1615" s="566"/>
      <c r="E1615" s="1038">
        <f>'Part IX A-Scoring Criteria'!E297</f>
        <v>0</v>
      </c>
      <c r="F1615" s="1038">
        <f>'Part IX A-Scoring Criteria'!F297</f>
        <v>0</v>
      </c>
      <c r="G1615" s="1028">
        <f>E1615+F1615</f>
        <v>0</v>
      </c>
      <c r="H1615" s="963"/>
      <c r="I1615" s="1038">
        <f>'Part IX A-Scoring Criteria'!I297</f>
        <v>0</v>
      </c>
      <c r="J1615" s="1038">
        <f>'Part IX A-Scoring Criteria'!J297</f>
        <v>0</v>
      </c>
      <c r="K1615" s="1028">
        <f>I1615+J1615</f>
        <v>0</v>
      </c>
      <c r="L1615" s="566"/>
      <c r="M1615" s="2143" t="str">
        <f>IF(AND(G1615=0,K1615=0),"n/a",IF(G1615&gt;K1615,"Yes", "No"))</f>
        <v>n/a</v>
      </c>
      <c r="N1615" s="2143"/>
      <c r="O1615" s="2144" t="str">
        <f>IF(AND(M1615="n/a",M1616="n/a",M1617="n/a",M1618="n/a",M1619="n/a"),"n/a",IF(AND(M1615="Yes",M1616="Yes",M1617="Yes",M1618="Yes",M1619="Yes"),"Yes",IF(OR(M1615="No",M1616="No",M1617="No",M1618="No",M1619="No"), "No", "No")))</f>
        <v>n/a</v>
      </c>
      <c r="P1615" s="2289" t="str">
        <f>IF(AND(O1602="n/a",O1615="n/a",O1628="n/a"),"N/A",IF(AND(O1602="YES",O1615="Yes",O1628="Yes"),"YES",IF(OR(O1602="No",O1615="No",O1628="No"),"NO",IF(OR(AND(O1602="Yes",O1615="n/a",O1628="n/a"),AND(O1602="Yes",O1615="Yes",O1628="n/a"),AND(O1602="Yes",O1615="n/a",O1628="Yes"),AND(O1602="n/a",O1615="Yes",O1628="YES"),AND(O1602="n/a",O1615="Yes",O1628="n/a"),AND(O1602="n/a",O1615="n/a",O1628="Yes")),"YES","Check Inputs"))))</f>
        <v>N/A</v>
      </c>
      <c r="Q1615" s="979"/>
    </row>
    <row r="1616" spans="1:17">
      <c r="A1616" s="940"/>
      <c r="B1616" s="949" t="s">
        <v>3184</v>
      </c>
      <c r="C1616" s="566"/>
      <c r="D1616" s="566"/>
      <c r="E1616" s="1038">
        <f>'Part IX A-Scoring Criteria'!E298</f>
        <v>0</v>
      </c>
      <c r="F1616" s="1038">
        <f>'Part IX A-Scoring Criteria'!F298</f>
        <v>0</v>
      </c>
      <c r="G1616" s="1028">
        <f>E1616+F1616</f>
        <v>0</v>
      </c>
      <c r="H1616" s="566"/>
      <c r="I1616" s="1038">
        <f>'Part IX A-Scoring Criteria'!I298</f>
        <v>0</v>
      </c>
      <c r="J1616" s="1038">
        <f>'Part IX A-Scoring Criteria'!J298</f>
        <v>0</v>
      </c>
      <c r="K1616" s="1028">
        <f>I1616+J1616</f>
        <v>0</v>
      </c>
      <c r="L1616" s="566"/>
      <c r="M1616" s="2143" t="str">
        <f>IF(AND(G1616=0,K1616=0),"n/a",IF(G1616&gt;K1616,"Yes", "No"))</f>
        <v>n/a</v>
      </c>
      <c r="N1616" s="2143"/>
      <c r="O1616" s="2144"/>
      <c r="P1616" s="2289"/>
      <c r="Q1616" s="566"/>
    </row>
    <row r="1617" spans="1:17">
      <c r="A1617" s="940"/>
      <c r="B1617" s="949" t="s">
        <v>3179</v>
      </c>
      <c r="C1617" s="566"/>
      <c r="D1617" s="566"/>
      <c r="E1617" s="1038">
        <f>'Part IX A-Scoring Criteria'!E299</f>
        <v>0</v>
      </c>
      <c r="F1617" s="1038">
        <f>'Part IX A-Scoring Criteria'!F299</f>
        <v>0</v>
      </c>
      <c r="G1617" s="1028">
        <f>E1617+F1617</f>
        <v>0</v>
      </c>
      <c r="H1617" s="566"/>
      <c r="I1617" s="1038">
        <f>'Part IX A-Scoring Criteria'!I299</f>
        <v>0</v>
      </c>
      <c r="J1617" s="1038">
        <f>'Part IX A-Scoring Criteria'!J299</f>
        <v>0</v>
      </c>
      <c r="K1617" s="1028">
        <f>I1617+J1617</f>
        <v>0</v>
      </c>
      <c r="L1617" s="566"/>
      <c r="M1617" s="2143" t="str">
        <f>IF(AND(G1617=0,K1617=0),"n/a",IF(G1617&gt;K1617,"Yes", "No"))</f>
        <v>n/a</v>
      </c>
      <c r="N1617" s="2143"/>
      <c r="O1617" s="2144"/>
      <c r="P1617" s="2289"/>
      <c r="Q1617" s="566"/>
    </row>
    <row r="1618" spans="1:17">
      <c r="A1618" s="940"/>
      <c r="B1618" s="949" t="s">
        <v>3180</v>
      </c>
      <c r="C1618" s="566"/>
      <c r="D1618" s="566"/>
      <c r="E1618" s="1038">
        <f>'Part IX A-Scoring Criteria'!E300</f>
        <v>0</v>
      </c>
      <c r="F1618" s="1038">
        <f>'Part IX A-Scoring Criteria'!F300</f>
        <v>0</v>
      </c>
      <c r="G1618" s="1028">
        <f>E1618+F1618</f>
        <v>0</v>
      </c>
      <c r="H1618" s="566"/>
      <c r="I1618" s="1038">
        <f>'Part IX A-Scoring Criteria'!I300</f>
        <v>0</v>
      </c>
      <c r="J1618" s="1038">
        <f>'Part IX A-Scoring Criteria'!J300</f>
        <v>0</v>
      </c>
      <c r="K1618" s="1028">
        <f>I1618+J1618</f>
        <v>0</v>
      </c>
      <c r="L1618" s="566"/>
      <c r="M1618" s="2143" t="str">
        <f>IF(AND(G1618=0,K1618=0),"n/a",IF(G1618&gt;K1618,"Yes", "No"))</f>
        <v>n/a</v>
      </c>
      <c r="N1618" s="2143"/>
      <c r="O1618" s="2144"/>
      <c r="P1618" s="2289"/>
      <c r="Q1618" s="566"/>
    </row>
    <row r="1619" spans="1:17">
      <c r="A1619" s="940"/>
      <c r="B1619" s="949" t="s">
        <v>3181</v>
      </c>
      <c r="C1619" s="566"/>
      <c r="D1619" s="566"/>
      <c r="E1619" s="1038">
        <f>'Part IX A-Scoring Criteria'!E301</f>
        <v>0</v>
      </c>
      <c r="F1619" s="1038">
        <f>'Part IX A-Scoring Criteria'!F301</f>
        <v>0</v>
      </c>
      <c r="G1619" s="1028">
        <f>E1619+F1619</f>
        <v>0</v>
      </c>
      <c r="H1619" s="566"/>
      <c r="I1619" s="1038">
        <f>'Part IX A-Scoring Criteria'!I301</f>
        <v>0</v>
      </c>
      <c r="J1619" s="1038">
        <f>'Part IX A-Scoring Criteria'!J301</f>
        <v>0</v>
      </c>
      <c r="K1619" s="1028">
        <f>I1619+J1619</f>
        <v>0</v>
      </c>
      <c r="L1619" s="566"/>
      <c r="M1619" s="2143" t="str">
        <f>IF(AND(G1619=0,K1619=0),"n/a",IF(G1619&gt;K1619,"Yes", "No"))</f>
        <v>n/a</v>
      </c>
      <c r="N1619" s="2143"/>
      <c r="O1619" s="2144"/>
      <c r="P1619" s="2289"/>
      <c r="Q1619" s="566"/>
    </row>
    <row r="1620" spans="1:17">
      <c r="A1620" s="940"/>
      <c r="B1620" s="958"/>
      <c r="C1620" s="1036"/>
      <c r="D1620" s="566"/>
      <c r="E1620" s="1036"/>
      <c r="F1620" s="1036"/>
      <c r="G1620" s="566"/>
      <c r="H1620" s="566"/>
      <c r="I1620" s="1036"/>
      <c r="J1620" s="1036"/>
      <c r="K1620" s="566"/>
      <c r="L1620" s="566"/>
      <c r="M1620" s="566"/>
      <c r="N1620" s="566"/>
      <c r="O1620" s="566"/>
      <c r="P1620" s="903"/>
      <c r="Q1620" s="566"/>
    </row>
    <row r="1621" spans="1:17">
      <c r="A1621" s="940"/>
      <c r="B1621" s="949" t="s">
        <v>3178</v>
      </c>
      <c r="C1621" s="566"/>
      <c r="D1621" s="566"/>
      <c r="E1621" s="1038">
        <f>'Part IX A-Scoring Criteria'!E303</f>
        <v>0</v>
      </c>
      <c r="F1621" s="1038">
        <f>'Part IX A-Scoring Criteria'!F303</f>
        <v>0</v>
      </c>
      <c r="G1621" s="1028">
        <f>E1621+F1621</f>
        <v>0</v>
      </c>
      <c r="H1621" s="566"/>
      <c r="I1621" s="1038">
        <f>'Part IX A-Scoring Criteria'!I303</f>
        <v>0</v>
      </c>
      <c r="J1621" s="1038">
        <f>'Part IX A-Scoring Criteria'!J303</f>
        <v>0</v>
      </c>
      <c r="K1621" s="1028">
        <f>I1621+J1621</f>
        <v>0</v>
      </c>
      <c r="L1621" s="566"/>
      <c r="M1621" s="2143" t="str">
        <f>IF(AND(G1621=0,K1621=0),"n/a",IF(G1621&gt;K1621,"Yes", "No"))</f>
        <v>n/a</v>
      </c>
      <c r="N1621" s="2143"/>
      <c r="O1621" s="2144" t="str">
        <f>IF(AND(M1621="n/a",M1622="n/a",M1623="n/a",M1624="n/a",M1625="n/a"),"n/a",IF(AND(M1621="Yes",M1622="Yes",M1623="Yes",M1624="Yes",M1625="Yes"),"Yes",IF(OR(M1621="No",M1622="No",M1623="No",M1624="No",M1625="No"), "No", "No")))</f>
        <v>n/a</v>
      </c>
      <c r="P1621" s="2289" t="str">
        <f>IF(AND(O1608="n/a",O1621="n/a",O1634="n/a"),"N/A",IF(AND(O1608="Yes",O1621="Yes",O1634="Yes"),"YES",IF(OR(O1608="No",O1621="No",O1634="No"),"NO",IF(OR(AND(O1608="Yes",O1621="n/a",O1634="n/a"),AND(O1608="Yes",O1621="Yes",O1634="n/a"),AND(O1608="Yes",O1621="n/a",O1634="Yes"),AND(O1608="n/a",O1621="Yes",O1634="Yes"),AND(O1608="n/a",O1621="Yes",O1634="n/a"),AND(O1608="n/a",O1621="n/a",O1634="Yes")),"YES","Check Inputs"))))</f>
        <v>N/A</v>
      </c>
      <c r="Q1621" s="566"/>
    </row>
    <row r="1622" spans="1:17" ht="15">
      <c r="A1622" s="947"/>
      <c r="B1622" s="949" t="s">
        <v>3184</v>
      </c>
      <c r="C1622" s="566"/>
      <c r="D1622" s="566"/>
      <c r="E1622" s="1038">
        <f>'Part IX A-Scoring Criteria'!E304</f>
        <v>0</v>
      </c>
      <c r="F1622" s="1038">
        <f>'Part IX A-Scoring Criteria'!F304</f>
        <v>0</v>
      </c>
      <c r="G1622" s="1028">
        <f>E1622+F1622</f>
        <v>0</v>
      </c>
      <c r="H1622" s="566"/>
      <c r="I1622" s="1038">
        <f>'Part IX A-Scoring Criteria'!I304</f>
        <v>0</v>
      </c>
      <c r="J1622" s="1038">
        <f>'Part IX A-Scoring Criteria'!J304</f>
        <v>0</v>
      </c>
      <c r="K1622" s="1028">
        <f>I1622+J1622</f>
        <v>0</v>
      </c>
      <c r="L1622" s="566"/>
      <c r="M1622" s="2143" t="str">
        <f>IF(AND(G1622=0,K1622=0),"n/a",IF(G1622&gt;K1622,"Yes", "No"))</f>
        <v>n/a</v>
      </c>
      <c r="N1622" s="2143"/>
      <c r="O1622" s="2144"/>
      <c r="P1622" s="2289"/>
      <c r="Q1622" s="979"/>
    </row>
    <row r="1623" spans="1:17" ht="13.5" customHeight="1">
      <c r="A1623" s="940"/>
      <c r="B1623" s="949" t="s">
        <v>3179</v>
      </c>
      <c r="C1623" s="566"/>
      <c r="D1623" s="566"/>
      <c r="E1623" s="1038">
        <f>'Part IX A-Scoring Criteria'!E305</f>
        <v>0</v>
      </c>
      <c r="F1623" s="1038">
        <f>'Part IX A-Scoring Criteria'!F305</f>
        <v>0</v>
      </c>
      <c r="G1623" s="1028">
        <f>E1623+F1623</f>
        <v>0</v>
      </c>
      <c r="H1623" s="566"/>
      <c r="I1623" s="1038">
        <f>'Part IX A-Scoring Criteria'!I305</f>
        <v>0</v>
      </c>
      <c r="J1623" s="1038">
        <f>'Part IX A-Scoring Criteria'!J305</f>
        <v>0</v>
      </c>
      <c r="K1623" s="1028">
        <f>I1623+J1623</f>
        <v>0</v>
      </c>
      <c r="L1623" s="566"/>
      <c r="M1623" s="2143" t="str">
        <f>IF(AND(G1623=0,K1623=0),"n/a",IF(G1623&gt;K1623,"Yes", "No"))</f>
        <v>n/a</v>
      </c>
      <c r="N1623" s="2143"/>
      <c r="O1623" s="2144"/>
      <c r="P1623" s="2289"/>
      <c r="Q1623" s="566"/>
    </row>
    <row r="1624" spans="1:17">
      <c r="A1624" s="940"/>
      <c r="B1624" s="949" t="s">
        <v>3180</v>
      </c>
      <c r="C1624" s="566"/>
      <c r="D1624" s="566"/>
      <c r="E1624" s="1038">
        <f>'Part IX A-Scoring Criteria'!E306</f>
        <v>0</v>
      </c>
      <c r="F1624" s="1038">
        <f>'Part IX A-Scoring Criteria'!F306</f>
        <v>0</v>
      </c>
      <c r="G1624" s="1028">
        <f>E1624+F1624</f>
        <v>0</v>
      </c>
      <c r="H1624" s="566"/>
      <c r="I1624" s="1038">
        <f>'Part IX A-Scoring Criteria'!I306</f>
        <v>0</v>
      </c>
      <c r="J1624" s="1038">
        <f>'Part IX A-Scoring Criteria'!J306</f>
        <v>0</v>
      </c>
      <c r="K1624" s="1028">
        <f>I1624+J1624</f>
        <v>0</v>
      </c>
      <c r="L1624" s="566"/>
      <c r="M1624" s="2143" t="str">
        <f>IF(AND(G1624=0,K1624=0),"n/a",IF(G1624&gt;K1624,"Yes", "No"))</f>
        <v>n/a</v>
      </c>
      <c r="N1624" s="2143"/>
      <c r="O1624" s="2144"/>
      <c r="P1624" s="2289"/>
      <c r="Q1624" s="566"/>
    </row>
    <row r="1625" spans="1:17">
      <c r="A1625" s="940"/>
      <c r="B1625" s="949" t="s">
        <v>3181</v>
      </c>
      <c r="C1625" s="566"/>
      <c r="D1625" s="566"/>
      <c r="E1625" s="1038">
        <f>'Part IX A-Scoring Criteria'!E307</f>
        <v>0</v>
      </c>
      <c r="F1625" s="1038">
        <f>'Part IX A-Scoring Criteria'!F307</f>
        <v>0</v>
      </c>
      <c r="G1625" s="1028">
        <f>E1625+F1625</f>
        <v>0</v>
      </c>
      <c r="H1625" s="566"/>
      <c r="I1625" s="1038">
        <f>'Part IX A-Scoring Criteria'!I307</f>
        <v>0</v>
      </c>
      <c r="J1625" s="1038">
        <f>'Part IX A-Scoring Criteria'!J307</f>
        <v>0</v>
      </c>
      <c r="K1625" s="1028">
        <f>I1625+J1625</f>
        <v>0</v>
      </c>
      <c r="L1625" s="566"/>
      <c r="M1625" s="2143" t="str">
        <f>IF(AND(G1625=0,K1625=0),"n/a",IF(G1625&gt;K1625,"Yes", "No"))</f>
        <v>n/a</v>
      </c>
      <c r="N1625" s="2143"/>
      <c r="O1625" s="2144"/>
      <c r="P1625" s="2289"/>
      <c r="Q1625" s="566"/>
    </row>
    <row r="1626" spans="1:17" ht="15">
      <c r="A1626" s="940"/>
      <c r="B1626" s="979"/>
      <c r="C1626" s="1036"/>
      <c r="D1626" s="566"/>
      <c r="E1626" s="1036"/>
      <c r="F1626" s="1036"/>
      <c r="G1626" s="979"/>
      <c r="H1626" s="979"/>
      <c r="I1626" s="1036"/>
      <c r="J1626" s="1036"/>
      <c r="K1626" s="979"/>
      <c r="L1626" s="979"/>
      <c r="M1626" s="979"/>
      <c r="N1626" s="979"/>
      <c r="O1626" s="979"/>
      <c r="P1626" s="903"/>
      <c r="Q1626" s="566"/>
    </row>
    <row r="1627" spans="1:17">
      <c r="A1627" s="940"/>
      <c r="B1627" s="1039"/>
      <c r="C1627" s="1039"/>
      <c r="D1627" s="1039"/>
      <c r="E1627" s="2285" t="s">
        <v>3361</v>
      </c>
      <c r="F1627" s="2285"/>
      <c r="G1627" s="584"/>
      <c r="H1627" s="584"/>
      <c r="I1627" s="2285" t="s">
        <v>3359</v>
      </c>
      <c r="J1627" s="2285"/>
      <c r="K1627" s="584"/>
      <c r="L1627" s="584"/>
      <c r="M1627" s="584"/>
      <c r="N1627" s="584"/>
      <c r="O1627" s="584"/>
      <c r="P1627" s="903"/>
      <c r="Q1627" s="566"/>
    </row>
    <row r="1628" spans="1:17">
      <c r="A1628" s="940"/>
      <c r="B1628" s="949" t="s">
        <v>3178</v>
      </c>
      <c r="C1628" s="566"/>
      <c r="D1628" s="566"/>
      <c r="E1628" s="1038">
        <f>'Part IX A-Scoring Criteria'!E310</f>
        <v>0</v>
      </c>
      <c r="F1628" s="1038">
        <f>'Part IX A-Scoring Criteria'!F310</f>
        <v>0</v>
      </c>
      <c r="G1628" s="1028">
        <f>E1628+F1628</f>
        <v>0</v>
      </c>
      <c r="H1628" s="566"/>
      <c r="I1628" s="1038">
        <f>'Part IX A-Scoring Criteria'!I310</f>
        <v>0</v>
      </c>
      <c r="J1628" s="1038">
        <f>'Part IX A-Scoring Criteria'!J310</f>
        <v>0</v>
      </c>
      <c r="K1628" s="1028">
        <f>I1628+J1628</f>
        <v>0</v>
      </c>
      <c r="L1628" s="566"/>
      <c r="M1628" s="2143" t="str">
        <f>IF(AND(G1628=0,K1628=0),"n/a",IF(G1628&gt;K1628,"Yes", "No"))</f>
        <v>n/a</v>
      </c>
      <c r="N1628" s="2143"/>
      <c r="O1628" s="2144" t="str">
        <f>IF(AND(M1628="n/a",M1629="n/a",M1630="n/a",M1631="n/a",M1632="n/a"),"n/a",IF(AND(M1628="Yes",M1629="Yes",M1630="Yes",M1631="Yes",M1632="Yes"),"Yes",IF(OR(M1628="No",M1629="No",M1630="No",M1631="No",M1632="No"), "No", "No")))</f>
        <v>n/a</v>
      </c>
      <c r="P1628" s="903"/>
      <c r="Q1628" s="566"/>
    </row>
    <row r="1629" spans="1:17">
      <c r="A1629" s="940"/>
      <c r="B1629" s="949" t="s">
        <v>3184</v>
      </c>
      <c r="C1629" s="566"/>
      <c r="D1629" s="566"/>
      <c r="E1629" s="1038">
        <f>'Part IX A-Scoring Criteria'!E311</f>
        <v>0</v>
      </c>
      <c r="F1629" s="1038">
        <f>'Part IX A-Scoring Criteria'!F311</f>
        <v>0</v>
      </c>
      <c r="G1629" s="1028">
        <f>E1629+F1629</f>
        <v>0</v>
      </c>
      <c r="H1629" s="566"/>
      <c r="I1629" s="1038">
        <f>'Part IX A-Scoring Criteria'!I311</f>
        <v>0</v>
      </c>
      <c r="J1629" s="1038">
        <f>'Part IX A-Scoring Criteria'!J311</f>
        <v>0</v>
      </c>
      <c r="K1629" s="1028">
        <f>I1629+J1629</f>
        <v>0</v>
      </c>
      <c r="L1629" s="566"/>
      <c r="M1629" s="2143" t="str">
        <f>IF(AND(G1629=0,K1629=0),"n/a",IF(G1629&gt;K1629,"Yes", "No"))</f>
        <v>n/a</v>
      </c>
      <c r="N1629" s="2143"/>
      <c r="O1629" s="2144"/>
      <c r="P1629" s="903"/>
      <c r="Q1629" s="566"/>
    </row>
    <row r="1630" spans="1:17">
      <c r="A1630" s="940"/>
      <c r="B1630" s="949" t="s">
        <v>3179</v>
      </c>
      <c r="C1630" s="566"/>
      <c r="D1630" s="566"/>
      <c r="E1630" s="1038">
        <f>'Part IX A-Scoring Criteria'!E312</f>
        <v>0</v>
      </c>
      <c r="F1630" s="1038">
        <f>'Part IX A-Scoring Criteria'!F312</f>
        <v>0</v>
      </c>
      <c r="G1630" s="1028">
        <f>E1630+F1630</f>
        <v>0</v>
      </c>
      <c r="H1630" s="566"/>
      <c r="I1630" s="1038">
        <f>'Part IX A-Scoring Criteria'!I312</f>
        <v>0</v>
      </c>
      <c r="J1630" s="1038">
        <f>'Part IX A-Scoring Criteria'!J312</f>
        <v>0</v>
      </c>
      <c r="K1630" s="1028">
        <f>I1630+J1630</f>
        <v>0</v>
      </c>
      <c r="L1630" s="566"/>
      <c r="M1630" s="2143" t="str">
        <f>IF(AND(G1630=0,K1630=0),"n/a",IF(G1630&gt;K1630,"Yes", "No"))</f>
        <v>n/a</v>
      </c>
      <c r="N1630" s="2143"/>
      <c r="O1630" s="2144"/>
      <c r="P1630" s="903"/>
      <c r="Q1630" s="566"/>
    </row>
    <row r="1631" spans="1:17" ht="15">
      <c r="A1631" s="947"/>
      <c r="B1631" s="949" t="s">
        <v>3180</v>
      </c>
      <c r="C1631" s="566"/>
      <c r="D1631" s="566"/>
      <c r="E1631" s="1038">
        <f>'Part IX A-Scoring Criteria'!E313</f>
        <v>0</v>
      </c>
      <c r="F1631" s="1038">
        <f>'Part IX A-Scoring Criteria'!F313</f>
        <v>0</v>
      </c>
      <c r="G1631" s="1028">
        <f>E1631+F1631</f>
        <v>0</v>
      </c>
      <c r="H1631" s="566"/>
      <c r="I1631" s="1038">
        <f>'Part IX A-Scoring Criteria'!I313</f>
        <v>0</v>
      </c>
      <c r="J1631" s="1038">
        <f>'Part IX A-Scoring Criteria'!J313</f>
        <v>0</v>
      </c>
      <c r="K1631" s="1028">
        <f>I1631+J1631</f>
        <v>0</v>
      </c>
      <c r="L1631" s="566"/>
      <c r="M1631" s="2143" t="str">
        <f>IF(AND(G1631=0,K1631=0),"n/a",IF(G1631&gt;K1631,"Yes", "No"))</f>
        <v>n/a</v>
      </c>
      <c r="N1631" s="2143"/>
      <c r="O1631" s="2144"/>
      <c r="P1631" s="903"/>
      <c r="Q1631" s="979"/>
    </row>
    <row r="1632" spans="1:17">
      <c r="A1632" s="940"/>
      <c r="B1632" s="949" t="s">
        <v>3181</v>
      </c>
      <c r="C1632" s="566"/>
      <c r="D1632" s="566"/>
      <c r="E1632" s="1038">
        <f>'Part IX A-Scoring Criteria'!E314</f>
        <v>0</v>
      </c>
      <c r="F1632" s="1038">
        <f>'Part IX A-Scoring Criteria'!F314</f>
        <v>0</v>
      </c>
      <c r="G1632" s="1028">
        <f>E1632+F1632</f>
        <v>0</v>
      </c>
      <c r="H1632" s="566"/>
      <c r="I1632" s="1038">
        <f>'Part IX A-Scoring Criteria'!I314</f>
        <v>0</v>
      </c>
      <c r="J1632" s="1038">
        <f>'Part IX A-Scoring Criteria'!J314</f>
        <v>0</v>
      </c>
      <c r="K1632" s="1028">
        <f>I1632+J1632</f>
        <v>0</v>
      </c>
      <c r="L1632" s="566"/>
      <c r="M1632" s="2143" t="str">
        <f>IF(AND(G1632=0,K1632=0),"n/a",IF(G1632&gt;K1632,"Yes", "No"))</f>
        <v>n/a</v>
      </c>
      <c r="N1632" s="2143"/>
      <c r="O1632" s="2144"/>
      <c r="P1632" s="903"/>
      <c r="Q1632" s="566"/>
    </row>
    <row r="1633" spans="1:21" ht="15">
      <c r="A1633" s="940"/>
      <c r="B1633" s="979"/>
      <c r="C1633" s="1036"/>
      <c r="D1633" s="1036"/>
      <c r="E1633" s="1036"/>
      <c r="F1633" s="1036"/>
      <c r="G1633" s="979"/>
      <c r="H1633" s="979"/>
      <c r="I1633" s="1036"/>
      <c r="J1633" s="1036"/>
      <c r="K1633" s="979"/>
      <c r="L1633" s="979"/>
      <c r="M1633" s="979"/>
      <c r="N1633" s="979"/>
      <c r="O1633" s="979"/>
      <c r="P1633" s="1037"/>
      <c r="Q1633" s="566"/>
    </row>
    <row r="1634" spans="1:21">
      <c r="A1634" s="940"/>
      <c r="B1634" s="949" t="s">
        <v>3178</v>
      </c>
      <c r="C1634" s="566"/>
      <c r="D1634" s="566"/>
      <c r="E1634" s="1038">
        <f>'Part IX A-Scoring Criteria'!E316</f>
        <v>0</v>
      </c>
      <c r="F1634" s="1038">
        <f>'Part IX A-Scoring Criteria'!F316</f>
        <v>0</v>
      </c>
      <c r="G1634" s="1028">
        <f>E1634+F1634</f>
        <v>0</v>
      </c>
      <c r="H1634" s="566"/>
      <c r="I1634" s="1038">
        <f>'Part IX A-Scoring Criteria'!I316</f>
        <v>0</v>
      </c>
      <c r="J1634" s="1038">
        <f>'Part IX A-Scoring Criteria'!J316</f>
        <v>0</v>
      </c>
      <c r="K1634" s="1028">
        <f>I1634+J1634</f>
        <v>0</v>
      </c>
      <c r="L1634" s="566"/>
      <c r="M1634" s="2143" t="str">
        <f>IF(AND(G1634=0,K1634=0),"n/a",IF(G1634&gt;K1634,"Yes", "No"))</f>
        <v>n/a</v>
      </c>
      <c r="N1634" s="2143"/>
      <c r="O1634" s="2144" t="str">
        <f>IF(AND(M1634="n/a",M1635="n/a",M1636="n/a",M1637="n/a",M1638="n/a"),"n/a",IF(AND(M1634="Yes",M1635="Yes",M1636="Yes",M1637="Yes",M1638="Yes"),"Yes",IF(OR(M1634="No",M1635="No",M1636="No",M1637="No",M1638="No"), "No", "No")))</f>
        <v>n/a</v>
      </c>
      <c r="P1634" s="1037"/>
      <c r="Q1634" s="566"/>
    </row>
    <row r="1635" spans="1:21">
      <c r="A1635" s="940"/>
      <c r="B1635" s="949" t="s">
        <v>3184</v>
      </c>
      <c r="C1635" s="566"/>
      <c r="D1635" s="566"/>
      <c r="E1635" s="1038">
        <f>'Part IX A-Scoring Criteria'!E317</f>
        <v>0</v>
      </c>
      <c r="F1635" s="1038">
        <f>'Part IX A-Scoring Criteria'!F317</f>
        <v>0</v>
      </c>
      <c r="G1635" s="1028">
        <f>E1635+F1635</f>
        <v>0</v>
      </c>
      <c r="H1635" s="566"/>
      <c r="I1635" s="1038">
        <f>'Part IX A-Scoring Criteria'!I317</f>
        <v>0</v>
      </c>
      <c r="J1635" s="1038">
        <f>'Part IX A-Scoring Criteria'!J317</f>
        <v>0</v>
      </c>
      <c r="K1635" s="1028">
        <f>I1635+J1635</f>
        <v>0</v>
      </c>
      <c r="L1635" s="566"/>
      <c r="M1635" s="2143" t="str">
        <f>IF(AND(G1635=0,K1635=0),"n/a",IF(G1635&gt;K1635,"Yes", "No"))</f>
        <v>n/a</v>
      </c>
      <c r="N1635" s="2143"/>
      <c r="O1635" s="2144"/>
      <c r="P1635" s="1037"/>
      <c r="Q1635" s="566"/>
    </row>
    <row r="1636" spans="1:21">
      <c r="A1636" s="940"/>
      <c r="B1636" s="949" t="s">
        <v>3179</v>
      </c>
      <c r="C1636" s="566"/>
      <c r="D1636" s="566"/>
      <c r="E1636" s="1038">
        <f>'Part IX A-Scoring Criteria'!E318</f>
        <v>0</v>
      </c>
      <c r="F1636" s="1038">
        <f>'Part IX A-Scoring Criteria'!F318</f>
        <v>0</v>
      </c>
      <c r="G1636" s="1028">
        <f>E1636+F1636</f>
        <v>0</v>
      </c>
      <c r="H1636" s="566"/>
      <c r="I1636" s="1038">
        <f>'Part IX A-Scoring Criteria'!I318</f>
        <v>0</v>
      </c>
      <c r="J1636" s="1038">
        <f>'Part IX A-Scoring Criteria'!J318</f>
        <v>0</v>
      </c>
      <c r="K1636" s="1028">
        <f>I1636+J1636</f>
        <v>0</v>
      </c>
      <c r="L1636" s="566"/>
      <c r="M1636" s="2143" t="str">
        <f>IF(AND(G1636=0,K1636=0),"n/a",IF(G1636&gt;K1636,"Yes", "No"))</f>
        <v>n/a</v>
      </c>
      <c r="N1636" s="2143"/>
      <c r="O1636" s="2144"/>
      <c r="P1636" s="1037"/>
      <c r="Q1636" s="566"/>
    </row>
    <row r="1637" spans="1:21">
      <c r="A1637" s="940"/>
      <c r="B1637" s="949" t="s">
        <v>3180</v>
      </c>
      <c r="C1637" s="566"/>
      <c r="D1637" s="566"/>
      <c r="E1637" s="1038">
        <f>'Part IX A-Scoring Criteria'!E319</f>
        <v>0</v>
      </c>
      <c r="F1637" s="1038">
        <f>'Part IX A-Scoring Criteria'!F319</f>
        <v>0</v>
      </c>
      <c r="G1637" s="1028">
        <f>E1637+F1637</f>
        <v>0</v>
      </c>
      <c r="H1637" s="566"/>
      <c r="I1637" s="1038">
        <f>'Part IX A-Scoring Criteria'!I319</f>
        <v>0</v>
      </c>
      <c r="J1637" s="1038">
        <f>'Part IX A-Scoring Criteria'!J319</f>
        <v>0</v>
      </c>
      <c r="K1637" s="1028">
        <f>I1637+J1637</f>
        <v>0</v>
      </c>
      <c r="L1637" s="566"/>
      <c r="M1637" s="2143" t="str">
        <f>IF(AND(G1637=0,K1637=0),"n/a",IF(G1637&gt;K1637,"Yes", "No"))</f>
        <v>n/a</v>
      </c>
      <c r="N1637" s="2143"/>
      <c r="O1637" s="2144"/>
      <c r="P1637" s="1037"/>
      <c r="Q1637" s="566"/>
    </row>
    <row r="1638" spans="1:21" ht="15">
      <c r="A1638" s="947"/>
      <c r="B1638" s="949" t="s">
        <v>3181</v>
      </c>
      <c r="C1638" s="566"/>
      <c r="D1638" s="566"/>
      <c r="E1638" s="1038">
        <f>'Part IX A-Scoring Criteria'!E320</f>
        <v>0</v>
      </c>
      <c r="F1638" s="1038">
        <f>'Part IX A-Scoring Criteria'!F320</f>
        <v>0</v>
      </c>
      <c r="G1638" s="1028">
        <f>E1638+F1638</f>
        <v>0</v>
      </c>
      <c r="H1638" s="566"/>
      <c r="I1638" s="1038">
        <f>'Part IX A-Scoring Criteria'!I320</f>
        <v>0</v>
      </c>
      <c r="J1638" s="1038">
        <f>'Part IX A-Scoring Criteria'!J320</f>
        <v>0</v>
      </c>
      <c r="K1638" s="1028">
        <f>I1638+J1638</f>
        <v>0</v>
      </c>
      <c r="L1638" s="566"/>
      <c r="M1638" s="2143" t="str">
        <f>IF(AND(G1638=0,K1638=0),"n/a",IF(G1638&gt;K1638,"Yes", "No"))</f>
        <v>n/a</v>
      </c>
      <c r="N1638" s="2143"/>
      <c r="O1638" s="2144"/>
      <c r="P1638" s="1037"/>
      <c r="Q1638" s="979"/>
    </row>
    <row r="1639" spans="1:21" ht="15">
      <c r="A1639" s="583"/>
      <c r="B1639" s="941" t="s">
        <v>269</v>
      </c>
      <c r="C1639" s="583"/>
      <c r="D1639" s="587"/>
      <c r="E1639" s="587"/>
      <c r="F1639" s="587"/>
      <c r="G1639" s="587"/>
      <c r="H1639" s="584"/>
      <c r="I1639" s="584"/>
      <c r="J1639" s="584"/>
      <c r="K1639" s="584"/>
      <c r="L1639" s="979"/>
      <c r="M1639" s="780"/>
      <c r="N1639" s="784"/>
      <c r="O1639" s="975"/>
      <c r="P1639" s="786"/>
      <c r="Q1639" s="979"/>
    </row>
    <row r="1640" spans="1:21" ht="15.75">
      <c r="A1640" s="2129">
        <f>'Part IX A-Scoring Criteria'!A322</f>
        <v>0</v>
      </c>
      <c r="B1640" s="2129"/>
      <c r="C1640" s="2129"/>
      <c r="D1640" s="2129"/>
      <c r="E1640" s="2129"/>
      <c r="F1640" s="2129"/>
      <c r="G1640" s="2129"/>
      <c r="H1640" s="2129"/>
      <c r="I1640" s="2129"/>
      <c r="J1640" s="2129"/>
      <c r="K1640" s="2129"/>
      <c r="L1640" s="2129"/>
      <c r="M1640" s="2129"/>
      <c r="N1640" s="2129"/>
      <c r="O1640" s="2129"/>
      <c r="P1640" s="2129"/>
      <c r="Q1640" s="980" t="s">
        <v>1326</v>
      </c>
    </row>
    <row r="1641" spans="1:21" ht="15">
      <c r="A1641" s="583"/>
      <c r="B1641" s="942" t="s">
        <v>1988</v>
      </c>
      <c r="C1641" s="583"/>
      <c r="D1641" s="942"/>
      <c r="E1641" s="944"/>
      <c r="F1641" s="944"/>
      <c r="G1641" s="944"/>
      <c r="H1641" s="944"/>
      <c r="I1641" s="944"/>
      <c r="J1641" s="944"/>
      <c r="K1641" s="944"/>
      <c r="L1641" s="944"/>
      <c r="M1641" s="944"/>
      <c r="N1641" s="991"/>
      <c r="O1641" s="992"/>
      <c r="P1641" s="888"/>
      <c r="Q1641" s="985"/>
    </row>
    <row r="1642" spans="1:21" ht="15.75">
      <c r="A1642" s="2129"/>
      <c r="B1642" s="2129"/>
      <c r="C1642" s="2129"/>
      <c r="D1642" s="2129"/>
      <c r="E1642" s="2129"/>
      <c r="F1642" s="2129"/>
      <c r="G1642" s="2129"/>
      <c r="H1642" s="2129"/>
      <c r="I1642" s="2129"/>
      <c r="J1642" s="2129"/>
      <c r="K1642" s="2129"/>
      <c r="L1642" s="2129"/>
      <c r="M1642" s="2129"/>
      <c r="N1642" s="2129"/>
      <c r="O1642" s="2129"/>
      <c r="P1642" s="2129"/>
      <c r="Q1642" s="980" t="s">
        <v>1326</v>
      </c>
    </row>
    <row r="1643" spans="1:21" ht="15">
      <c r="A1643" s="583"/>
      <c r="B1643" s="979"/>
      <c r="C1643" s="944"/>
      <c r="D1643" s="944"/>
      <c r="E1643" s="944"/>
      <c r="F1643" s="944"/>
      <c r="G1643" s="944"/>
      <c r="H1643" s="944"/>
      <c r="I1643" s="944"/>
      <c r="J1643" s="944"/>
      <c r="K1643" s="944"/>
      <c r="L1643" s="944"/>
      <c r="M1643" s="944"/>
      <c r="N1643" s="991"/>
      <c r="O1643" s="992"/>
      <c r="P1643" s="888"/>
      <c r="Q1643" s="979"/>
    </row>
    <row r="1644" spans="1:21" ht="15">
      <c r="A1644" s="1013" t="s">
        <v>3193</v>
      </c>
      <c r="B1644" s="977" t="s">
        <v>3192</v>
      </c>
      <c r="C1644" s="979"/>
      <c r="D1644" s="993"/>
      <c r="E1644" s="993"/>
      <c r="F1644" s="993"/>
      <c r="G1644" s="993"/>
      <c r="H1644" s="993"/>
      <c r="I1644" s="993"/>
      <c r="J1644" s="993"/>
      <c r="K1644" s="993"/>
      <c r="L1644" s="979"/>
      <c r="M1644" s="780">
        <v>2</v>
      </c>
      <c r="N1644" s="994"/>
      <c r="O1644" s="1002">
        <f>'Part IX A-Scoring Criteria'!O326</f>
        <v>1</v>
      </c>
      <c r="P1644" s="888"/>
      <c r="Q1644" s="888" t="s">
        <v>461</v>
      </c>
      <c r="U1644" s="975">
        <f>'Part IX A-Scoring Criteria'!O326</f>
        <v>1</v>
      </c>
    </row>
    <row r="1645" spans="1:21">
      <c r="A1645" s="566"/>
      <c r="B1645" s="566"/>
      <c r="C1645" s="566"/>
      <c r="D1645" s="566"/>
      <c r="E1645" s="566"/>
      <c r="F1645" s="566"/>
      <c r="G1645" s="566"/>
      <c r="H1645" s="940"/>
      <c r="I1645" s="940"/>
      <c r="J1645" s="940"/>
      <c r="K1645" s="940"/>
      <c r="L1645" s="940"/>
      <c r="M1645" s="566"/>
      <c r="N1645" s="566"/>
      <c r="O1645" s="566"/>
      <c r="P1645" s="566"/>
      <c r="Q1645" s="566"/>
    </row>
    <row r="1646" spans="1:21">
      <c r="A1646" s="940"/>
      <c r="B1646" s="566"/>
      <c r="C1646" s="566"/>
      <c r="D1646" s="566"/>
      <c r="E1646" s="566"/>
      <c r="F1646" s="566"/>
      <c r="G1646" s="566"/>
      <c r="H1646" s="566"/>
      <c r="I1646" s="566" t="s">
        <v>3198</v>
      </c>
      <c r="J1646" s="566"/>
      <c r="K1646" s="2175" t="str">
        <f>'Part IX A-Scoring Criteria'!K328</f>
        <v>Rome</v>
      </c>
      <c r="L1646" s="2175"/>
      <c r="M1646" s="2175"/>
      <c r="N1646" s="566"/>
      <c r="O1646" s="566"/>
      <c r="P1646" s="566"/>
      <c r="Q1646" s="566"/>
    </row>
    <row r="1647" spans="1:21">
      <c r="A1647" s="947" t="s">
        <v>2110</v>
      </c>
      <c r="B1647" s="566"/>
      <c r="C1647" s="948" t="s">
        <v>3202</v>
      </c>
      <c r="D1647" s="566"/>
      <c r="E1647" s="566"/>
      <c r="F1647" s="566"/>
      <c r="G1647" s="1075">
        <f>'Part IX A-Scoring Criteria'!G329</f>
        <v>10871</v>
      </c>
      <c r="H1647" s="566"/>
      <c r="I1647" s="2175" t="s">
        <v>3199</v>
      </c>
      <c r="J1647" s="2175"/>
      <c r="K1647" s="2175" t="str">
        <f>'Part IX A-Scoring Criteria'!K329</f>
        <v>Floyd</v>
      </c>
      <c r="L1647" s="2175"/>
      <c r="M1647" s="2175"/>
      <c r="N1647" s="566"/>
      <c r="O1647" s="566"/>
      <c r="P1647" s="566"/>
      <c r="Q1647" s="566"/>
    </row>
    <row r="1648" spans="1:21">
      <c r="A1648" s="947"/>
      <c r="B1648" s="566"/>
      <c r="C1648" s="948"/>
      <c r="D1648" s="566"/>
      <c r="E1648" s="566"/>
      <c r="F1648" s="566"/>
      <c r="G1648" s="566"/>
      <c r="H1648" s="566"/>
      <c r="I1648" s="949" t="s">
        <v>3200</v>
      </c>
      <c r="J1648" s="566"/>
      <c r="K1648" s="2175" t="str">
        <f>'Part IX A-Scoring Criteria'!K330</f>
        <v>Rome</v>
      </c>
      <c r="L1648" s="2175"/>
      <c r="M1648" s="2175"/>
      <c r="N1648" s="566"/>
      <c r="O1648" s="566"/>
      <c r="P1648" s="566"/>
      <c r="Q1648" s="566"/>
    </row>
    <row r="1649" spans="1:21">
      <c r="A1649" s="956" t="s">
        <v>2113</v>
      </c>
      <c r="B1649" s="949" t="s">
        <v>3197</v>
      </c>
      <c r="C1649" s="949"/>
      <c r="D1649" s="948"/>
      <c r="E1649" s="948"/>
      <c r="F1649" s="566"/>
      <c r="G1649" s="1072">
        <f>'Part IX A-Scoring Criteria'!G331</f>
        <v>0.5</v>
      </c>
      <c r="H1649" s="566"/>
      <c r="I1649" s="949" t="s">
        <v>3337</v>
      </c>
      <c r="J1649" s="566"/>
      <c r="K1649" s="2175" t="str">
        <f>'Part IX A-Scoring Criteria'!K331</f>
        <v>MSA</v>
      </c>
      <c r="L1649" s="2175"/>
      <c r="M1649" s="2175"/>
      <c r="N1649" s="566"/>
      <c r="O1649" s="566"/>
      <c r="P1649" s="566"/>
      <c r="Q1649" s="566"/>
    </row>
    <row r="1650" spans="1:21">
      <c r="A1650" s="940"/>
      <c r="B1650" s="949" t="s">
        <v>3196</v>
      </c>
      <c r="C1650" s="949"/>
      <c r="D1650" s="948"/>
      <c r="E1650" s="948"/>
      <c r="F1650" s="940"/>
      <c r="G1650" s="940"/>
      <c r="H1650" s="566"/>
      <c r="I1650" s="566" t="s">
        <v>3338</v>
      </c>
      <c r="J1650" s="566"/>
      <c r="K1650" s="2175" t="str">
        <f>'Part IX A-Scoring Criteria'!K332</f>
        <v>Urban</v>
      </c>
      <c r="L1650" s="2175"/>
      <c r="M1650" s="2175"/>
      <c r="N1650" s="566"/>
      <c r="O1650" s="566"/>
      <c r="P1650" s="566"/>
      <c r="Q1650" s="566"/>
    </row>
    <row r="1651" spans="1:21">
      <c r="A1651" s="940"/>
      <c r="B1651" s="949"/>
      <c r="C1651" s="949"/>
      <c r="D1651" s="948"/>
      <c r="E1651" s="948"/>
      <c r="F1651" s="940"/>
      <c r="G1651" s="940"/>
      <c r="H1651" s="566"/>
      <c r="I1651" s="566" t="s">
        <v>3336</v>
      </c>
      <c r="J1651" s="566"/>
      <c r="K1651" s="2175">
        <f>'Part IX A-Scoring Criteria'!K333</f>
        <v>0</v>
      </c>
      <c r="L1651" s="2175"/>
      <c r="M1651" s="2175"/>
      <c r="N1651" s="566"/>
      <c r="O1651" s="566"/>
      <c r="P1651" s="566"/>
      <c r="Q1651" s="566"/>
    </row>
    <row r="1652" spans="1:21">
      <c r="A1652" s="566"/>
      <c r="B1652" s="566"/>
      <c r="C1652" s="566"/>
      <c r="D1652" s="566"/>
      <c r="E1652" s="566"/>
      <c r="F1652" s="566"/>
      <c r="G1652" s="566"/>
      <c r="H1652" s="940"/>
      <c r="I1652" s="940"/>
      <c r="J1652" s="940"/>
      <c r="K1652" s="940"/>
      <c r="L1652" s="940"/>
      <c r="M1652" s="566"/>
      <c r="N1652" s="566"/>
      <c r="O1652" s="566"/>
      <c r="P1652" s="566"/>
      <c r="Q1652" s="566"/>
    </row>
    <row r="1653" spans="1:21">
      <c r="A1653" s="940"/>
      <c r="B1653" s="940"/>
      <c r="C1653" s="1076" t="s">
        <v>3194</v>
      </c>
      <c r="D1653" s="2287" t="s">
        <v>3195</v>
      </c>
      <c r="E1653" s="2287"/>
      <c r="F1653" s="2287"/>
      <c r="G1653" s="2287"/>
      <c r="H1653" s="2287"/>
      <c r="I1653" s="2287"/>
      <c r="J1653" s="2287"/>
      <c r="K1653" s="2287"/>
      <c r="L1653" s="1076" t="s">
        <v>1701</v>
      </c>
      <c r="M1653" s="1076" t="s">
        <v>2772</v>
      </c>
      <c r="N1653" s="566"/>
      <c r="O1653" s="566"/>
      <c r="P1653" s="566"/>
      <c r="Q1653" s="566"/>
    </row>
    <row r="1654" spans="1:21">
      <c r="A1654" s="940"/>
      <c r="B1654" s="940"/>
      <c r="C1654" s="1076" t="s">
        <v>1276</v>
      </c>
      <c r="D1654" s="2288" t="s">
        <v>3201</v>
      </c>
      <c r="E1654" s="2288"/>
      <c r="F1654" s="2288"/>
      <c r="G1654" s="2288"/>
      <c r="H1654" s="2288"/>
      <c r="I1654" s="2288"/>
      <c r="J1654" s="2288"/>
      <c r="K1654" s="2288"/>
      <c r="L1654" s="1076" t="s">
        <v>2787</v>
      </c>
      <c r="M1654" s="1076" t="s">
        <v>1353</v>
      </c>
      <c r="N1654" s="566"/>
      <c r="O1654" s="566"/>
      <c r="P1654" s="566"/>
      <c r="Q1654" s="566"/>
    </row>
    <row r="1655" spans="1:21">
      <c r="A1655" s="940"/>
      <c r="B1655" s="940"/>
      <c r="C1655" s="1075">
        <v>20000</v>
      </c>
      <c r="D1655" s="2291">
        <v>15000</v>
      </c>
      <c r="E1655" s="2291"/>
      <c r="F1655" s="2291"/>
      <c r="G1655" s="2291"/>
      <c r="H1655" s="2291"/>
      <c r="I1655" s="2291"/>
      <c r="J1655" s="2291"/>
      <c r="K1655" s="2291"/>
      <c r="L1655" s="1075">
        <v>6000</v>
      </c>
      <c r="M1655" s="1075">
        <v>3000</v>
      </c>
      <c r="N1655" s="566"/>
      <c r="O1655" s="566"/>
      <c r="P1655" s="566"/>
      <c r="Q1655" s="566"/>
    </row>
    <row r="1656" spans="1:21">
      <c r="A1656" s="940"/>
      <c r="B1656" s="958"/>
      <c r="C1656" s="1036"/>
      <c r="D1656" s="1036"/>
      <c r="E1656" s="1036"/>
      <c r="F1656" s="1036"/>
      <c r="G1656" s="1036"/>
      <c r="H1656" s="1036"/>
      <c r="I1656" s="1036"/>
      <c r="J1656" s="1036"/>
      <c r="K1656" s="1036"/>
      <c r="L1656" s="1036"/>
      <c r="M1656" s="566"/>
      <c r="N1656" s="566"/>
      <c r="O1656" s="566"/>
      <c r="P1656" s="566"/>
      <c r="Q1656" s="566"/>
    </row>
    <row r="1657" spans="1:21" ht="15">
      <c r="A1657" s="583"/>
      <c r="B1657" s="941" t="s">
        <v>269</v>
      </c>
      <c r="C1657" s="583"/>
      <c r="D1657" s="587"/>
      <c r="E1657" s="587"/>
      <c r="F1657" s="587"/>
      <c r="G1657" s="587"/>
      <c r="H1657" s="584"/>
      <c r="I1657" s="584"/>
      <c r="J1657" s="584"/>
      <c r="K1657" s="584"/>
      <c r="L1657" s="979"/>
      <c r="M1657" s="780"/>
      <c r="N1657" s="784"/>
      <c r="O1657" s="975"/>
      <c r="P1657" s="786"/>
      <c r="Q1657" s="979"/>
    </row>
    <row r="1658" spans="1:21" ht="15.75">
      <c r="A1658" s="2129" t="str">
        <f>'Part IX A-Scoring Criteria'!A340</f>
        <v>Please see Tab 40 for Census Bureau's "OnTheMap" report.</v>
      </c>
      <c r="B1658" s="2129"/>
      <c r="C1658" s="2129"/>
      <c r="D1658" s="2129"/>
      <c r="E1658" s="2129"/>
      <c r="F1658" s="2129"/>
      <c r="G1658" s="2129"/>
      <c r="H1658" s="2129"/>
      <c r="I1658" s="2129"/>
      <c r="J1658" s="2129"/>
      <c r="K1658" s="2129"/>
      <c r="L1658" s="2129"/>
      <c r="M1658" s="2129"/>
      <c r="N1658" s="2129"/>
      <c r="O1658" s="2129"/>
      <c r="P1658" s="2129"/>
      <c r="Q1658" s="980" t="s">
        <v>1326</v>
      </c>
    </row>
    <row r="1659" spans="1:21" ht="15">
      <c r="A1659" s="583"/>
      <c r="B1659" s="942" t="s">
        <v>1988</v>
      </c>
      <c r="C1659" s="583"/>
      <c r="D1659" s="942"/>
      <c r="E1659" s="944"/>
      <c r="F1659" s="944"/>
      <c r="G1659" s="944"/>
      <c r="H1659" s="944"/>
      <c r="I1659" s="944"/>
      <c r="J1659" s="944"/>
      <c r="K1659" s="944"/>
      <c r="L1659" s="944"/>
      <c r="M1659" s="944"/>
      <c r="N1659" s="991"/>
      <c r="O1659" s="992"/>
      <c r="P1659" s="888"/>
      <c r="Q1659" s="985"/>
    </row>
    <row r="1660" spans="1:21" ht="15.75">
      <c r="A1660" s="2129"/>
      <c r="B1660" s="2129"/>
      <c r="C1660" s="2129"/>
      <c r="D1660" s="2129"/>
      <c r="E1660" s="2129"/>
      <c r="F1660" s="2129"/>
      <c r="G1660" s="2129"/>
      <c r="H1660" s="2129"/>
      <c r="I1660" s="2129"/>
      <c r="J1660" s="2129"/>
      <c r="K1660" s="2129"/>
      <c r="L1660" s="2129"/>
      <c r="M1660" s="2129"/>
      <c r="N1660" s="2129"/>
      <c r="O1660" s="2129"/>
      <c r="P1660" s="2129"/>
      <c r="Q1660" s="980" t="s">
        <v>1326</v>
      </c>
    </row>
    <row r="1661" spans="1:21" ht="15">
      <c r="A1661" s="583"/>
      <c r="B1661" s="979"/>
      <c r="C1661" s="944"/>
      <c r="D1661" s="944"/>
      <c r="E1661" s="944"/>
      <c r="F1661" s="944"/>
      <c r="G1661" s="944"/>
      <c r="H1661" s="944"/>
      <c r="I1661" s="944"/>
      <c r="J1661" s="944"/>
      <c r="K1661" s="944"/>
      <c r="L1661" s="944"/>
      <c r="M1661" s="944"/>
      <c r="N1661" s="991"/>
      <c r="O1661" s="992"/>
      <c r="P1661" s="888"/>
      <c r="Q1661" s="979"/>
    </row>
    <row r="1662" spans="1:21" ht="15">
      <c r="A1662" s="1013" t="s">
        <v>3191</v>
      </c>
      <c r="B1662" s="977" t="s">
        <v>1783</v>
      </c>
      <c r="C1662" s="1005"/>
      <c r="D1662" s="997"/>
      <c r="E1662" s="997"/>
      <c r="F1662" s="584"/>
      <c r="G1662" s="584"/>
      <c r="H1662" s="1005"/>
      <c r="I1662" s="584"/>
      <c r="J1662" s="584"/>
      <c r="K1662" s="584"/>
      <c r="L1662" s="1004" t="str">
        <f>IF(OR($O1662=$M1662,$O1662&lt;=0,$O1662=""),"","* * Check Score! * *")</f>
        <v/>
      </c>
      <c r="M1662" s="888">
        <v>10</v>
      </c>
      <c r="N1662" s="780"/>
      <c r="O1662" s="975">
        <f>O1664</f>
        <v>10</v>
      </c>
      <c r="P1662" s="975">
        <f>P1664</f>
        <v>0</v>
      </c>
      <c r="Q1662" s="888" t="s">
        <v>461</v>
      </c>
      <c r="U1662" s="975">
        <f>'Part IX A-Scoring Criteria'!O344</f>
        <v>10</v>
      </c>
    </row>
    <row r="1663" spans="1:21">
      <c r="B1663" s="566" t="s">
        <v>2711</v>
      </c>
      <c r="M1663" s="583"/>
      <c r="N1663" s="583"/>
      <c r="O1663" s="1002" t="str">
        <f>'Part IX A-Scoring Criteria'!O345</f>
        <v>Yes</v>
      </c>
      <c r="P1663" s="960"/>
    </row>
    <row r="1664" spans="1:21">
      <c r="A1664" s="947" t="s">
        <v>2110</v>
      </c>
      <c r="B1664" s="887" t="s">
        <v>1525</v>
      </c>
      <c r="D1664" s="583"/>
      <c r="E1664" s="583"/>
      <c r="F1664" s="583"/>
      <c r="G1664" s="583"/>
      <c r="H1664" s="583"/>
      <c r="I1664" s="583"/>
      <c r="J1664" s="583"/>
      <c r="K1664" s="583"/>
      <c r="L1664" s="583"/>
      <c r="M1664" s="780"/>
      <c r="N1664" s="939" t="s">
        <v>2110</v>
      </c>
      <c r="O1664" s="1002">
        <f>'Part IX A-Scoring Criteria'!O346</f>
        <v>10</v>
      </c>
      <c r="P1664" s="517"/>
      <c r="Q1664" s="807" t="s">
        <v>2929</v>
      </c>
    </row>
    <row r="1665" spans="1:21" ht="15">
      <c r="A1665" s="583"/>
      <c r="B1665" s="941" t="s">
        <v>269</v>
      </c>
      <c r="C1665" s="583"/>
      <c r="D1665" s="587"/>
      <c r="E1665" s="587"/>
      <c r="F1665" s="587"/>
      <c r="G1665" s="587"/>
      <c r="H1665" s="584"/>
      <c r="I1665" s="584"/>
      <c r="J1665" s="584"/>
      <c r="K1665" s="584"/>
      <c r="L1665" s="979"/>
      <c r="M1665" s="780"/>
      <c r="N1665" s="784"/>
      <c r="O1665" s="975"/>
      <c r="P1665" s="786"/>
      <c r="Q1665" s="979"/>
    </row>
    <row r="1666" spans="1:21" ht="15.75">
      <c r="A1666" s="2129" t="str">
        <f>'Part IX A-Scoring Criteria'!A348</f>
        <v>Please see Tab 18 of the Application Binder for the Qualification Determination.</v>
      </c>
      <c r="B1666" s="2129"/>
      <c r="C1666" s="2129"/>
      <c r="D1666" s="2129"/>
      <c r="E1666" s="2129"/>
      <c r="F1666" s="2129"/>
      <c r="G1666" s="2129"/>
      <c r="H1666" s="2129"/>
      <c r="I1666" s="2129"/>
      <c r="J1666" s="2129"/>
      <c r="K1666" s="2129"/>
      <c r="L1666" s="2129"/>
      <c r="M1666" s="2129"/>
      <c r="N1666" s="2129"/>
      <c r="O1666" s="2129"/>
      <c r="P1666" s="2129"/>
      <c r="Q1666" s="980" t="s">
        <v>1326</v>
      </c>
    </row>
    <row r="1667" spans="1:21" ht="15">
      <c r="A1667" s="941"/>
      <c r="B1667" s="941" t="s">
        <v>1988</v>
      </c>
      <c r="C1667" s="583"/>
      <c r="D1667" s="941"/>
      <c r="E1667" s="901"/>
      <c r="F1667" s="901"/>
      <c r="G1667" s="901"/>
      <c r="H1667" s="901"/>
      <c r="I1667" s="901"/>
      <c r="J1667" s="901"/>
      <c r="K1667" s="901"/>
      <c r="L1667" s="901"/>
      <c r="M1667" s="901"/>
      <c r="N1667" s="981"/>
      <c r="O1667" s="606"/>
      <c r="P1667" s="888"/>
      <c r="Q1667" s="1005"/>
    </row>
    <row r="1668" spans="1:21" ht="15.75">
      <c r="A1668" s="2129"/>
      <c r="B1668" s="2129"/>
      <c r="C1668" s="2129"/>
      <c r="D1668" s="2129"/>
      <c r="E1668" s="2129"/>
      <c r="F1668" s="2129"/>
      <c r="G1668" s="2129"/>
      <c r="H1668" s="2129"/>
      <c r="I1668" s="2129"/>
      <c r="J1668" s="2129"/>
      <c r="K1668" s="2129"/>
      <c r="L1668" s="2129"/>
      <c r="M1668" s="2129"/>
      <c r="N1668" s="2129"/>
      <c r="O1668" s="2129"/>
      <c r="P1668" s="2129"/>
      <c r="Q1668" s="980" t="s">
        <v>1326</v>
      </c>
    </row>
    <row r="1669" spans="1:21" ht="15">
      <c r="A1669" s="583"/>
      <c r="B1669" s="583"/>
      <c r="C1669" s="944"/>
      <c r="D1669" s="944"/>
      <c r="E1669" s="944"/>
      <c r="F1669" s="944"/>
      <c r="G1669" s="944"/>
      <c r="H1669" s="944"/>
      <c r="I1669" s="944"/>
      <c r="J1669" s="944"/>
      <c r="K1669" s="944"/>
      <c r="L1669" s="944"/>
      <c r="M1669" s="944"/>
      <c r="N1669" s="991"/>
      <c r="O1669" s="992"/>
      <c r="P1669" s="888"/>
      <c r="Q1669" s="979"/>
    </row>
    <row r="1670" spans="1:21" ht="15">
      <c r="A1670" s="816"/>
      <c r="B1670" s="1040"/>
      <c r="C1670" s="583"/>
      <c r="F1670" s="979"/>
      <c r="G1670" s="979"/>
      <c r="H1670" s="1041" t="s">
        <v>446</v>
      </c>
      <c r="I1670" s="973"/>
      <c r="J1670" s="973"/>
      <c r="K1670" s="973"/>
      <c r="L1670" s="1005"/>
      <c r="M1670" s="1042">
        <f>M1326+M1348+M1356+M1365+M1379+M1387+M1405+M1416+M1443+M1458+M1468+M1476+M1485+M1491+M1501+M1536+M1548+M1559+M1570+M1594+M1644+M1662</f>
        <v>87</v>
      </c>
      <c r="N1670" s="1043"/>
      <c r="O1670" s="1042">
        <f>O1326+O1348+O1356+O1365+O1379+O1387+O1405+O1416+O1443+O1458+O1468+O1476+O1485+O1491+O1501+O1536+O1548+O1559+O1570+O1594+O1644+O1662</f>
        <v>54</v>
      </c>
      <c r="P1670" s="1042">
        <f>P1326+P1348+P1356+P1365+P1379+P1387+P1405+P1416+P1443+P1458+P1468+P1476+P1485+P1491+P1501+P1536+P1548+P1559+P1570+P1594+P1644+P1662</f>
        <v>10</v>
      </c>
      <c r="Q1670" s="583"/>
      <c r="U1670" s="1042">
        <f>U1326+U1348+U1356+U1365+U1379+U1387+U1405+U1416+U1443+U1458+U1468+U1476+U1485+U1491+U1501+U1536+U1548+U1559+U1570+U1594+U1644+U1662</f>
        <v>54</v>
      </c>
    </row>
    <row r="1671" spans="1:21" ht="15.75">
      <c r="A1671" s="979"/>
      <c r="B1671" s="1040"/>
      <c r="C1671" s="979"/>
      <c r="F1671" s="974"/>
      <c r="G1671" s="974"/>
      <c r="H1671" s="887"/>
      <c r="I1671" s="887" t="s">
        <v>3350</v>
      </c>
      <c r="J1671" s="906"/>
      <c r="K1671" s="906"/>
      <c r="L1671" s="979"/>
      <c r="N1671" s="888"/>
      <c r="O1671" s="1044"/>
      <c r="P1671" s="1044">
        <f>P1476</f>
        <v>0</v>
      </c>
    </row>
    <row r="1672" spans="1:21" ht="15">
      <c r="H1672" s="583"/>
      <c r="I1672" s="887" t="s">
        <v>3351</v>
      </c>
      <c r="J1672" s="906"/>
      <c r="K1672" s="906"/>
      <c r="L1672" s="979"/>
      <c r="N1672" s="888"/>
      <c r="O1672" s="888"/>
      <c r="P1672" s="1044">
        <f>P1536</f>
        <v>0</v>
      </c>
    </row>
    <row r="1673" spans="1:21" ht="15">
      <c r="H1673" s="979"/>
      <c r="I1673" s="887" t="s">
        <v>3352</v>
      </c>
      <c r="J1673" s="944"/>
      <c r="K1673" s="944"/>
      <c r="L1673" s="944"/>
      <c r="M1673" s="944"/>
      <c r="N1673" s="991"/>
      <c r="O1673" s="992"/>
      <c r="P1673" s="1044">
        <f>P1570</f>
        <v>0</v>
      </c>
    </row>
    <row r="1674" spans="1:21">
      <c r="H1674" s="586" t="s">
        <v>3353</v>
      </c>
      <c r="I1674" s="888"/>
      <c r="J1674" s="938"/>
      <c r="K1674" s="938"/>
      <c r="L1674" s="938"/>
      <c r="M1674" s="935"/>
      <c r="N1674" s="888"/>
      <c r="O1674" s="786"/>
      <c r="P1674" s="1044">
        <f>P1670-P1671-P1672-P1673</f>
        <v>10</v>
      </c>
    </row>
    <row r="1678" spans="1:21" ht="15.75">
      <c r="A1678" s="1077" t="s">
        <v>3347</v>
      </c>
    </row>
    <row r="1679" spans="1:21" ht="16.5">
      <c r="A1679" s="1078">
        <f>'Part I-Project Information'!F1700</f>
        <v>0</v>
      </c>
    </row>
    <row r="1680" spans="1:21" ht="16.5">
      <c r="A1680" s="1078" t="str">
        <f>CONCATENATE('Part I-Project Information'!F1704,", ", 'Part I-Project Information'!J1705," County")</f>
        <v>,  County</v>
      </c>
    </row>
    <row r="1681" spans="1:1" ht="16.5">
      <c r="A1681" s="1079" t="str">
        <f>'Pt IX B-Super Proj Concept Narr'!A4</f>
        <v/>
      </c>
    </row>
    <row r="1682" spans="1:1">
      <c r="A1682" s="624"/>
    </row>
    <row r="1683" spans="1:1">
      <c r="A1683" s="2128" t="str">
        <f>'Pt IX B-Super Proj Concept Narr'!A6</f>
        <v>&lt;&lt; Enter paragraph(s) here. Press and hold Alt-Enter to start new paragraphs. &gt;&gt;</v>
      </c>
    </row>
    <row r="1684" spans="1:1">
      <c r="A1684" s="2128"/>
    </row>
    <row r="1685" spans="1:1">
      <c r="A1685" s="2128"/>
    </row>
    <row r="1686" spans="1:1">
      <c r="A1686" s="2128"/>
    </row>
    <row r="1687" spans="1:1">
      <c r="A1687" s="2128"/>
    </row>
    <row r="1688" spans="1:1">
      <c r="A1688" s="2128"/>
    </row>
    <row r="1689" spans="1:1">
      <c r="A1689" s="2128"/>
    </row>
    <row r="1690" spans="1:1">
      <c r="A1690" s="2128"/>
    </row>
    <row r="1691" spans="1:1">
      <c r="A1691" s="2128"/>
    </row>
    <row r="1692" spans="1:1">
      <c r="A1692" s="2128"/>
    </row>
    <row r="1693" spans="1:1">
      <c r="A1693" s="2128"/>
    </row>
    <row r="1694" spans="1:1">
      <c r="A1694" s="2128"/>
    </row>
    <row r="1695" spans="1:1">
      <c r="A1695" s="2128"/>
    </row>
    <row r="1696" spans="1:1">
      <c r="A1696" s="2128"/>
    </row>
    <row r="1697" spans="1:1">
      <c r="A1697" s="2128"/>
    </row>
    <row r="1698" spans="1:1">
      <c r="A1698" s="2128"/>
    </row>
    <row r="1699" spans="1:1">
      <c r="A1699" s="2128"/>
    </row>
    <row r="1700" spans="1:1">
      <c r="A1700" s="2128"/>
    </row>
    <row r="1701" spans="1:1">
      <c r="A1701" s="2128"/>
    </row>
  </sheetData>
  <sheetProtection password="F5C1" sheet="1" objects="1" scenarios="1" selectLockedCells="1" selectUnlockedCells="1"/>
  <mergeCells count="1860">
    <mergeCell ref="O1608:O1612"/>
    <mergeCell ref="E1614:F1614"/>
    <mergeCell ref="I1614:J1614"/>
    <mergeCell ref="M1615:N1615"/>
    <mergeCell ref="O1615:O1619"/>
    <mergeCell ref="P1615:P1619"/>
    <mergeCell ref="M1616:N1616"/>
    <mergeCell ref="M1621:N1621"/>
    <mergeCell ref="O1621:O1625"/>
    <mergeCell ref="P1621:P1625"/>
    <mergeCell ref="M1622:N1622"/>
    <mergeCell ref="M1623:N1623"/>
    <mergeCell ref="K1598:O1598"/>
    <mergeCell ref="M1600:P1600"/>
    <mergeCell ref="M1624:N1624"/>
    <mergeCell ref="M1625:N1625"/>
    <mergeCell ref="D1655:K1655"/>
    <mergeCell ref="M1609:N1609"/>
    <mergeCell ref="M1610:N1610"/>
    <mergeCell ref="M1611:N1611"/>
    <mergeCell ref="M1612:N1612"/>
    <mergeCell ref="M1608:N1608"/>
    <mergeCell ref="A1658:P1658"/>
    <mergeCell ref="A1660:P1660"/>
    <mergeCell ref="A1666:P1666"/>
    <mergeCell ref="A1668:P1668"/>
    <mergeCell ref="M1617:N1617"/>
    <mergeCell ref="M1618:N1618"/>
    <mergeCell ref="M1619:N1619"/>
    <mergeCell ref="A1640:P1640"/>
    <mergeCell ref="A1642:P1642"/>
    <mergeCell ref="K1646:M1646"/>
    <mergeCell ref="I1647:J1647"/>
    <mergeCell ref="K1647:M1647"/>
    <mergeCell ref="K1648:M1648"/>
    <mergeCell ref="K1649:M1649"/>
    <mergeCell ref="K1650:M1650"/>
    <mergeCell ref="K1651:M1651"/>
    <mergeCell ref="D1653:K1653"/>
    <mergeCell ref="D1654:K1654"/>
    <mergeCell ref="O1628:O1632"/>
    <mergeCell ref="M1630:N1630"/>
    <mergeCell ref="M1631:N1631"/>
    <mergeCell ref="M1632:N1632"/>
    <mergeCell ref="O1634:O1638"/>
    <mergeCell ref="M1637:N1637"/>
    <mergeCell ref="M1638:N1638"/>
    <mergeCell ref="M1628:N1628"/>
    <mergeCell ref="M1629:N1629"/>
    <mergeCell ref="M1634:N1634"/>
    <mergeCell ref="M1635:N1635"/>
    <mergeCell ref="M1636:N1636"/>
    <mergeCell ref="E1627:F1627"/>
    <mergeCell ref="I1627:J1627"/>
    <mergeCell ref="C1584:L1584"/>
    <mergeCell ref="O1584:O1585"/>
    <mergeCell ref="P1584:P1585"/>
    <mergeCell ref="C1585:L1585"/>
    <mergeCell ref="C1587:L1587"/>
    <mergeCell ref="A1590:P1590"/>
    <mergeCell ref="A1592:P1592"/>
    <mergeCell ref="D1598:G1598"/>
    <mergeCell ref="B1600:D1600"/>
    <mergeCell ref="E1600:F1600"/>
    <mergeCell ref="I1600:J1600"/>
    <mergeCell ref="M1601:N1601"/>
    <mergeCell ref="M1602:N1602"/>
    <mergeCell ref="O1602:O1606"/>
    <mergeCell ref="M1603:N1603"/>
    <mergeCell ref="M1604:N1604"/>
    <mergeCell ref="M1605:N1605"/>
    <mergeCell ref="M1606:N1606"/>
    <mergeCell ref="B1595:N1595"/>
    <mergeCell ref="B1564:L1564"/>
    <mergeCell ref="A1566:P1566"/>
    <mergeCell ref="A1568:P1568"/>
    <mergeCell ref="D1571:E1571"/>
    <mergeCell ref="F1571:G1571"/>
    <mergeCell ref="C1573:L1573"/>
    <mergeCell ref="O1573:O1574"/>
    <mergeCell ref="P1573:P1574"/>
    <mergeCell ref="C1574:L1574"/>
    <mergeCell ref="C1576:L1576"/>
    <mergeCell ref="O1576:O1577"/>
    <mergeCell ref="P1576:P1577"/>
    <mergeCell ref="C1577:L1577"/>
    <mergeCell ref="C1579:L1579"/>
    <mergeCell ref="C1581:L1581"/>
    <mergeCell ref="O1581:O1582"/>
    <mergeCell ref="P1581:P1582"/>
    <mergeCell ref="C1582:L1582"/>
    <mergeCell ref="I1524:J1524"/>
    <mergeCell ref="I1528:J1528"/>
    <mergeCell ref="M1528:N1528"/>
    <mergeCell ref="E1529:J1529"/>
    <mergeCell ref="L1529:N1529"/>
    <mergeCell ref="E1530:P1530"/>
    <mergeCell ref="A1532:P1532"/>
    <mergeCell ref="A1534:P1534"/>
    <mergeCell ref="B1538:L1538"/>
    <mergeCell ref="A1544:P1544"/>
    <mergeCell ref="A1546:P1546"/>
    <mergeCell ref="C1550:M1550"/>
    <mergeCell ref="C1551:M1551"/>
    <mergeCell ref="H1553:K1553"/>
    <mergeCell ref="A1555:P1555"/>
    <mergeCell ref="A1557:P1557"/>
    <mergeCell ref="E1560:H1560"/>
    <mergeCell ref="B1542:L1542"/>
    <mergeCell ref="J1493:L1493"/>
    <mergeCell ref="A1499:I1499"/>
    <mergeCell ref="J1499:P1499"/>
    <mergeCell ref="I1509:J1509"/>
    <mergeCell ref="I1510:J1510"/>
    <mergeCell ref="I1511:J1511"/>
    <mergeCell ref="I1512:J1512"/>
    <mergeCell ref="I1513:J1513"/>
    <mergeCell ref="I1514:J1514"/>
    <mergeCell ref="I1515:J1515"/>
    <mergeCell ref="I1516:J1516"/>
    <mergeCell ref="I1517:J1517"/>
    <mergeCell ref="I1518:J1518"/>
    <mergeCell ref="I1519:J1519"/>
    <mergeCell ref="I1520:J1520"/>
    <mergeCell ref="I1521:J1521"/>
    <mergeCell ref="I1523:J1523"/>
    <mergeCell ref="A1439:P1439"/>
    <mergeCell ref="A1441:P1441"/>
    <mergeCell ref="C1445:L1445"/>
    <mergeCell ref="K1446:M1446"/>
    <mergeCell ref="A1454:P1454"/>
    <mergeCell ref="A1456:P1456"/>
    <mergeCell ref="B1460:N1460"/>
    <mergeCell ref="B1461:N1461"/>
    <mergeCell ref="A1464:P1464"/>
    <mergeCell ref="A1466:P1466"/>
    <mergeCell ref="A1472:P1472"/>
    <mergeCell ref="A1474:P1474"/>
    <mergeCell ref="A1481:P1481"/>
    <mergeCell ref="A1483:P1483"/>
    <mergeCell ref="B1487:M1487"/>
    <mergeCell ref="A1489:I1489"/>
    <mergeCell ref="J1489:P1489"/>
    <mergeCell ref="A1385:P1385"/>
    <mergeCell ref="J1387:L1387"/>
    <mergeCell ref="C1391:L1391"/>
    <mergeCell ref="C1393:L1393"/>
    <mergeCell ref="A1401:P1401"/>
    <mergeCell ref="A1403:P1403"/>
    <mergeCell ref="A1412:P1412"/>
    <mergeCell ref="A1414:P1414"/>
    <mergeCell ref="J1416:L1416"/>
    <mergeCell ref="I1417:P1417"/>
    <mergeCell ref="H1419:I1419"/>
    <mergeCell ref="H1421:I1421"/>
    <mergeCell ref="L1421:M1421"/>
    <mergeCell ref="H1422:I1422"/>
    <mergeCell ref="L1422:M1422"/>
    <mergeCell ref="L1424:M1424"/>
    <mergeCell ref="B1437:L1437"/>
    <mergeCell ref="A1346:E1346"/>
    <mergeCell ref="G1346:J1346"/>
    <mergeCell ref="L1346:O1346"/>
    <mergeCell ref="K1348:L1348"/>
    <mergeCell ref="O1349:O1350"/>
    <mergeCell ref="A1352:P1352"/>
    <mergeCell ref="A1354:P1354"/>
    <mergeCell ref="H1356:K1358"/>
    <mergeCell ref="A1361:P1361"/>
    <mergeCell ref="A1363:P1363"/>
    <mergeCell ref="B1367:L1367"/>
    <mergeCell ref="B1368:L1368"/>
    <mergeCell ref="A1375:P1375"/>
    <mergeCell ref="A1377:P1377"/>
    <mergeCell ref="L1380:O1380"/>
    <mergeCell ref="L1381:O1381"/>
    <mergeCell ref="A1383:P1383"/>
    <mergeCell ref="A1340:E1340"/>
    <mergeCell ref="G1340:J1340"/>
    <mergeCell ref="L1340:O1340"/>
    <mergeCell ref="A1341:E1341"/>
    <mergeCell ref="G1341:J1341"/>
    <mergeCell ref="L1341:O1341"/>
    <mergeCell ref="A1342:E1342"/>
    <mergeCell ref="G1342:J1342"/>
    <mergeCell ref="L1342:O1342"/>
    <mergeCell ref="A1343:E1343"/>
    <mergeCell ref="G1343:J1343"/>
    <mergeCell ref="L1343:O1343"/>
    <mergeCell ref="A1344:E1344"/>
    <mergeCell ref="G1344:J1344"/>
    <mergeCell ref="L1344:O1344"/>
    <mergeCell ref="A1345:E1345"/>
    <mergeCell ref="G1345:J1345"/>
    <mergeCell ref="L1345:O1345"/>
    <mergeCell ref="A1319:P1319"/>
    <mergeCell ref="A1332:P1332"/>
    <mergeCell ref="A1334:D1334"/>
    <mergeCell ref="G1334:I1334"/>
    <mergeCell ref="A1335:E1335"/>
    <mergeCell ref="G1335:J1335"/>
    <mergeCell ref="L1335:O1335"/>
    <mergeCell ref="A1336:E1336"/>
    <mergeCell ref="G1336:J1336"/>
    <mergeCell ref="L1336:O1336"/>
    <mergeCell ref="A1337:E1337"/>
    <mergeCell ref="G1337:J1337"/>
    <mergeCell ref="L1337:O1337"/>
    <mergeCell ref="A1338:E1338"/>
    <mergeCell ref="G1338:J1338"/>
    <mergeCell ref="L1338:O1338"/>
    <mergeCell ref="A1339:E1339"/>
    <mergeCell ref="G1339:J1339"/>
    <mergeCell ref="L1339:O1339"/>
    <mergeCell ref="A5:A23"/>
    <mergeCell ref="A25:P25"/>
    <mergeCell ref="O27:P27"/>
    <mergeCell ref="O28:P28"/>
    <mergeCell ref="J30:K30"/>
    <mergeCell ref="J31:K31"/>
    <mergeCell ref="F47:L47"/>
    <mergeCell ref="O47:P47"/>
    <mergeCell ref="F48:L48"/>
    <mergeCell ref="O48:P48"/>
    <mergeCell ref="F49:L49"/>
    <mergeCell ref="O49:P49"/>
    <mergeCell ref="F40:H40"/>
    <mergeCell ref="O40:P40"/>
    <mergeCell ref="J41:K41"/>
    <mergeCell ref="O41:P41"/>
    <mergeCell ref="F42:H42"/>
    <mergeCell ref="L42:P42"/>
    <mergeCell ref="F33:H33"/>
    <mergeCell ref="O33:P33"/>
    <mergeCell ref="O34:P34"/>
    <mergeCell ref="F38:L38"/>
    <mergeCell ref="N38:P38"/>
    <mergeCell ref="F39:L39"/>
    <mergeCell ref="O39:P39"/>
    <mergeCell ref="F57:G57"/>
    <mergeCell ref="H57:I57"/>
    <mergeCell ref="J57:K57"/>
    <mergeCell ref="N57:O57"/>
    <mergeCell ref="F59:K59"/>
    <mergeCell ref="N59:P59"/>
    <mergeCell ref="G53:H53"/>
    <mergeCell ref="O53:P53"/>
    <mergeCell ref="F55:G55"/>
    <mergeCell ref="H55:I55"/>
    <mergeCell ref="J55:K55"/>
    <mergeCell ref="F56:G56"/>
    <mergeCell ref="H56:I56"/>
    <mergeCell ref="J56:K56"/>
    <mergeCell ref="N56:P56"/>
    <mergeCell ref="F50:L50"/>
    <mergeCell ref="O50:P50"/>
    <mergeCell ref="F51:H51"/>
    <mergeCell ref="J51:K51"/>
    <mergeCell ref="O51:P51"/>
    <mergeCell ref="F52:H52"/>
    <mergeCell ref="J52:K52"/>
    <mergeCell ref="H99:J99"/>
    <mergeCell ref="H109:I109"/>
    <mergeCell ref="E113:L113"/>
    <mergeCell ref="M113:N113"/>
    <mergeCell ref="O113:P113"/>
    <mergeCell ref="E114:L114"/>
    <mergeCell ref="M114:N114"/>
    <mergeCell ref="O114:P114"/>
    <mergeCell ref="I73:I74"/>
    <mergeCell ref="H90:I90"/>
    <mergeCell ref="K90:L90"/>
    <mergeCell ref="N90:P90"/>
    <mergeCell ref="K92:L92"/>
    <mergeCell ref="K95:L95"/>
    <mergeCell ref="F60:H60"/>
    <mergeCell ref="J60:L60"/>
    <mergeCell ref="N60:P60"/>
    <mergeCell ref="F61:K61"/>
    <mergeCell ref="N61:P61"/>
    <mergeCell ref="F62:G62"/>
    <mergeCell ref="I62:K62"/>
    <mergeCell ref="N62:O62"/>
    <mergeCell ref="C131:E131"/>
    <mergeCell ref="F131:I131"/>
    <mergeCell ref="J131:L131"/>
    <mergeCell ref="M131:P131"/>
    <mergeCell ref="C132:E132"/>
    <mergeCell ref="F132:I132"/>
    <mergeCell ref="J132:L132"/>
    <mergeCell ref="M132:P132"/>
    <mergeCell ref="C129:E129"/>
    <mergeCell ref="F129:I129"/>
    <mergeCell ref="J129:L129"/>
    <mergeCell ref="M129:P129"/>
    <mergeCell ref="C130:E130"/>
    <mergeCell ref="F130:I130"/>
    <mergeCell ref="J130:L130"/>
    <mergeCell ref="M130:P130"/>
    <mergeCell ref="E115:G115"/>
    <mergeCell ref="K115:L115"/>
    <mergeCell ref="E116:G116"/>
    <mergeCell ref="I116:K116"/>
    <mergeCell ref="M116:P116"/>
    <mergeCell ref="E117:G117"/>
    <mergeCell ref="I117:J117"/>
    <mergeCell ref="L117:M117"/>
    <mergeCell ref="O117:P117"/>
    <mergeCell ref="C141:E141"/>
    <mergeCell ref="F141:I141"/>
    <mergeCell ref="J141:L141"/>
    <mergeCell ref="M141:P141"/>
    <mergeCell ref="C142:E142"/>
    <mergeCell ref="F142:I142"/>
    <mergeCell ref="J142:L142"/>
    <mergeCell ref="M142:P142"/>
    <mergeCell ref="C139:E139"/>
    <mergeCell ref="F139:I139"/>
    <mergeCell ref="J139:L139"/>
    <mergeCell ref="M139:P139"/>
    <mergeCell ref="C140:E140"/>
    <mergeCell ref="F140:I140"/>
    <mergeCell ref="J140:L140"/>
    <mergeCell ref="M140:P140"/>
    <mergeCell ref="C133:E133"/>
    <mergeCell ref="F133:I133"/>
    <mergeCell ref="J133:L133"/>
    <mergeCell ref="M133:P133"/>
    <mergeCell ref="C135:P136"/>
    <mergeCell ref="C138:E138"/>
    <mergeCell ref="F138:I138"/>
    <mergeCell ref="J138:L138"/>
    <mergeCell ref="M138:P138"/>
    <mergeCell ref="J169:K169"/>
    <mergeCell ref="M169:O169"/>
    <mergeCell ref="J171:K171"/>
    <mergeCell ref="M171:O171"/>
    <mergeCell ref="C175:F175"/>
    <mergeCell ref="L175:M175"/>
    <mergeCell ref="E165:K165"/>
    <mergeCell ref="M165:P165"/>
    <mergeCell ref="E166:H166"/>
    <mergeCell ref="J166:K166"/>
    <mergeCell ref="M166:O166"/>
    <mergeCell ref="E167:G167"/>
    <mergeCell ref="I167:K167"/>
    <mergeCell ref="M167:O167"/>
    <mergeCell ref="H148:I148"/>
    <mergeCell ref="O149:P149"/>
    <mergeCell ref="O150:P150"/>
    <mergeCell ref="H151:I151"/>
    <mergeCell ref="E164:K164"/>
    <mergeCell ref="M164:P164"/>
    <mergeCell ref="Q213:S213"/>
    <mergeCell ref="J214:K214"/>
    <mergeCell ref="Q214:S214"/>
    <mergeCell ref="H215:I215"/>
    <mergeCell ref="H211:N211"/>
    <mergeCell ref="Q211:S211"/>
    <mergeCell ref="Q212:S212"/>
    <mergeCell ref="Q202:S202"/>
    <mergeCell ref="H200:N200"/>
    <mergeCell ref="Q200:S200"/>
    <mergeCell ref="Q201:S201"/>
    <mergeCell ref="H188:I188"/>
    <mergeCell ref="H189:I189"/>
    <mergeCell ref="H190:I190"/>
    <mergeCell ref="A193:J193"/>
    <mergeCell ref="K193:P193"/>
    <mergeCell ref="L176:M176"/>
    <mergeCell ref="L177:M177"/>
    <mergeCell ref="N182:O182"/>
    <mergeCell ref="O183:P183"/>
    <mergeCell ref="O184:P184"/>
    <mergeCell ref="O185:P185"/>
    <mergeCell ref="H204:I204"/>
    <mergeCell ref="L204:M204"/>
    <mergeCell ref="O204:S204"/>
    <mergeCell ref="H212:N212"/>
    <mergeCell ref="H213:J213"/>
    <mergeCell ref="L213:N213"/>
    <mergeCell ref="L215:M215"/>
    <mergeCell ref="O215:S215"/>
    <mergeCell ref="J240:K240"/>
    <mergeCell ref="Q240:S240"/>
    <mergeCell ref="H241:I241"/>
    <mergeCell ref="H237:N237"/>
    <mergeCell ref="Q237:S237"/>
    <mergeCell ref="Q238:S238"/>
    <mergeCell ref="Q239:S239"/>
    <mergeCell ref="Q233:S233"/>
    <mergeCell ref="H233:J233"/>
    <mergeCell ref="L233:N233"/>
    <mergeCell ref="J234:K234"/>
    <mergeCell ref="H231:N231"/>
    <mergeCell ref="Q231:S231"/>
    <mergeCell ref="Q232:S232"/>
    <mergeCell ref="H232:N232"/>
    <mergeCell ref="Q224:S224"/>
    <mergeCell ref="Q225:S225"/>
    <mergeCell ref="H224:N224"/>
    <mergeCell ref="H225:J225"/>
    <mergeCell ref="L239:N239"/>
    <mergeCell ref="L225:N225"/>
    <mergeCell ref="J226:K226"/>
    <mergeCell ref="Q226:S226"/>
    <mergeCell ref="H227:I227"/>
    <mergeCell ref="L227:M227"/>
    <mergeCell ref="O227:S227"/>
    <mergeCell ref="H273:J273"/>
    <mergeCell ref="L273:N273"/>
    <mergeCell ref="J274:K274"/>
    <mergeCell ref="H271:N271"/>
    <mergeCell ref="Q271:S271"/>
    <mergeCell ref="Q272:S272"/>
    <mergeCell ref="H272:N272"/>
    <mergeCell ref="Q266:S266"/>
    <mergeCell ref="Q267:S267"/>
    <mergeCell ref="H266:N266"/>
    <mergeCell ref="H267:J267"/>
    <mergeCell ref="H265:N265"/>
    <mergeCell ref="Q265:S265"/>
    <mergeCell ref="H263:I263"/>
    <mergeCell ref="L263:M263"/>
    <mergeCell ref="O263:S263"/>
    <mergeCell ref="H259:N259"/>
    <mergeCell ref="Q259:S259"/>
    <mergeCell ref="Q260:S260"/>
    <mergeCell ref="Q261:S261"/>
    <mergeCell ref="H261:J261"/>
    <mergeCell ref="L261:N261"/>
    <mergeCell ref="J262:K262"/>
    <mergeCell ref="Q262:S262"/>
    <mergeCell ref="H310:N310"/>
    <mergeCell ref="Q310:S310"/>
    <mergeCell ref="Q311:S311"/>
    <mergeCell ref="H311:N311"/>
    <mergeCell ref="Q305:S305"/>
    <mergeCell ref="Q306:S306"/>
    <mergeCell ref="H305:N305"/>
    <mergeCell ref="H306:J306"/>
    <mergeCell ref="H304:N304"/>
    <mergeCell ref="Q304:S304"/>
    <mergeCell ref="H301:I301"/>
    <mergeCell ref="L301:M301"/>
    <mergeCell ref="O301:S301"/>
    <mergeCell ref="H297:N297"/>
    <mergeCell ref="Q297:S297"/>
    <mergeCell ref="Q298:S298"/>
    <mergeCell ref="Q299:S299"/>
    <mergeCell ref="A337:E337"/>
    <mergeCell ref="F337:G337"/>
    <mergeCell ref="H337:K337"/>
    <mergeCell ref="L337:O337"/>
    <mergeCell ref="P337:Q337"/>
    <mergeCell ref="R337:S337"/>
    <mergeCell ref="I326:S326"/>
    <mergeCell ref="I320:S320"/>
    <mergeCell ref="I321:S321"/>
    <mergeCell ref="I322:S322"/>
    <mergeCell ref="I323:S323"/>
    <mergeCell ref="I324:S324"/>
    <mergeCell ref="I325:S325"/>
    <mergeCell ref="Q312:S312"/>
    <mergeCell ref="H312:J312"/>
    <mergeCell ref="L312:N312"/>
    <mergeCell ref="J313:K313"/>
    <mergeCell ref="Q313:S313"/>
    <mergeCell ref="A340:E340"/>
    <mergeCell ref="F340:G340"/>
    <mergeCell ref="H340:K340"/>
    <mergeCell ref="L340:O340"/>
    <mergeCell ref="P340:Q340"/>
    <mergeCell ref="R340:S340"/>
    <mergeCell ref="A339:E339"/>
    <mergeCell ref="F339:G339"/>
    <mergeCell ref="H339:K339"/>
    <mergeCell ref="L339:O339"/>
    <mergeCell ref="P339:Q339"/>
    <mergeCell ref="R339:S339"/>
    <mergeCell ref="A338:E338"/>
    <mergeCell ref="F338:G338"/>
    <mergeCell ref="H338:K338"/>
    <mergeCell ref="L338:O338"/>
    <mergeCell ref="P338:Q338"/>
    <mergeCell ref="R338:S338"/>
    <mergeCell ref="P344:Q344"/>
    <mergeCell ref="R344:S344"/>
    <mergeCell ref="A343:E343"/>
    <mergeCell ref="F343:G343"/>
    <mergeCell ref="H343:K343"/>
    <mergeCell ref="L343:O343"/>
    <mergeCell ref="P343:Q343"/>
    <mergeCell ref="R343:S343"/>
    <mergeCell ref="A342:E342"/>
    <mergeCell ref="F342:G342"/>
    <mergeCell ref="H342:K342"/>
    <mergeCell ref="L342:O342"/>
    <mergeCell ref="P342:Q342"/>
    <mergeCell ref="R342:S342"/>
    <mergeCell ref="A341:E341"/>
    <mergeCell ref="F341:G341"/>
    <mergeCell ref="H341:K341"/>
    <mergeCell ref="L341:O341"/>
    <mergeCell ref="P341:Q341"/>
    <mergeCell ref="R341:S341"/>
    <mergeCell ref="F344:G344"/>
    <mergeCell ref="H344:K344"/>
    <mergeCell ref="L344:O344"/>
    <mergeCell ref="R349:S349"/>
    <mergeCell ref="A196:S196"/>
    <mergeCell ref="H201:N201"/>
    <mergeCell ref="H202:J202"/>
    <mergeCell ref="L202:N202"/>
    <mergeCell ref="J203:K203"/>
    <mergeCell ref="M203:N203"/>
    <mergeCell ref="Q203:S203"/>
    <mergeCell ref="A348:E348"/>
    <mergeCell ref="F348:G348"/>
    <mergeCell ref="H348:K348"/>
    <mergeCell ref="L348:O348"/>
    <mergeCell ref="P348:Q348"/>
    <mergeCell ref="R348:S348"/>
    <mergeCell ref="A347:E347"/>
    <mergeCell ref="F347:G347"/>
    <mergeCell ref="H347:K347"/>
    <mergeCell ref="L347:O347"/>
    <mergeCell ref="P347:Q347"/>
    <mergeCell ref="R347:S347"/>
    <mergeCell ref="A346:E346"/>
    <mergeCell ref="F346:G346"/>
    <mergeCell ref="H346:K346"/>
    <mergeCell ref="L346:O346"/>
    <mergeCell ref="P346:Q346"/>
    <mergeCell ref="R346:S346"/>
    <mergeCell ref="Q234:S234"/>
    <mergeCell ref="H235:I235"/>
    <mergeCell ref="L235:M235"/>
    <mergeCell ref="O235:S235"/>
    <mergeCell ref="H238:N238"/>
    <mergeCell ref="H239:J239"/>
    <mergeCell ref="H218:N218"/>
    <mergeCell ref="H219:J219"/>
    <mergeCell ref="L219:N219"/>
    <mergeCell ref="J220:K220"/>
    <mergeCell ref="Q220:S220"/>
    <mergeCell ref="H223:N223"/>
    <mergeCell ref="Q223:S223"/>
    <mergeCell ref="H221:I221"/>
    <mergeCell ref="L221:M221"/>
    <mergeCell ref="O221:S221"/>
    <mergeCell ref="H217:N217"/>
    <mergeCell ref="Q217:S217"/>
    <mergeCell ref="Q218:S218"/>
    <mergeCell ref="Q219:S219"/>
    <mergeCell ref="L257:M257"/>
    <mergeCell ref="O257:S257"/>
    <mergeCell ref="H260:N260"/>
    <mergeCell ref="H249:I249"/>
    <mergeCell ref="L249:M249"/>
    <mergeCell ref="O249:S249"/>
    <mergeCell ref="H254:N254"/>
    <mergeCell ref="H255:J255"/>
    <mergeCell ref="L255:N255"/>
    <mergeCell ref="L241:M241"/>
    <mergeCell ref="O241:S241"/>
    <mergeCell ref="H246:N246"/>
    <mergeCell ref="H247:J247"/>
    <mergeCell ref="L247:N247"/>
    <mergeCell ref="J248:K248"/>
    <mergeCell ref="Q248:S248"/>
    <mergeCell ref="Q255:S255"/>
    <mergeCell ref="J256:K256"/>
    <mergeCell ref="Q256:S256"/>
    <mergeCell ref="H257:I257"/>
    <mergeCell ref="H253:N253"/>
    <mergeCell ref="Q253:S253"/>
    <mergeCell ref="Q254:S254"/>
    <mergeCell ref="Q246:S246"/>
    <mergeCell ref="Q247:S247"/>
    <mergeCell ref="H245:N245"/>
    <mergeCell ref="Q245:S245"/>
    <mergeCell ref="L283:M283"/>
    <mergeCell ref="O283:S283"/>
    <mergeCell ref="H286:N286"/>
    <mergeCell ref="H287:J287"/>
    <mergeCell ref="L287:N287"/>
    <mergeCell ref="J288:K288"/>
    <mergeCell ref="Q288:S288"/>
    <mergeCell ref="Q274:S274"/>
    <mergeCell ref="H275:I275"/>
    <mergeCell ref="L275:M275"/>
    <mergeCell ref="O275:S275"/>
    <mergeCell ref="H280:N280"/>
    <mergeCell ref="H281:J281"/>
    <mergeCell ref="L281:N281"/>
    <mergeCell ref="L267:N267"/>
    <mergeCell ref="J268:K268"/>
    <mergeCell ref="Q268:S268"/>
    <mergeCell ref="H269:I269"/>
    <mergeCell ref="L269:M269"/>
    <mergeCell ref="O269:S269"/>
    <mergeCell ref="Q286:S286"/>
    <mergeCell ref="Q287:S287"/>
    <mergeCell ref="H285:N285"/>
    <mergeCell ref="Q285:S285"/>
    <mergeCell ref="J282:K282"/>
    <mergeCell ref="Q282:S282"/>
    <mergeCell ref="H283:I283"/>
    <mergeCell ref="H279:N279"/>
    <mergeCell ref="Q279:S279"/>
    <mergeCell ref="Q280:S280"/>
    <mergeCell ref="Q281:S281"/>
    <mergeCell ref="Q273:S273"/>
    <mergeCell ref="L306:N306"/>
    <mergeCell ref="J307:K307"/>
    <mergeCell ref="Q307:S307"/>
    <mergeCell ref="H308:I308"/>
    <mergeCell ref="L308:M308"/>
    <mergeCell ref="O308:S308"/>
    <mergeCell ref="L295:M295"/>
    <mergeCell ref="O295:S295"/>
    <mergeCell ref="H298:N298"/>
    <mergeCell ref="H299:J299"/>
    <mergeCell ref="L299:N299"/>
    <mergeCell ref="J300:K300"/>
    <mergeCell ref="Q300:S300"/>
    <mergeCell ref="H289:I289"/>
    <mergeCell ref="L289:M289"/>
    <mergeCell ref="O289:S289"/>
    <mergeCell ref="H292:N292"/>
    <mergeCell ref="H293:J293"/>
    <mergeCell ref="L293:N293"/>
    <mergeCell ref="Q293:S293"/>
    <mergeCell ref="J294:K294"/>
    <mergeCell ref="Q294:S294"/>
    <mergeCell ref="H295:I295"/>
    <mergeCell ref="H291:N291"/>
    <mergeCell ref="Q291:S291"/>
    <mergeCell ref="Q292:S292"/>
    <mergeCell ref="A354:M354"/>
    <mergeCell ref="N354:S354"/>
    <mergeCell ref="A357:Q357"/>
    <mergeCell ref="P360:Q360"/>
    <mergeCell ref="P363:Q363"/>
    <mergeCell ref="N364:Q364"/>
    <mergeCell ref="A349:E349"/>
    <mergeCell ref="F349:G349"/>
    <mergeCell ref="H349:K349"/>
    <mergeCell ref="L349:O349"/>
    <mergeCell ref="P349:Q349"/>
    <mergeCell ref="R350:S350"/>
    <mergeCell ref="H314:I314"/>
    <mergeCell ref="L314:M314"/>
    <mergeCell ref="O314:S314"/>
    <mergeCell ref="I327:S327"/>
    <mergeCell ref="A332:E336"/>
    <mergeCell ref="F332:G336"/>
    <mergeCell ref="H332:K336"/>
    <mergeCell ref="L332:O336"/>
    <mergeCell ref="P332:Q336"/>
    <mergeCell ref="R332:S336"/>
    <mergeCell ref="A345:E345"/>
    <mergeCell ref="F345:G345"/>
    <mergeCell ref="H345:K345"/>
    <mergeCell ref="L345:O345"/>
    <mergeCell ref="P345:Q345"/>
    <mergeCell ref="R345:S345"/>
    <mergeCell ref="A344:E344"/>
    <mergeCell ref="B371:D371"/>
    <mergeCell ref="H371:K371"/>
    <mergeCell ref="L371:M371"/>
    <mergeCell ref="N371:O371"/>
    <mergeCell ref="P371:Q371"/>
    <mergeCell ref="B372:D372"/>
    <mergeCell ref="H372:K372"/>
    <mergeCell ref="L372:M372"/>
    <mergeCell ref="N372:O372"/>
    <mergeCell ref="P372:Q372"/>
    <mergeCell ref="N367:O367"/>
    <mergeCell ref="H369:K369"/>
    <mergeCell ref="L369:M369"/>
    <mergeCell ref="N369:O369"/>
    <mergeCell ref="P369:Q369"/>
    <mergeCell ref="B370:D370"/>
    <mergeCell ref="H370:K370"/>
    <mergeCell ref="L370:M370"/>
    <mergeCell ref="N370:O370"/>
    <mergeCell ref="P370:Q370"/>
    <mergeCell ref="B377:D377"/>
    <mergeCell ref="H377:K377"/>
    <mergeCell ref="L377:M377"/>
    <mergeCell ref="D378:G378"/>
    <mergeCell ref="H378:K378"/>
    <mergeCell ref="L378:M378"/>
    <mergeCell ref="B375:D375"/>
    <mergeCell ref="H375:K375"/>
    <mergeCell ref="L375:M375"/>
    <mergeCell ref="N375:O375"/>
    <mergeCell ref="P375:Q375"/>
    <mergeCell ref="B376:D376"/>
    <mergeCell ref="H376:K376"/>
    <mergeCell ref="L376:M376"/>
    <mergeCell ref="B373:D373"/>
    <mergeCell ref="H373:K373"/>
    <mergeCell ref="L373:M373"/>
    <mergeCell ref="N373:O373"/>
    <mergeCell ref="P373:Q373"/>
    <mergeCell ref="B374:D374"/>
    <mergeCell ref="H374:K374"/>
    <mergeCell ref="L374:M374"/>
    <mergeCell ref="N374:O374"/>
    <mergeCell ref="P374:Q374"/>
    <mergeCell ref="E387:G387"/>
    <mergeCell ref="H387:I387"/>
    <mergeCell ref="O387:P387"/>
    <mergeCell ref="B388:D388"/>
    <mergeCell ref="E388:G388"/>
    <mergeCell ref="H388:I388"/>
    <mergeCell ref="M388:N388"/>
    <mergeCell ref="O388:P388"/>
    <mergeCell ref="L381:M381"/>
    <mergeCell ref="L382:M382"/>
    <mergeCell ref="N382:Q383"/>
    <mergeCell ref="L383:M383"/>
    <mergeCell ref="H386:I386"/>
    <mergeCell ref="M386:N387"/>
    <mergeCell ref="Q386:Q387"/>
    <mergeCell ref="D379:G379"/>
    <mergeCell ref="H379:K379"/>
    <mergeCell ref="L379:M379"/>
    <mergeCell ref="D380:G380"/>
    <mergeCell ref="H380:K380"/>
    <mergeCell ref="L380:M380"/>
    <mergeCell ref="E393:G393"/>
    <mergeCell ref="H393:I393"/>
    <mergeCell ref="M393:N393"/>
    <mergeCell ref="O393:P393"/>
    <mergeCell ref="B394:D394"/>
    <mergeCell ref="E394:G394"/>
    <mergeCell ref="H394:I394"/>
    <mergeCell ref="C391:D391"/>
    <mergeCell ref="E391:G391"/>
    <mergeCell ref="H391:I391"/>
    <mergeCell ref="M391:N391"/>
    <mergeCell ref="O391:P391"/>
    <mergeCell ref="E392:G392"/>
    <mergeCell ref="H392:I392"/>
    <mergeCell ref="M392:N392"/>
    <mergeCell ref="O392:P392"/>
    <mergeCell ref="B389:D389"/>
    <mergeCell ref="E389:G389"/>
    <mergeCell ref="H389:I389"/>
    <mergeCell ref="M389:N389"/>
    <mergeCell ref="O389:P389"/>
    <mergeCell ref="B390:D390"/>
    <mergeCell ref="E390:G390"/>
    <mergeCell ref="H390:I390"/>
    <mergeCell ref="M390:N390"/>
    <mergeCell ref="O390:P390"/>
    <mergeCell ref="B397:D397"/>
    <mergeCell ref="E397:G397"/>
    <mergeCell ref="H397:I397"/>
    <mergeCell ref="J397:K397"/>
    <mergeCell ref="L397:M397"/>
    <mergeCell ref="B398:D398"/>
    <mergeCell ref="E398:G398"/>
    <mergeCell ref="H398:I398"/>
    <mergeCell ref="B395:D395"/>
    <mergeCell ref="E395:G395"/>
    <mergeCell ref="H395:I395"/>
    <mergeCell ref="J395:K395"/>
    <mergeCell ref="L395:M395"/>
    <mergeCell ref="B396:D396"/>
    <mergeCell ref="E396:G396"/>
    <mergeCell ref="H396:I396"/>
    <mergeCell ref="J396:K396"/>
    <mergeCell ref="L396:M396"/>
    <mergeCell ref="C404:D404"/>
    <mergeCell ref="E404:G404"/>
    <mergeCell ref="H404:I404"/>
    <mergeCell ref="H405:I405"/>
    <mergeCell ref="H406:I406"/>
    <mergeCell ref="H407:I407"/>
    <mergeCell ref="C402:D402"/>
    <mergeCell ref="E402:G402"/>
    <mergeCell ref="H402:I402"/>
    <mergeCell ref="C403:D403"/>
    <mergeCell ref="E403:G403"/>
    <mergeCell ref="H403:I403"/>
    <mergeCell ref="E399:G399"/>
    <mergeCell ref="H399:I399"/>
    <mergeCell ref="E400:G400"/>
    <mergeCell ref="H400:I400"/>
    <mergeCell ref="E401:G401"/>
    <mergeCell ref="H401:I401"/>
    <mergeCell ref="G422:H422"/>
    <mergeCell ref="J422:K422"/>
    <mergeCell ref="M422:N422"/>
    <mergeCell ref="P422:Q422"/>
    <mergeCell ref="S422:T422"/>
    <mergeCell ref="G423:H423"/>
    <mergeCell ref="J423:K423"/>
    <mergeCell ref="M423:N423"/>
    <mergeCell ref="P423:Q423"/>
    <mergeCell ref="S423:T423"/>
    <mergeCell ref="A412:J412"/>
    <mergeCell ref="K412:Q412"/>
    <mergeCell ref="A415:T415"/>
    <mergeCell ref="J419:K420"/>
    <mergeCell ref="M419:N420"/>
    <mergeCell ref="P419:Q420"/>
    <mergeCell ref="S419:T420"/>
    <mergeCell ref="G420:H420"/>
    <mergeCell ref="G426:H426"/>
    <mergeCell ref="J426:K426"/>
    <mergeCell ref="M426:N426"/>
    <mergeCell ref="P426:Q426"/>
    <mergeCell ref="S426:T426"/>
    <mergeCell ref="G427:H427"/>
    <mergeCell ref="J427:K427"/>
    <mergeCell ref="M427:N427"/>
    <mergeCell ref="P427:Q427"/>
    <mergeCell ref="S427:T427"/>
    <mergeCell ref="G424:H424"/>
    <mergeCell ref="J424:K424"/>
    <mergeCell ref="M424:N424"/>
    <mergeCell ref="P424:Q424"/>
    <mergeCell ref="S424:T424"/>
    <mergeCell ref="G425:H425"/>
    <mergeCell ref="J425:K425"/>
    <mergeCell ref="M425:N425"/>
    <mergeCell ref="P425:Q425"/>
    <mergeCell ref="S425:T425"/>
    <mergeCell ref="C430:F430"/>
    <mergeCell ref="G430:H430"/>
    <mergeCell ref="J430:K430"/>
    <mergeCell ref="M430:N430"/>
    <mergeCell ref="P430:Q430"/>
    <mergeCell ref="S430:T430"/>
    <mergeCell ref="C429:F429"/>
    <mergeCell ref="G429:H429"/>
    <mergeCell ref="J429:K429"/>
    <mergeCell ref="M429:N429"/>
    <mergeCell ref="P429:Q429"/>
    <mergeCell ref="S429:T429"/>
    <mergeCell ref="C428:F428"/>
    <mergeCell ref="G428:H428"/>
    <mergeCell ref="J428:K428"/>
    <mergeCell ref="M428:N428"/>
    <mergeCell ref="P428:Q428"/>
    <mergeCell ref="S428:T428"/>
    <mergeCell ref="G437:H437"/>
    <mergeCell ref="M437:N437"/>
    <mergeCell ref="S437:T437"/>
    <mergeCell ref="G439:H439"/>
    <mergeCell ref="J439:K439"/>
    <mergeCell ref="M439:N439"/>
    <mergeCell ref="P439:Q439"/>
    <mergeCell ref="S439:T439"/>
    <mergeCell ref="G434:H434"/>
    <mergeCell ref="S434:T434"/>
    <mergeCell ref="G435:H435"/>
    <mergeCell ref="M435:N435"/>
    <mergeCell ref="S435:T435"/>
    <mergeCell ref="G436:H436"/>
    <mergeCell ref="M436:N436"/>
    <mergeCell ref="S436:T436"/>
    <mergeCell ref="G431:H431"/>
    <mergeCell ref="J431:K431"/>
    <mergeCell ref="M431:N431"/>
    <mergeCell ref="P431:Q431"/>
    <mergeCell ref="S431:T431"/>
    <mergeCell ref="G433:H433"/>
    <mergeCell ref="S433:T433"/>
    <mergeCell ref="G443:H443"/>
    <mergeCell ref="J443:K443"/>
    <mergeCell ref="M443:N443"/>
    <mergeCell ref="P443:Q443"/>
    <mergeCell ref="S443:T443"/>
    <mergeCell ref="G444:H444"/>
    <mergeCell ref="J444:K444"/>
    <mergeCell ref="M444:N444"/>
    <mergeCell ref="P444:Q444"/>
    <mergeCell ref="S444:T444"/>
    <mergeCell ref="G440:H440"/>
    <mergeCell ref="J440:K440"/>
    <mergeCell ref="M440:N440"/>
    <mergeCell ref="P440:Q440"/>
    <mergeCell ref="S440:T440"/>
    <mergeCell ref="G441:H441"/>
    <mergeCell ref="J441:K441"/>
    <mergeCell ref="M441:N441"/>
    <mergeCell ref="P441:Q441"/>
    <mergeCell ref="S441:T441"/>
    <mergeCell ref="G449:H449"/>
    <mergeCell ref="J449:K449"/>
    <mergeCell ref="M449:N449"/>
    <mergeCell ref="P449:Q449"/>
    <mergeCell ref="S449:T449"/>
    <mergeCell ref="G450:H450"/>
    <mergeCell ref="J450:K450"/>
    <mergeCell ref="M450:N450"/>
    <mergeCell ref="P450:Q450"/>
    <mergeCell ref="S450:T450"/>
    <mergeCell ref="C447:D447"/>
    <mergeCell ref="G447:H447"/>
    <mergeCell ref="J447:K447"/>
    <mergeCell ref="M447:N447"/>
    <mergeCell ref="P447:Q447"/>
    <mergeCell ref="S447:T447"/>
    <mergeCell ref="G445:H445"/>
    <mergeCell ref="J445:K445"/>
    <mergeCell ref="M445:N445"/>
    <mergeCell ref="P445:Q445"/>
    <mergeCell ref="S445:T445"/>
    <mergeCell ref="G446:H446"/>
    <mergeCell ref="J446:K446"/>
    <mergeCell ref="M446:N446"/>
    <mergeCell ref="P446:Q446"/>
    <mergeCell ref="S446:T446"/>
    <mergeCell ref="E457:E458"/>
    <mergeCell ref="J457:K457"/>
    <mergeCell ref="M457:N457"/>
    <mergeCell ref="P457:Q457"/>
    <mergeCell ref="S457:T457"/>
    <mergeCell ref="B458:C458"/>
    <mergeCell ref="J458:K458"/>
    <mergeCell ref="M458:N458"/>
    <mergeCell ref="C455:F455"/>
    <mergeCell ref="G455:H455"/>
    <mergeCell ref="J455:K455"/>
    <mergeCell ref="M455:N455"/>
    <mergeCell ref="P455:Q455"/>
    <mergeCell ref="S455:T455"/>
    <mergeCell ref="G451:H451"/>
    <mergeCell ref="J451:K451"/>
    <mergeCell ref="M451:N451"/>
    <mergeCell ref="P451:Q451"/>
    <mergeCell ref="S451:T451"/>
    <mergeCell ref="G452:H452"/>
    <mergeCell ref="J452:K452"/>
    <mergeCell ref="M452:N452"/>
    <mergeCell ref="P452:Q452"/>
    <mergeCell ref="S452:T452"/>
    <mergeCell ref="G467:H467"/>
    <mergeCell ref="J467:K467"/>
    <mergeCell ref="M467:N467"/>
    <mergeCell ref="P467:Q467"/>
    <mergeCell ref="S467:T467"/>
    <mergeCell ref="G468:H468"/>
    <mergeCell ref="J468:K468"/>
    <mergeCell ref="M468:N468"/>
    <mergeCell ref="P468:Q468"/>
    <mergeCell ref="S468:T468"/>
    <mergeCell ref="G461:H461"/>
    <mergeCell ref="J461:K461"/>
    <mergeCell ref="M461:N461"/>
    <mergeCell ref="P461:Q461"/>
    <mergeCell ref="S461:T461"/>
    <mergeCell ref="J464:K465"/>
    <mergeCell ref="M464:N465"/>
    <mergeCell ref="P464:Q465"/>
    <mergeCell ref="S464:T465"/>
    <mergeCell ref="G465:H465"/>
    <mergeCell ref="G471:H471"/>
    <mergeCell ref="J471:K471"/>
    <mergeCell ref="M471:N471"/>
    <mergeCell ref="P471:Q471"/>
    <mergeCell ref="S471:T471"/>
    <mergeCell ref="G472:H472"/>
    <mergeCell ref="J472:K472"/>
    <mergeCell ref="M472:N472"/>
    <mergeCell ref="P472:Q472"/>
    <mergeCell ref="S472:T472"/>
    <mergeCell ref="G469:H469"/>
    <mergeCell ref="J469:K469"/>
    <mergeCell ref="M469:N469"/>
    <mergeCell ref="P469:Q469"/>
    <mergeCell ref="S469:T469"/>
    <mergeCell ref="G470:H470"/>
    <mergeCell ref="J470:K470"/>
    <mergeCell ref="M470:N470"/>
    <mergeCell ref="P470:Q470"/>
    <mergeCell ref="S470:T470"/>
    <mergeCell ref="G475:H475"/>
    <mergeCell ref="J475:K475"/>
    <mergeCell ref="M475:N475"/>
    <mergeCell ref="P475:Q475"/>
    <mergeCell ref="S475:T475"/>
    <mergeCell ref="C476:F476"/>
    <mergeCell ref="G476:H476"/>
    <mergeCell ref="J476:K476"/>
    <mergeCell ref="M476:N476"/>
    <mergeCell ref="P476:Q476"/>
    <mergeCell ref="G473:H473"/>
    <mergeCell ref="J473:K473"/>
    <mergeCell ref="M473:N473"/>
    <mergeCell ref="P473:Q473"/>
    <mergeCell ref="S473:T473"/>
    <mergeCell ref="G474:H474"/>
    <mergeCell ref="J474:K474"/>
    <mergeCell ref="M474:N474"/>
    <mergeCell ref="P474:Q474"/>
    <mergeCell ref="S474:T474"/>
    <mergeCell ref="G478:H478"/>
    <mergeCell ref="J478:K478"/>
    <mergeCell ref="M478:N478"/>
    <mergeCell ref="P478:Q478"/>
    <mergeCell ref="S478:T478"/>
    <mergeCell ref="G480:H480"/>
    <mergeCell ref="J480:K480"/>
    <mergeCell ref="M480:N480"/>
    <mergeCell ref="P480:Q480"/>
    <mergeCell ref="S480:T480"/>
    <mergeCell ref="S476:T476"/>
    <mergeCell ref="C477:F477"/>
    <mergeCell ref="G477:H477"/>
    <mergeCell ref="J477:K477"/>
    <mergeCell ref="M477:N477"/>
    <mergeCell ref="P477:Q477"/>
    <mergeCell ref="S477:T477"/>
    <mergeCell ref="G483:H483"/>
    <mergeCell ref="J483:K483"/>
    <mergeCell ref="M483:N483"/>
    <mergeCell ref="P483:Q483"/>
    <mergeCell ref="S483:T483"/>
    <mergeCell ref="G484:H484"/>
    <mergeCell ref="J484:K484"/>
    <mergeCell ref="M484:N484"/>
    <mergeCell ref="P484:Q484"/>
    <mergeCell ref="S484:T484"/>
    <mergeCell ref="G481:H481"/>
    <mergeCell ref="J481:K481"/>
    <mergeCell ref="M481:N481"/>
    <mergeCell ref="P481:Q481"/>
    <mergeCell ref="S481:T481"/>
    <mergeCell ref="G482:H482"/>
    <mergeCell ref="J482:K482"/>
    <mergeCell ref="M482:N482"/>
    <mergeCell ref="P482:Q482"/>
    <mergeCell ref="S482:T482"/>
    <mergeCell ref="C490:F490"/>
    <mergeCell ref="G490:H490"/>
    <mergeCell ref="J490:K490"/>
    <mergeCell ref="M490:N490"/>
    <mergeCell ref="P490:Q490"/>
    <mergeCell ref="G487:H487"/>
    <mergeCell ref="J487:K487"/>
    <mergeCell ref="M487:N487"/>
    <mergeCell ref="P487:Q487"/>
    <mergeCell ref="S487:T487"/>
    <mergeCell ref="G488:H488"/>
    <mergeCell ref="J488:K488"/>
    <mergeCell ref="M488:N488"/>
    <mergeCell ref="P488:Q488"/>
    <mergeCell ref="S488:T488"/>
    <mergeCell ref="G485:H485"/>
    <mergeCell ref="J485:K485"/>
    <mergeCell ref="M485:N485"/>
    <mergeCell ref="P485:Q485"/>
    <mergeCell ref="S485:T485"/>
    <mergeCell ref="G486:H486"/>
    <mergeCell ref="J486:K486"/>
    <mergeCell ref="M486:N486"/>
    <mergeCell ref="P486:Q486"/>
    <mergeCell ref="S486:T486"/>
    <mergeCell ref="G493:H493"/>
    <mergeCell ref="J493:K493"/>
    <mergeCell ref="M493:N493"/>
    <mergeCell ref="P493:Q493"/>
    <mergeCell ref="S493:T493"/>
    <mergeCell ref="G494:H494"/>
    <mergeCell ref="J494:K494"/>
    <mergeCell ref="M494:N494"/>
    <mergeCell ref="P494:Q494"/>
    <mergeCell ref="S494:T494"/>
    <mergeCell ref="S490:T490"/>
    <mergeCell ref="G491:H491"/>
    <mergeCell ref="J491:K491"/>
    <mergeCell ref="M491:N491"/>
    <mergeCell ref="P491:Q491"/>
    <mergeCell ref="S491:T491"/>
    <mergeCell ref="G489:H489"/>
    <mergeCell ref="J489:K489"/>
    <mergeCell ref="M489:N489"/>
    <mergeCell ref="P489:Q489"/>
    <mergeCell ref="S489:T489"/>
    <mergeCell ref="G497:H497"/>
    <mergeCell ref="J497:K497"/>
    <mergeCell ref="M497:N497"/>
    <mergeCell ref="P497:Q497"/>
    <mergeCell ref="S497:T497"/>
    <mergeCell ref="G499:H499"/>
    <mergeCell ref="J499:K499"/>
    <mergeCell ref="M499:N499"/>
    <mergeCell ref="P499:Q499"/>
    <mergeCell ref="S499:T499"/>
    <mergeCell ref="G495:H495"/>
    <mergeCell ref="J495:K495"/>
    <mergeCell ref="M495:N495"/>
    <mergeCell ref="P495:Q495"/>
    <mergeCell ref="S495:T495"/>
    <mergeCell ref="G496:H496"/>
    <mergeCell ref="J496:K496"/>
    <mergeCell ref="M496:N496"/>
    <mergeCell ref="P496:Q496"/>
    <mergeCell ref="S496:T496"/>
    <mergeCell ref="C504:F504"/>
    <mergeCell ref="G504:H504"/>
    <mergeCell ref="J504:K504"/>
    <mergeCell ref="M504:N504"/>
    <mergeCell ref="P504:Q504"/>
    <mergeCell ref="S504:T504"/>
    <mergeCell ref="G502:H502"/>
    <mergeCell ref="J502:K502"/>
    <mergeCell ref="M502:N502"/>
    <mergeCell ref="P502:Q502"/>
    <mergeCell ref="S502:T502"/>
    <mergeCell ref="G503:H503"/>
    <mergeCell ref="J503:K503"/>
    <mergeCell ref="M503:N503"/>
    <mergeCell ref="P503:Q503"/>
    <mergeCell ref="S503:T503"/>
    <mergeCell ref="G500:H500"/>
    <mergeCell ref="J500:K500"/>
    <mergeCell ref="M500:N500"/>
    <mergeCell ref="P500:Q500"/>
    <mergeCell ref="S500:T500"/>
    <mergeCell ref="G501:H501"/>
    <mergeCell ref="J501:K501"/>
    <mergeCell ref="M501:N501"/>
    <mergeCell ref="P501:Q501"/>
    <mergeCell ref="S501:T501"/>
    <mergeCell ref="E513:F513"/>
    <mergeCell ref="G513:H513"/>
    <mergeCell ref="S513:T513"/>
    <mergeCell ref="E514:F514"/>
    <mergeCell ref="G514:H514"/>
    <mergeCell ref="S514:T514"/>
    <mergeCell ref="G510:H510"/>
    <mergeCell ref="S510:T510"/>
    <mergeCell ref="G511:H511"/>
    <mergeCell ref="S511:T511"/>
    <mergeCell ref="G512:H512"/>
    <mergeCell ref="S512:T512"/>
    <mergeCell ref="G505:H505"/>
    <mergeCell ref="J505:K505"/>
    <mergeCell ref="M505:N505"/>
    <mergeCell ref="P505:Q505"/>
    <mergeCell ref="S505:T505"/>
    <mergeCell ref="J507:K508"/>
    <mergeCell ref="M507:N508"/>
    <mergeCell ref="P507:Q508"/>
    <mergeCell ref="S507:T508"/>
    <mergeCell ref="G508:H508"/>
    <mergeCell ref="C518:F518"/>
    <mergeCell ref="G518:H518"/>
    <mergeCell ref="S518:T518"/>
    <mergeCell ref="G519:H519"/>
    <mergeCell ref="S519:T519"/>
    <mergeCell ref="G521:H521"/>
    <mergeCell ref="J521:K521"/>
    <mergeCell ref="M521:N521"/>
    <mergeCell ref="P521:Q521"/>
    <mergeCell ref="S521:T521"/>
    <mergeCell ref="G515:H515"/>
    <mergeCell ref="S515:T515"/>
    <mergeCell ref="G516:H516"/>
    <mergeCell ref="S516:T516"/>
    <mergeCell ref="C517:F517"/>
    <mergeCell ref="G517:H517"/>
    <mergeCell ref="S517:T517"/>
    <mergeCell ref="G525:H525"/>
    <mergeCell ref="J525:K525"/>
    <mergeCell ref="M525:N525"/>
    <mergeCell ref="P525:Q525"/>
    <mergeCell ref="S525:T525"/>
    <mergeCell ref="G527:H527"/>
    <mergeCell ref="J527:K527"/>
    <mergeCell ref="M527:N527"/>
    <mergeCell ref="P527:Q527"/>
    <mergeCell ref="S527:T527"/>
    <mergeCell ref="C524:F524"/>
    <mergeCell ref="G524:H524"/>
    <mergeCell ref="J524:K524"/>
    <mergeCell ref="M524:N524"/>
    <mergeCell ref="P524:Q524"/>
    <mergeCell ref="S524:T524"/>
    <mergeCell ref="G522:H522"/>
    <mergeCell ref="J522:K522"/>
    <mergeCell ref="M522:N522"/>
    <mergeCell ref="P522:Q522"/>
    <mergeCell ref="S522:T522"/>
    <mergeCell ref="G523:H523"/>
    <mergeCell ref="J523:K523"/>
    <mergeCell ref="M523:N523"/>
    <mergeCell ref="P523:Q523"/>
    <mergeCell ref="S523:T523"/>
    <mergeCell ref="G530:H530"/>
    <mergeCell ref="J530:K530"/>
    <mergeCell ref="M530:N530"/>
    <mergeCell ref="P530:Q530"/>
    <mergeCell ref="S530:T530"/>
    <mergeCell ref="G532:H532"/>
    <mergeCell ref="S532:T532"/>
    <mergeCell ref="G528:H528"/>
    <mergeCell ref="J528:K528"/>
    <mergeCell ref="M528:N528"/>
    <mergeCell ref="P528:Q528"/>
    <mergeCell ref="S528:T528"/>
    <mergeCell ref="G529:H529"/>
    <mergeCell ref="J529:K529"/>
    <mergeCell ref="M529:N529"/>
    <mergeCell ref="P529:Q529"/>
    <mergeCell ref="S529:T529"/>
    <mergeCell ref="C537:F537"/>
    <mergeCell ref="G537:H537"/>
    <mergeCell ref="J537:K537"/>
    <mergeCell ref="M537:N537"/>
    <mergeCell ref="P537:Q537"/>
    <mergeCell ref="S537:T537"/>
    <mergeCell ref="G535:H535"/>
    <mergeCell ref="S535:T535"/>
    <mergeCell ref="G536:H536"/>
    <mergeCell ref="J536:K536"/>
    <mergeCell ref="M536:N536"/>
    <mergeCell ref="P536:Q536"/>
    <mergeCell ref="S536:T536"/>
    <mergeCell ref="G533:H533"/>
    <mergeCell ref="J533:K533"/>
    <mergeCell ref="M533:N533"/>
    <mergeCell ref="P533:Q533"/>
    <mergeCell ref="S533:T533"/>
    <mergeCell ref="G534:H534"/>
    <mergeCell ref="S534:T534"/>
    <mergeCell ref="S542:T542"/>
    <mergeCell ref="G544:H544"/>
    <mergeCell ref="J544:K544"/>
    <mergeCell ref="M544:N544"/>
    <mergeCell ref="P544:Q544"/>
    <mergeCell ref="S544:T544"/>
    <mergeCell ref="C541:F541"/>
    <mergeCell ref="G541:H541"/>
    <mergeCell ref="J541:K541"/>
    <mergeCell ref="M541:N541"/>
    <mergeCell ref="P541:Q541"/>
    <mergeCell ref="S541:T541"/>
    <mergeCell ref="G538:H538"/>
    <mergeCell ref="J538:K538"/>
    <mergeCell ref="M538:N538"/>
    <mergeCell ref="P538:Q538"/>
    <mergeCell ref="S538:T538"/>
    <mergeCell ref="G540:H540"/>
    <mergeCell ref="J540:K540"/>
    <mergeCell ref="M540:N540"/>
    <mergeCell ref="P540:Q540"/>
    <mergeCell ref="S540:T540"/>
    <mergeCell ref="J553:K553"/>
    <mergeCell ref="P553:Q553"/>
    <mergeCell ref="J554:K554"/>
    <mergeCell ref="P554:Q554"/>
    <mergeCell ref="J555:K555"/>
    <mergeCell ref="P555:Q555"/>
    <mergeCell ref="D546:E546"/>
    <mergeCell ref="G546:H546"/>
    <mergeCell ref="J549:K550"/>
    <mergeCell ref="M549:N550"/>
    <mergeCell ref="P549:Q550"/>
    <mergeCell ref="J552:K552"/>
    <mergeCell ref="P552:Q552"/>
    <mergeCell ref="G542:H542"/>
    <mergeCell ref="J542:K542"/>
    <mergeCell ref="M542:N542"/>
    <mergeCell ref="P542:Q542"/>
    <mergeCell ref="J563:K563"/>
    <mergeCell ref="M563:N563"/>
    <mergeCell ref="P563:Q563"/>
    <mergeCell ref="H564:I564"/>
    <mergeCell ref="J564:K564"/>
    <mergeCell ref="M564:N564"/>
    <mergeCell ref="P564:Q564"/>
    <mergeCell ref="J561:K561"/>
    <mergeCell ref="M561:N561"/>
    <mergeCell ref="P561:Q561"/>
    <mergeCell ref="J562:K562"/>
    <mergeCell ref="M562:N562"/>
    <mergeCell ref="P562:Q562"/>
    <mergeCell ref="J556:K556"/>
    <mergeCell ref="P556:Q556"/>
    <mergeCell ref="C557:I557"/>
    <mergeCell ref="J557:K557"/>
    <mergeCell ref="P557:Q557"/>
    <mergeCell ref="J558:K558"/>
    <mergeCell ref="P558:Q558"/>
    <mergeCell ref="J569:K569"/>
    <mergeCell ref="M569:N569"/>
    <mergeCell ref="P569:Q569"/>
    <mergeCell ref="J570:Q570"/>
    <mergeCell ref="G574:I574"/>
    <mergeCell ref="J574:L574"/>
    <mergeCell ref="M574:R576"/>
    <mergeCell ref="J567:K567"/>
    <mergeCell ref="M567:N567"/>
    <mergeCell ref="P567:Q567"/>
    <mergeCell ref="J568:K568"/>
    <mergeCell ref="M568:N568"/>
    <mergeCell ref="P568:Q568"/>
    <mergeCell ref="J565:K565"/>
    <mergeCell ref="M565:N565"/>
    <mergeCell ref="P565:Q565"/>
    <mergeCell ref="J566:K566"/>
    <mergeCell ref="M566:N566"/>
    <mergeCell ref="P566:Q566"/>
    <mergeCell ref="J581:L581"/>
    <mergeCell ref="J583:L583"/>
    <mergeCell ref="J585:L585"/>
    <mergeCell ref="J587:L587"/>
    <mergeCell ref="A591:J591"/>
    <mergeCell ref="K591:T591"/>
    <mergeCell ref="J578:L578"/>
    <mergeCell ref="J579:L579"/>
    <mergeCell ref="N579:O579"/>
    <mergeCell ref="Q579:R579"/>
    <mergeCell ref="J580:L580"/>
    <mergeCell ref="N580:O580"/>
    <mergeCell ref="Q580:R580"/>
    <mergeCell ref="S574:T576"/>
    <mergeCell ref="J575:L575"/>
    <mergeCell ref="J576:L576"/>
    <mergeCell ref="J577:L577"/>
    <mergeCell ref="M577:N577"/>
    <mergeCell ref="O577:R577"/>
    <mergeCell ref="F615:G615"/>
    <mergeCell ref="I615:M615"/>
    <mergeCell ref="D617:E617"/>
    <mergeCell ref="D619:E619"/>
    <mergeCell ref="D620:E620"/>
    <mergeCell ref="B629:M629"/>
    <mergeCell ref="D603:E603"/>
    <mergeCell ref="D605:E605"/>
    <mergeCell ref="D606:E606"/>
    <mergeCell ref="I612:M612"/>
    <mergeCell ref="I613:J613"/>
    <mergeCell ref="L613:M613"/>
    <mergeCell ref="A594:M594"/>
    <mergeCell ref="I598:M598"/>
    <mergeCell ref="I599:J599"/>
    <mergeCell ref="L599:M599"/>
    <mergeCell ref="F601:G601"/>
    <mergeCell ref="I601:M601"/>
    <mergeCell ref="AE638:AE643"/>
    <mergeCell ref="AF638:AF643"/>
    <mergeCell ref="AG638:AG643"/>
    <mergeCell ref="AH638:AH643"/>
    <mergeCell ref="AI638:AI643"/>
    <mergeCell ref="AJ638:AJ643"/>
    <mergeCell ref="Y638:Y643"/>
    <mergeCell ref="Z638:Z643"/>
    <mergeCell ref="AA638:AA643"/>
    <mergeCell ref="AB638:AB643"/>
    <mergeCell ref="AC638:AC643"/>
    <mergeCell ref="AD638:AD643"/>
    <mergeCell ref="B632:M632"/>
    <mergeCell ref="A635:P635"/>
    <mergeCell ref="T635:U635"/>
    <mergeCell ref="V638:V643"/>
    <mergeCell ref="W638:W643"/>
    <mergeCell ref="X638:X643"/>
    <mergeCell ref="AW638:AW643"/>
    <mergeCell ref="AX638:AX643"/>
    <mergeCell ref="AY638:AY643"/>
    <mergeCell ref="AZ638:AZ643"/>
    <mergeCell ref="BA638:BA643"/>
    <mergeCell ref="BB638:BB643"/>
    <mergeCell ref="AQ638:AQ643"/>
    <mergeCell ref="AR638:AR643"/>
    <mergeCell ref="AS638:AS643"/>
    <mergeCell ref="AT638:AT643"/>
    <mergeCell ref="AU638:AU643"/>
    <mergeCell ref="AV638:AV643"/>
    <mergeCell ref="AK638:AK643"/>
    <mergeCell ref="AL638:AL643"/>
    <mergeCell ref="AM638:AM643"/>
    <mergeCell ref="AN638:AN643"/>
    <mergeCell ref="AO638:AO643"/>
    <mergeCell ref="AP638:AP643"/>
    <mergeCell ref="BO638:BO643"/>
    <mergeCell ref="BP638:BP643"/>
    <mergeCell ref="BQ638:BQ643"/>
    <mergeCell ref="BR638:BR643"/>
    <mergeCell ref="BS638:BS643"/>
    <mergeCell ref="BT638:BT643"/>
    <mergeCell ref="BI638:BI643"/>
    <mergeCell ref="BJ638:BJ643"/>
    <mergeCell ref="BK638:BK643"/>
    <mergeCell ref="BL638:BL643"/>
    <mergeCell ref="BM638:BM643"/>
    <mergeCell ref="BN638:BN643"/>
    <mergeCell ref="BC638:BC643"/>
    <mergeCell ref="BD638:BD643"/>
    <mergeCell ref="BE638:BE643"/>
    <mergeCell ref="BF638:BF643"/>
    <mergeCell ref="BG638:BG643"/>
    <mergeCell ref="BH638:BH643"/>
    <mergeCell ref="CG638:CG643"/>
    <mergeCell ref="CH638:CH643"/>
    <mergeCell ref="CI638:CI643"/>
    <mergeCell ref="CJ638:CJ643"/>
    <mergeCell ref="CK638:CK643"/>
    <mergeCell ref="CL638:CL643"/>
    <mergeCell ref="CA638:CA643"/>
    <mergeCell ref="CB638:CB643"/>
    <mergeCell ref="CC638:CC643"/>
    <mergeCell ref="CD638:CD643"/>
    <mergeCell ref="CE638:CE643"/>
    <mergeCell ref="CF638:CF643"/>
    <mergeCell ref="BU638:BU643"/>
    <mergeCell ref="BV638:BV643"/>
    <mergeCell ref="BW638:BW643"/>
    <mergeCell ref="BX638:BX643"/>
    <mergeCell ref="BY638:BY643"/>
    <mergeCell ref="BZ638:BZ643"/>
    <mergeCell ref="CY638:CY643"/>
    <mergeCell ref="CZ638:CZ643"/>
    <mergeCell ref="DA638:DA643"/>
    <mergeCell ref="DB638:DB643"/>
    <mergeCell ref="DC638:DC643"/>
    <mergeCell ref="DD638:DD643"/>
    <mergeCell ref="CS638:CS643"/>
    <mergeCell ref="CT638:CT643"/>
    <mergeCell ref="CU638:CU643"/>
    <mergeCell ref="CV638:CV643"/>
    <mergeCell ref="CW638:CW643"/>
    <mergeCell ref="CX638:CX643"/>
    <mergeCell ref="CM638:CM643"/>
    <mergeCell ref="CN638:CN643"/>
    <mergeCell ref="CO638:CO643"/>
    <mergeCell ref="CP638:CP643"/>
    <mergeCell ref="CQ638:CQ643"/>
    <mergeCell ref="CR638:CR643"/>
    <mergeCell ref="DQ638:DQ643"/>
    <mergeCell ref="DR638:DR643"/>
    <mergeCell ref="DS638:DS643"/>
    <mergeCell ref="DT638:DT643"/>
    <mergeCell ref="DU638:DU643"/>
    <mergeCell ref="DV638:DV643"/>
    <mergeCell ref="DK638:DK643"/>
    <mergeCell ref="DL638:DL643"/>
    <mergeCell ref="DM638:DM643"/>
    <mergeCell ref="DN638:DN643"/>
    <mergeCell ref="DO638:DO643"/>
    <mergeCell ref="DP638:DP643"/>
    <mergeCell ref="DE638:DE643"/>
    <mergeCell ref="DF638:DF643"/>
    <mergeCell ref="DG638:DG643"/>
    <mergeCell ref="DH638:DH643"/>
    <mergeCell ref="DI638:DI643"/>
    <mergeCell ref="DJ638:DJ643"/>
    <mergeCell ref="EI638:EI643"/>
    <mergeCell ref="EJ638:EJ643"/>
    <mergeCell ref="EK638:EK643"/>
    <mergeCell ref="EL638:EL643"/>
    <mergeCell ref="EM638:EM643"/>
    <mergeCell ref="EN638:EN643"/>
    <mergeCell ref="EC638:EC643"/>
    <mergeCell ref="ED638:ED643"/>
    <mergeCell ref="EE638:EE643"/>
    <mergeCell ref="EF638:EF643"/>
    <mergeCell ref="EG638:EG643"/>
    <mergeCell ref="EH638:EH643"/>
    <mergeCell ref="DW638:DW643"/>
    <mergeCell ref="DX638:DX643"/>
    <mergeCell ref="DY638:DY643"/>
    <mergeCell ref="DZ638:DZ643"/>
    <mergeCell ref="EA638:EA643"/>
    <mergeCell ref="EB638:EB643"/>
    <mergeCell ref="GR638:GR643"/>
    <mergeCell ref="GS638:GS643"/>
    <mergeCell ref="FC642:FC643"/>
    <mergeCell ref="FD642:FD643"/>
    <mergeCell ref="FE642:FE643"/>
    <mergeCell ref="FK642:FK643"/>
    <mergeCell ref="EO638:EO643"/>
    <mergeCell ref="EP638:EP643"/>
    <mergeCell ref="EQ638:EQ643"/>
    <mergeCell ref="ER638:ER643"/>
    <mergeCell ref="ES638:ES643"/>
    <mergeCell ref="ET638:ET643"/>
    <mergeCell ref="FV642:FV643"/>
    <mergeCell ref="FW642:FW643"/>
    <mergeCell ref="FL642:FL643"/>
    <mergeCell ref="FM642:FM643"/>
    <mergeCell ref="FN642:FN643"/>
    <mergeCell ref="FO642:FO643"/>
    <mergeCell ref="FP642:FP643"/>
    <mergeCell ref="FQ642:FQ643"/>
    <mergeCell ref="HL638:HL643"/>
    <mergeCell ref="HM638:HM643"/>
    <mergeCell ref="N640:O640"/>
    <mergeCell ref="R640:S640"/>
    <mergeCell ref="A641:A643"/>
    <mergeCell ref="K642:L642"/>
    <mergeCell ref="P642:Q642"/>
    <mergeCell ref="EV642:EV643"/>
    <mergeCell ref="FA642:FA643"/>
    <mergeCell ref="FB642:FB643"/>
    <mergeCell ref="HF638:HF643"/>
    <mergeCell ref="HG638:HG643"/>
    <mergeCell ref="HH638:HH643"/>
    <mergeCell ref="HI638:HI643"/>
    <mergeCell ref="HJ638:HJ643"/>
    <mergeCell ref="HK638:HK643"/>
    <mergeCell ref="GZ638:GZ643"/>
    <mergeCell ref="HA638:HA643"/>
    <mergeCell ref="HB638:HB643"/>
    <mergeCell ref="HC638:HC643"/>
    <mergeCell ref="HD638:HD643"/>
    <mergeCell ref="HE638:HE643"/>
    <mergeCell ref="GT638:GT643"/>
    <mergeCell ref="GU638:GU643"/>
    <mergeCell ref="GV638:GV643"/>
    <mergeCell ref="GW638:GW643"/>
    <mergeCell ref="GX638:GX643"/>
    <mergeCell ref="GY638:GY643"/>
    <mergeCell ref="EU638:EU643"/>
    <mergeCell ref="GO638:GO643"/>
    <mergeCell ref="GP638:GP643"/>
    <mergeCell ref="GQ638:GQ643"/>
    <mergeCell ref="T644:U681"/>
    <mergeCell ref="A685:P686"/>
    <mergeCell ref="Q687:Q689"/>
    <mergeCell ref="T689:U689"/>
    <mergeCell ref="N690:O691"/>
    <mergeCell ref="T690:U696"/>
    <mergeCell ref="A691:B709"/>
    <mergeCell ref="T698:U700"/>
    <mergeCell ref="T702:U704"/>
    <mergeCell ref="T706:U716"/>
    <mergeCell ref="GJ642:GJ643"/>
    <mergeCell ref="GK642:GK643"/>
    <mergeCell ref="GL642:GL643"/>
    <mergeCell ref="GM642:GM643"/>
    <mergeCell ref="GN642:GN643"/>
    <mergeCell ref="T643:U643"/>
    <mergeCell ref="GD642:GD643"/>
    <mergeCell ref="GE642:GE643"/>
    <mergeCell ref="GF642:GF643"/>
    <mergeCell ref="GG642:GG643"/>
    <mergeCell ref="GH642:GH643"/>
    <mergeCell ref="GI642:GI643"/>
    <mergeCell ref="FX642:FX643"/>
    <mergeCell ref="FY642:FY643"/>
    <mergeCell ref="FZ642:FZ643"/>
    <mergeCell ref="GA642:GA643"/>
    <mergeCell ref="GB642:GB643"/>
    <mergeCell ref="GC642:GC643"/>
    <mergeCell ref="FR642:FR643"/>
    <mergeCell ref="FS642:FS643"/>
    <mergeCell ref="FT642:FT643"/>
    <mergeCell ref="FU642:FU643"/>
    <mergeCell ref="T763:U765"/>
    <mergeCell ref="C764:F764"/>
    <mergeCell ref="T768:U770"/>
    <mergeCell ref="C769:F769"/>
    <mergeCell ref="T773:U773"/>
    <mergeCell ref="T774:U786"/>
    <mergeCell ref="F775:G775"/>
    <mergeCell ref="K775:L775"/>
    <mergeCell ref="F776:G776"/>
    <mergeCell ref="K776:L776"/>
    <mergeCell ref="T748:U750"/>
    <mergeCell ref="C749:F749"/>
    <mergeCell ref="T753:U755"/>
    <mergeCell ref="C754:F754"/>
    <mergeCell ref="T758:U760"/>
    <mergeCell ref="C759:F759"/>
    <mergeCell ref="E712:F713"/>
    <mergeCell ref="A716:D716"/>
    <mergeCell ref="T718:U726"/>
    <mergeCell ref="T728:U734"/>
    <mergeCell ref="H738:I738"/>
    <mergeCell ref="T743:U745"/>
    <mergeCell ref="C744:F744"/>
    <mergeCell ref="F785:G785"/>
    <mergeCell ref="I785:J785"/>
    <mergeCell ref="K785:L785"/>
    <mergeCell ref="N785:P786"/>
    <mergeCell ref="F786:G786"/>
    <mergeCell ref="K786:L786"/>
    <mergeCell ref="F782:G782"/>
    <mergeCell ref="K782:L782"/>
    <mergeCell ref="F783:G783"/>
    <mergeCell ref="K783:L783"/>
    <mergeCell ref="F784:G784"/>
    <mergeCell ref="K784:L784"/>
    <mergeCell ref="F777:G777"/>
    <mergeCell ref="K777:L777"/>
    <mergeCell ref="N777:O777"/>
    <mergeCell ref="B778:E778"/>
    <mergeCell ref="F778:G778"/>
    <mergeCell ref="F779:G779"/>
    <mergeCell ref="F794:G794"/>
    <mergeCell ref="K794:L794"/>
    <mergeCell ref="F795:G795"/>
    <mergeCell ref="I795:J795"/>
    <mergeCell ref="K795:L795"/>
    <mergeCell ref="F796:G796"/>
    <mergeCell ref="K796:L796"/>
    <mergeCell ref="B787:E787"/>
    <mergeCell ref="F787:G787"/>
    <mergeCell ref="T787:U799"/>
    <mergeCell ref="F788:G788"/>
    <mergeCell ref="F791:G791"/>
    <mergeCell ref="K791:L791"/>
    <mergeCell ref="F792:G792"/>
    <mergeCell ref="K792:L792"/>
    <mergeCell ref="F793:G793"/>
    <mergeCell ref="K793:L793"/>
    <mergeCell ref="A921:Q921"/>
    <mergeCell ref="A922:Q922"/>
    <mergeCell ref="A923:Q923"/>
    <mergeCell ref="A924:Q924"/>
    <mergeCell ref="A925:Q925"/>
    <mergeCell ref="A917:Q917"/>
    <mergeCell ref="A918:Q918"/>
    <mergeCell ref="A919:Q919"/>
    <mergeCell ref="T802:U802"/>
    <mergeCell ref="A805:K805"/>
    <mergeCell ref="A907:F907"/>
    <mergeCell ref="G907:K907"/>
    <mergeCell ref="F797:G797"/>
    <mergeCell ref="B798:E798"/>
    <mergeCell ref="F798:G798"/>
    <mergeCell ref="F799:G799"/>
    <mergeCell ref="A802:J802"/>
    <mergeCell ref="K802:P802"/>
    <mergeCell ref="K977:P977"/>
    <mergeCell ref="P957:Q961"/>
    <mergeCell ref="P962:Q962"/>
    <mergeCell ref="A965:J965"/>
    <mergeCell ref="K965:Q965"/>
    <mergeCell ref="F952:I952"/>
    <mergeCell ref="K952:N952"/>
    <mergeCell ref="F953:I953"/>
    <mergeCell ref="K953:N953"/>
    <mergeCell ref="A945:Q945"/>
    <mergeCell ref="A946:Q946"/>
    <mergeCell ref="A947:Q947"/>
    <mergeCell ref="A943:Q943"/>
    <mergeCell ref="A948:Q948"/>
    <mergeCell ref="A932:Q932"/>
    <mergeCell ref="A933:Q933"/>
    <mergeCell ref="A934:Q934"/>
    <mergeCell ref="A935:Q935"/>
    <mergeCell ref="P967:Q967"/>
    <mergeCell ref="K969:M969"/>
    <mergeCell ref="A971:J971"/>
    <mergeCell ref="K971:Q971"/>
    <mergeCell ref="P973:Q973"/>
    <mergeCell ref="C975:M975"/>
    <mergeCell ref="P950:Q950"/>
    <mergeCell ref="A952:E955"/>
    <mergeCell ref="F954:I954"/>
    <mergeCell ref="K954:N954"/>
    <mergeCell ref="P954:Q955"/>
    <mergeCell ref="F955:F956"/>
    <mergeCell ref="I955:I956"/>
    <mergeCell ref="K955:K956"/>
    <mergeCell ref="E993:G993"/>
    <mergeCell ref="J993:L993"/>
    <mergeCell ref="O993:Q993"/>
    <mergeCell ref="E994:G994"/>
    <mergeCell ref="J994:L994"/>
    <mergeCell ref="O994:Q994"/>
    <mergeCell ref="A997:Q997"/>
    <mergeCell ref="M988:P988"/>
    <mergeCell ref="M989:P989"/>
    <mergeCell ref="M990:P990"/>
    <mergeCell ref="C991:Q991"/>
    <mergeCell ref="K978:P978"/>
    <mergeCell ref="M987:P987"/>
    <mergeCell ref="K979:P979"/>
    <mergeCell ref="A981:Q981"/>
    <mergeCell ref="A983:Q983"/>
    <mergeCell ref="P985:Q985"/>
    <mergeCell ref="P1188:Q1188"/>
    <mergeCell ref="C1181:N1181"/>
    <mergeCell ref="A1168:Q1168"/>
    <mergeCell ref="P1170:Q1170"/>
    <mergeCell ref="C1172:N1172"/>
    <mergeCell ref="M1160:O1160"/>
    <mergeCell ref="P1160:Q1160"/>
    <mergeCell ref="M1161:O1161"/>
    <mergeCell ref="P1161:Q1161"/>
    <mergeCell ref="D1136:H1136"/>
    <mergeCell ref="L1136:O1136"/>
    <mergeCell ref="D1137:H1137"/>
    <mergeCell ref="L1137:O1137"/>
    <mergeCell ref="A1154:Q1154"/>
    <mergeCell ref="A1175:Q1175"/>
    <mergeCell ref="A1177:Q1177"/>
    <mergeCell ref="P1179:Q1179"/>
    <mergeCell ref="C1182:N1182"/>
    <mergeCell ref="A1184:Q1184"/>
    <mergeCell ref="A1186:Q1186"/>
    <mergeCell ref="A1156:Q1156"/>
    <mergeCell ref="P1158:Q1158"/>
    <mergeCell ref="M1162:O1162"/>
    <mergeCell ref="P1162:Q1162"/>
    <mergeCell ref="C1164:N1164"/>
    <mergeCell ref="A1166:Q1166"/>
    <mergeCell ref="P1298:Q1298"/>
    <mergeCell ref="C1299:N1299"/>
    <mergeCell ref="A1267:Q1267"/>
    <mergeCell ref="A1264:Q1264"/>
    <mergeCell ref="P1269:Q1269"/>
    <mergeCell ref="H1274:O1274"/>
    <mergeCell ref="A1276:Q1276"/>
    <mergeCell ref="H1261:P1261"/>
    <mergeCell ref="A1248:Q1248"/>
    <mergeCell ref="K1238:P1238"/>
    <mergeCell ref="C1239:N1239"/>
    <mergeCell ref="C1242:N1242"/>
    <mergeCell ref="C1243:N1243"/>
    <mergeCell ref="D1189:N1189"/>
    <mergeCell ref="D1190:N1190"/>
    <mergeCell ref="D1191:N1191"/>
    <mergeCell ref="D1192:N1192"/>
    <mergeCell ref="N955:N956"/>
    <mergeCell ref="P956:Q956"/>
    <mergeCell ref="A910:Q910"/>
    <mergeCell ref="A912:G912"/>
    <mergeCell ref="H912:N912"/>
    <mergeCell ref="O912:P912"/>
    <mergeCell ref="B913:D913"/>
    <mergeCell ref="P915:Q915"/>
    <mergeCell ref="A936:Q936"/>
    <mergeCell ref="P938:Q938"/>
    <mergeCell ref="J941:N941"/>
    <mergeCell ref="A926:Q926"/>
    <mergeCell ref="A927:Q927"/>
    <mergeCell ref="A928:Q928"/>
    <mergeCell ref="A929:Q929"/>
    <mergeCell ref="A930:Q930"/>
    <mergeCell ref="A931:Q931"/>
    <mergeCell ref="A920:Q920"/>
    <mergeCell ref="A1055:Q1055"/>
    <mergeCell ref="P1057:Q1057"/>
    <mergeCell ref="K1058:L1058"/>
    <mergeCell ref="N1059:O1059"/>
    <mergeCell ref="P1059:Q1059"/>
    <mergeCell ref="K1060:P1060"/>
    <mergeCell ref="P1019:Q1019"/>
    <mergeCell ref="M1021:P1021"/>
    <mergeCell ref="M1024:P1024"/>
    <mergeCell ref="D1027:Q1027"/>
    <mergeCell ref="A1053:Q1053"/>
    <mergeCell ref="D1045:P1045"/>
    <mergeCell ref="A999:Q999"/>
    <mergeCell ref="P1000:Q1000"/>
    <mergeCell ref="M1004:P1004"/>
    <mergeCell ref="D1005:N1005"/>
    <mergeCell ref="D1008:N1008"/>
    <mergeCell ref="A1015:Q1015"/>
    <mergeCell ref="A1017:Q1017"/>
    <mergeCell ref="K1105:N1105"/>
    <mergeCell ref="A1107:Q1107"/>
    <mergeCell ref="A1109:Q1109"/>
    <mergeCell ref="P1111:Q1111"/>
    <mergeCell ref="G1115:K1115"/>
    <mergeCell ref="A1121:Q1121"/>
    <mergeCell ref="C1085:N1085"/>
    <mergeCell ref="A1088:Q1088"/>
    <mergeCell ref="A1090:Q1090"/>
    <mergeCell ref="P1092:Q1092"/>
    <mergeCell ref="C1093:G1093"/>
    <mergeCell ref="K1094:N1094"/>
    <mergeCell ref="A1063:Q1063"/>
    <mergeCell ref="A1065:Q1065"/>
    <mergeCell ref="P1067:Q1067"/>
    <mergeCell ref="C1070:N1070"/>
    <mergeCell ref="A1072:Q1072"/>
    <mergeCell ref="A1074:Q1074"/>
    <mergeCell ref="K1104:N1104"/>
    <mergeCell ref="A1096:Q1096"/>
    <mergeCell ref="A1098:Q1098"/>
    <mergeCell ref="P1100:Q1100"/>
    <mergeCell ref="C1104:G1105"/>
    <mergeCell ref="K1093:N1093"/>
    <mergeCell ref="B1076:D1076"/>
    <mergeCell ref="P1076:Q1076"/>
    <mergeCell ref="F1082:N1082"/>
    <mergeCell ref="F1084:N1084"/>
    <mergeCell ref="C1068:N1068"/>
    <mergeCell ref="C1069:N1069"/>
    <mergeCell ref="A1124:Q1124"/>
    <mergeCell ref="P1126:Q1126"/>
    <mergeCell ref="L1130:M1130"/>
    <mergeCell ref="N1130:P1130"/>
    <mergeCell ref="L1131:N1131"/>
    <mergeCell ref="P1134:Q1134"/>
    <mergeCell ref="L1129:M1129"/>
    <mergeCell ref="A1246:Q1246"/>
    <mergeCell ref="P1250:Q1250"/>
    <mergeCell ref="E1251:I1251"/>
    <mergeCell ref="J1251:L1251"/>
    <mergeCell ref="M1251:Q1251"/>
    <mergeCell ref="C1253:N1253"/>
    <mergeCell ref="P1226:Q1226"/>
    <mergeCell ref="C1227:N1227"/>
    <mergeCell ref="C1228:N1228"/>
    <mergeCell ref="C1231:N1231"/>
    <mergeCell ref="A1233:Q1233"/>
    <mergeCell ref="P1237:Q1237"/>
    <mergeCell ref="D1193:N1193"/>
    <mergeCell ref="A1195:Q1195"/>
    <mergeCell ref="A1197:Q1197"/>
    <mergeCell ref="P1198:Q1198"/>
    <mergeCell ref="C1202:N1202"/>
    <mergeCell ref="M1219:O1219"/>
    <mergeCell ref="C1230:N1230"/>
    <mergeCell ref="A1235:Q1235"/>
    <mergeCell ref="A1214:Q1214"/>
    <mergeCell ref="P1216:Q1216"/>
    <mergeCell ref="M1220:O1220"/>
    <mergeCell ref="A1222:Q1222"/>
    <mergeCell ref="A1224:Q1224"/>
    <mergeCell ref="A1683:A1701"/>
    <mergeCell ref="D1205:F1205"/>
    <mergeCell ref="G1205:N1205"/>
    <mergeCell ref="C1207:N1207"/>
    <mergeCell ref="D1208:N1208"/>
    <mergeCell ref="D1209:N1209"/>
    <mergeCell ref="A1212:Q1212"/>
    <mergeCell ref="C1203:M1203"/>
    <mergeCell ref="C1300:N1300"/>
    <mergeCell ref="C1301:N1301"/>
    <mergeCell ref="A1307:Q1307"/>
    <mergeCell ref="A1309:Q1309"/>
    <mergeCell ref="P1311:Q1311"/>
    <mergeCell ref="A1313:Q1313"/>
    <mergeCell ref="A1278:Q1278"/>
    <mergeCell ref="P1280:Q1280"/>
    <mergeCell ref="C1285:N1285"/>
    <mergeCell ref="N1292:Q1292"/>
    <mergeCell ref="A1294:Q1294"/>
    <mergeCell ref="A1296:Q1296"/>
    <mergeCell ref="A1255:Q1255"/>
    <mergeCell ref="A1257:Q1257"/>
    <mergeCell ref="P1259:Q1259"/>
    <mergeCell ref="C1260:L1260"/>
    <mergeCell ref="N1260:O1260"/>
    <mergeCell ref="P1260:Q1260"/>
    <mergeCell ref="G1204:N1204"/>
    <mergeCell ref="A1315:Q1315"/>
    <mergeCell ref="C1302:N1302"/>
    <mergeCell ref="C1303:N1303"/>
    <mergeCell ref="C1304:N1304"/>
    <mergeCell ref="C1305:N1305"/>
  </mergeCells>
  <conditionalFormatting sqref="B388:D390">
    <cfRule type="cellIs" dxfId="8" priority="21" stopIfTrue="1" operator="equal">
      <formula>"Make a selection FIRST --&gt;"</formula>
    </cfRule>
  </conditionalFormatting>
  <conditionalFormatting sqref="J587:L587">
    <cfRule type="cellIs" dxfId="7" priority="19" stopIfTrue="1" operator="greaterThan">
      <formula>$J$169</formula>
    </cfRule>
  </conditionalFormatting>
  <conditionalFormatting sqref="G448">
    <cfRule type="cellIs" priority="17" stopIfTrue="1" operator="equal">
      <formula>"""Exceeds the limit! Re-check amounts."""</formula>
    </cfRule>
  </conditionalFormatting>
  <conditionalFormatting sqref="H644:H681">
    <cfRule type="expression" priority="13" stopIfTrue="1">
      <formula>AND($B644="PHA", $H644&gt;0)</formula>
    </cfRule>
  </conditionalFormatting>
  <conditionalFormatting sqref="Q717:S734 Q690:S714">
    <cfRule type="cellIs" dxfId="6" priority="12" stopIfTrue="1" operator="greaterThan">
      <formula>0</formula>
    </cfRule>
  </conditionalFormatting>
  <conditionalFormatting sqref="A644:A681">
    <cfRule type="cellIs" dxfId="5" priority="11" stopIfTrue="1" operator="equal">
      <formula>1</formula>
    </cfRule>
  </conditionalFormatting>
  <conditionalFormatting sqref="I644:I681">
    <cfRule type="expression" priority="10" stopIfTrue="1">
      <formula>AND($B644="PHA", $H644&gt;0)</formula>
    </cfRule>
  </conditionalFormatting>
  <conditionalFormatting sqref="O738">
    <cfRule type="cellIs" dxfId="4" priority="9" operator="greaterThan">
      <formula>0.02</formula>
    </cfRule>
  </conditionalFormatting>
  <conditionalFormatting sqref="L1662 N1646:N1648 M1652 O1646:P1646 M1645 F1597 N1595 L1553:N1553 N1564 L1549 L1536 K1528:M1528 I1524 L1524 M1521:P1521 L1491 N1485:N1486 N1491 O1486:P1486 L1458 N1458 N1387 N1379 L1510:L1520 Q1367:Q1373 F1599">
    <cfRule type="cellIs" dxfId="3" priority="8" stopIfTrue="1" operator="equal">
      <formula>"* * Check Score! * *"</formula>
    </cfRule>
  </conditionalFormatting>
  <conditionalFormatting sqref="O1645">
    <cfRule type="cellIs" dxfId="2" priority="5" operator="greaterThan">
      <formula>M1645</formula>
    </cfRule>
  </conditionalFormatting>
  <conditionalFormatting sqref="F1417:F1418">
    <cfRule type="expression" dxfId="1" priority="6">
      <formula>AND($O$87&gt;0,$O$87&lt;4,OR($I$87="Statutory Redevelopment Plan",$I$87="Redevelopment Zone",$I$87="Local Redevelopment Plan"))</formula>
    </cfRule>
  </conditionalFormatting>
  <conditionalFormatting sqref="R1537 R1540:R1541">
    <cfRule type="cellIs" dxfId="0" priority="1" stopIfTrue="1" operator="equal">
      <formula>"* * Check Score! * *"</formula>
    </cfRule>
  </conditionalFormatting>
  <dataValidations count="1">
    <dataValidation type="list" allowBlank="1" showInputMessage="1" showErrorMessage="1" sqref="P1595">
      <formula1>"Yes, No"</formula1>
    </dataValidation>
  </dataValidations>
  <hyperlinks>
    <hyperlink ref="N56" r:id="rId1"/>
    <hyperlink ref="N57" r:id="rId2"/>
    <hyperlink ref="P207" r:id="rId3"/>
  </hyperlinks>
  <pageMargins left="0.7" right="0.7" top="0.75" bottom="0.75" header="0.3" footer="0.3"/>
  <pageSetup orientation="portrait" horizontalDpi="1200" verticalDpi="1200" r:id="rId4"/>
</worksheet>
</file>

<file path=xl/worksheets/sheet2.xml><?xml version="1.0" encoding="utf-8"?>
<worksheet xmlns="http://schemas.openxmlformats.org/spreadsheetml/2006/main" xmlns:r="http://schemas.openxmlformats.org/officeDocument/2006/relationships">
  <sheetPr codeName="Sheet3">
    <pageSetUpPr fitToPage="1"/>
  </sheetPr>
  <dimension ref="A1:AR842"/>
  <sheetViews>
    <sheetView showGridLines="0" showZeros="0" tabSelected="1" zoomScale="80" zoomScaleNormal="80" workbookViewId="0">
      <selection activeCell="A10" sqref="A1:XFD1048576"/>
    </sheetView>
  </sheetViews>
  <sheetFormatPr defaultColWidth="9.140625" defaultRowHeight="12" customHeight="1"/>
  <cols>
    <col min="1" max="1" width="3.28515625" style="383" customWidth="1"/>
    <col min="2" max="2" width="2.28515625" style="406" customWidth="1"/>
    <col min="3" max="16" width="8.85546875" style="383" customWidth="1"/>
    <col min="17" max="16384" width="9.140625" style="383"/>
  </cols>
  <sheetData>
    <row r="1" spans="1:16" s="363" customFormat="1" ht="13.9" customHeight="1">
      <c r="A1" s="1407" t="str">
        <f>CONCATENATE("PART ONE - PROJECT INFORMATION"," - ",$O$4," ",$F$23,", ",'Part I-Project Information'!F27,", ",'Part I-Project Information'!J28," County")</f>
        <v>PART ONE - PROJECT INFORMATION - 2014-028 Highland Estates, Rome, Floyd County</v>
      </c>
      <c r="B1" s="1408"/>
      <c r="C1" s="1408"/>
      <c r="D1" s="1408"/>
      <c r="E1" s="1408"/>
      <c r="F1" s="1408"/>
      <c r="G1" s="1408"/>
      <c r="H1" s="1408"/>
      <c r="I1" s="1408"/>
      <c r="J1" s="1408"/>
      <c r="K1" s="1408"/>
      <c r="L1" s="1408"/>
      <c r="M1" s="1408"/>
      <c r="N1" s="1408"/>
      <c r="O1" s="1408"/>
      <c r="P1" s="1409"/>
    </row>
    <row r="2" spans="1:16" s="363" customFormat="1" ht="12" customHeight="1">
      <c r="A2" s="364"/>
      <c r="B2" s="364"/>
      <c r="C2" s="364"/>
      <c r="D2" s="364"/>
      <c r="E2" s="364"/>
      <c r="F2" s="364"/>
      <c r="G2" s="364"/>
      <c r="H2" s="364"/>
      <c r="I2" s="364"/>
      <c r="J2" s="364"/>
      <c r="K2" s="364"/>
      <c r="L2" s="364"/>
      <c r="M2" s="364"/>
      <c r="N2" s="364"/>
      <c r="O2" s="364"/>
      <c r="P2" s="364"/>
    </row>
    <row r="3" spans="1:16" s="363" customFormat="1" ht="12" customHeight="1" thickBot="1">
      <c r="B3" s="364"/>
      <c r="C3" s="329" t="s">
        <v>2510</v>
      </c>
      <c r="F3" s="365"/>
      <c r="G3" s="331" t="s">
        <v>463</v>
      </c>
      <c r="L3" s="364"/>
      <c r="O3" s="1395" t="s">
        <v>2883</v>
      </c>
      <c r="P3" s="1395"/>
    </row>
    <row r="4" spans="1:16" s="363" customFormat="1" ht="12" customHeight="1" thickBot="1">
      <c r="A4" s="621"/>
      <c r="B4" s="366"/>
      <c r="C4" s="738"/>
      <c r="D4" s="213" t="s">
        <v>3333</v>
      </c>
      <c r="F4" s="367"/>
      <c r="G4" s="331" t="s">
        <v>464</v>
      </c>
      <c r="H4" s="1153"/>
      <c r="I4" s="1153"/>
      <c r="J4" s="1153"/>
      <c r="O4" s="1411" t="s">
        <v>3555</v>
      </c>
      <c r="P4" s="1412"/>
    </row>
    <row r="5" spans="1:16" s="363" customFormat="1" ht="9" customHeight="1">
      <c r="A5" s="621"/>
      <c r="B5" s="366"/>
      <c r="C5" s="366"/>
      <c r="D5" s="366"/>
      <c r="E5" s="1153"/>
      <c r="H5" s="1153"/>
      <c r="I5" s="1153"/>
      <c r="J5" s="1153"/>
      <c r="K5" s="329"/>
      <c r="M5" s="1153"/>
    </row>
    <row r="6" spans="1:16" s="363" customFormat="1" ht="13.15" customHeight="1">
      <c r="A6" s="366" t="s">
        <v>652</v>
      </c>
      <c r="B6" s="366" t="s">
        <v>2523</v>
      </c>
      <c r="D6" s="332"/>
      <c r="E6" s="368"/>
      <c r="F6" s="369" t="s">
        <v>1827</v>
      </c>
      <c r="J6" s="1419">
        <f>'Part IV-Uses of Funds'!J173</f>
        <v>1000000</v>
      </c>
      <c r="K6" s="1420"/>
      <c r="M6" s="1153"/>
    </row>
    <row r="7" spans="1:16" s="1" customFormat="1" ht="13.15" customHeight="1">
      <c r="A7" s="5"/>
      <c r="B7" s="5"/>
      <c r="D7" s="31"/>
      <c r="E7" s="450"/>
      <c r="F7" s="363" t="s">
        <v>1363</v>
      </c>
      <c r="J7" s="1425">
        <f>'Part III-Sources of Funds'!P4</f>
        <v>0</v>
      </c>
      <c r="K7" s="1426"/>
      <c r="L7" s="363"/>
      <c r="M7" s="1153"/>
      <c r="N7" s="363"/>
      <c r="O7" s="363"/>
      <c r="P7" s="363"/>
    </row>
    <row r="8" spans="1:16" s="363" customFormat="1" ht="6" customHeight="1">
      <c r="A8" s="366"/>
      <c r="B8" s="366"/>
      <c r="D8" s="332"/>
      <c r="E8" s="368"/>
      <c r="F8" s="368"/>
      <c r="I8" s="370"/>
      <c r="N8" s="371"/>
    </row>
    <row r="9" spans="1:16" s="363" customFormat="1" ht="13.15" customHeight="1">
      <c r="A9" s="370" t="s">
        <v>784</v>
      </c>
      <c r="B9" s="366" t="s">
        <v>2170</v>
      </c>
      <c r="F9" s="1402" t="s">
        <v>3422</v>
      </c>
      <c r="G9" s="1403"/>
      <c r="H9" s="1404"/>
      <c r="I9" s="402"/>
      <c r="J9" s="662" t="s">
        <v>3044</v>
      </c>
      <c r="K9" s="375"/>
      <c r="L9" s="1153"/>
      <c r="O9" s="1421" t="s">
        <v>3482</v>
      </c>
      <c r="P9" s="1422"/>
    </row>
    <row r="10" spans="1:16" s="363" customFormat="1" ht="12.75" customHeight="1">
      <c r="A10" s="621"/>
      <c r="H10" s="1153"/>
      <c r="J10" s="663" t="s">
        <v>2981</v>
      </c>
      <c r="K10" s="329"/>
      <c r="M10" s="1153"/>
      <c r="O10" s="1423" t="s">
        <v>3425</v>
      </c>
      <c r="P10" s="1424"/>
    </row>
    <row r="11" spans="1:16" s="363" customFormat="1" ht="7.15" customHeight="1">
      <c r="I11" s="332"/>
      <c r="J11" s="332"/>
      <c r="K11" s="332"/>
      <c r="L11" s="332"/>
      <c r="M11" s="332"/>
      <c r="N11" s="332"/>
      <c r="O11" s="332"/>
      <c r="P11" s="332"/>
    </row>
    <row r="12" spans="1:16" s="363" customFormat="1" ht="13.15" customHeight="1">
      <c r="A12" s="370" t="s">
        <v>786</v>
      </c>
      <c r="B12" s="366" t="s">
        <v>1563</v>
      </c>
      <c r="D12" s="369"/>
      <c r="E12" s="368"/>
      <c r="G12" s="372"/>
      <c r="H12" s="372"/>
      <c r="I12" s="372"/>
      <c r="K12" s="371"/>
      <c r="L12" s="371"/>
    </row>
    <row r="13" spans="1:16" s="363" customFormat="1" ht="3" customHeight="1">
      <c r="A13" s="370"/>
      <c r="B13" s="368"/>
      <c r="C13" s="366"/>
      <c r="D13" s="369"/>
      <c r="E13" s="368"/>
      <c r="G13" s="372"/>
      <c r="H13" s="372"/>
      <c r="I13" s="372"/>
      <c r="K13" s="371"/>
      <c r="L13" s="371"/>
      <c r="O13" s="364"/>
    </row>
    <row r="14" spans="1:16" s="363" customFormat="1" ht="13.15" customHeight="1">
      <c r="B14" s="363" t="s">
        <v>2442</v>
      </c>
      <c r="F14" s="1372" t="s">
        <v>3463</v>
      </c>
      <c r="G14" s="1373"/>
      <c r="H14" s="1373"/>
      <c r="I14" s="1373"/>
      <c r="J14" s="1373"/>
      <c r="K14" s="1373"/>
      <c r="L14" s="1375"/>
      <c r="M14" s="1148" t="s">
        <v>2107</v>
      </c>
      <c r="N14" s="1372" t="s">
        <v>3466</v>
      </c>
      <c r="O14" s="1373"/>
      <c r="P14" s="1375"/>
    </row>
    <row r="15" spans="1:16" s="363" customFormat="1" ht="13.15" customHeight="1">
      <c r="B15" s="369" t="s">
        <v>2108</v>
      </c>
      <c r="F15" s="1372" t="s">
        <v>3461</v>
      </c>
      <c r="G15" s="1373"/>
      <c r="H15" s="1373"/>
      <c r="I15" s="1373"/>
      <c r="J15" s="1373"/>
      <c r="K15" s="1373"/>
      <c r="L15" s="1375"/>
      <c r="M15" s="1148" t="s">
        <v>1833</v>
      </c>
      <c r="O15" s="1453">
        <v>2567609657</v>
      </c>
      <c r="P15" s="1454"/>
    </row>
    <row r="16" spans="1:16" s="363" customFormat="1" ht="13.15" customHeight="1">
      <c r="B16" s="369" t="s">
        <v>654</v>
      </c>
      <c r="F16" s="1429" t="s">
        <v>3462</v>
      </c>
      <c r="G16" s="1430"/>
      <c r="H16" s="1431"/>
      <c r="M16" s="1148" t="s">
        <v>1917</v>
      </c>
      <c r="O16" s="1367">
        <v>2567675804</v>
      </c>
      <c r="P16" s="1369"/>
    </row>
    <row r="17" spans="1:16" s="363" customFormat="1" ht="13.15" customHeight="1">
      <c r="B17" s="369" t="s">
        <v>1914</v>
      </c>
      <c r="F17" s="1224" t="s">
        <v>886</v>
      </c>
      <c r="I17" s="1153" t="s">
        <v>2367</v>
      </c>
      <c r="J17" s="1381">
        <v>356303731</v>
      </c>
      <c r="K17" s="1413"/>
      <c r="M17" s="1148" t="s">
        <v>2106</v>
      </c>
      <c r="O17" s="1367"/>
      <c r="P17" s="1369"/>
    </row>
    <row r="18" spans="1:16" s="363" customFormat="1" ht="13.15" customHeight="1">
      <c r="B18" s="369" t="s">
        <v>1832</v>
      </c>
      <c r="F18" s="1367">
        <v>2567609657</v>
      </c>
      <c r="G18" s="1368"/>
      <c r="H18" s="1369"/>
      <c r="I18" s="1145" t="s">
        <v>1831</v>
      </c>
      <c r="J18" s="1225"/>
      <c r="K18" s="1153" t="s">
        <v>2111</v>
      </c>
      <c r="L18" s="1372" t="s">
        <v>3465</v>
      </c>
      <c r="M18" s="1373"/>
      <c r="N18" s="1373"/>
      <c r="O18" s="1373"/>
      <c r="P18" s="1375"/>
    </row>
    <row r="19" spans="1:16" s="363" customFormat="1" ht="13.15" customHeight="1">
      <c r="A19" s="366"/>
      <c r="B19" s="356" t="s">
        <v>693</v>
      </c>
      <c r="D19" s="368"/>
      <c r="G19" s="368"/>
      <c r="H19" s="368"/>
      <c r="I19" s="372"/>
    </row>
    <row r="20" spans="1:16" s="363" customFormat="1" ht="6" customHeight="1">
      <c r="A20" s="621"/>
      <c r="B20" s="621"/>
      <c r="C20" s="373"/>
      <c r="D20" s="1156"/>
      <c r="E20" s="1156"/>
      <c r="F20" s="1156"/>
      <c r="H20" s="1153"/>
      <c r="I20" s="1156"/>
      <c r="J20" s="373"/>
      <c r="K20" s="1156"/>
      <c r="P20" s="374"/>
    </row>
    <row r="21" spans="1:16" s="363" customFormat="1" ht="13.15" customHeight="1">
      <c r="A21" s="370" t="s">
        <v>1907</v>
      </c>
      <c r="B21" s="366" t="s">
        <v>1564</v>
      </c>
      <c r="D21" s="332"/>
      <c r="E21" s="368"/>
      <c r="F21" s="368"/>
      <c r="G21" s="369"/>
      <c r="H21" s="368"/>
      <c r="I21" s="368"/>
      <c r="J21" s="372"/>
      <c r="L21" s="371"/>
      <c r="M21" s="371"/>
    </row>
    <row r="22" spans="1:16" s="363" customFormat="1" ht="3" customHeight="1">
      <c r="A22" s="370"/>
      <c r="B22" s="366"/>
      <c r="D22" s="332"/>
      <c r="E22" s="368"/>
      <c r="F22" s="368"/>
      <c r="G22" s="369"/>
      <c r="H22" s="368"/>
      <c r="I22" s="368"/>
      <c r="J22" s="372"/>
      <c r="L22" s="371"/>
    </row>
    <row r="23" spans="1:16" s="363" customFormat="1" ht="13.15" customHeight="1">
      <c r="A23" s="366"/>
      <c r="B23" s="363" t="s">
        <v>653</v>
      </c>
      <c r="D23" s="375"/>
      <c r="F23" s="1376" t="s">
        <v>3423</v>
      </c>
      <c r="G23" s="1377"/>
      <c r="H23" s="1377"/>
      <c r="I23" s="1377"/>
      <c r="J23" s="1377"/>
      <c r="K23" s="1377"/>
      <c r="L23" s="1378"/>
      <c r="M23" s="1148" t="s">
        <v>2325</v>
      </c>
      <c r="O23" s="1372" t="s">
        <v>3425</v>
      </c>
      <c r="P23" s="1375"/>
    </row>
    <row r="24" spans="1:16" s="363" customFormat="1" ht="13.15" customHeight="1">
      <c r="A24" s="376"/>
      <c r="B24" s="363" t="s">
        <v>2920</v>
      </c>
      <c r="D24" s="377"/>
      <c r="F24" s="1372" t="s">
        <v>3483</v>
      </c>
      <c r="G24" s="1373"/>
      <c r="H24" s="1373"/>
      <c r="I24" s="1373"/>
      <c r="J24" s="1373"/>
      <c r="K24" s="1373"/>
      <c r="L24" s="1375"/>
      <c r="M24" s="1148" t="s">
        <v>2180</v>
      </c>
      <c r="O24" s="1372" t="s">
        <v>3425</v>
      </c>
      <c r="P24" s="1375"/>
    </row>
    <row r="25" spans="1:16" s="363" customFormat="1" ht="13.15" customHeight="1">
      <c r="A25" s="376"/>
      <c r="B25" s="363" t="s">
        <v>2986</v>
      </c>
      <c r="D25" s="377"/>
      <c r="F25" s="1372" t="s">
        <v>3426</v>
      </c>
      <c r="G25" s="1373"/>
      <c r="H25" s="1373"/>
      <c r="I25" s="1373"/>
      <c r="J25" s="1373"/>
      <c r="K25" s="1373"/>
      <c r="L25" s="1375"/>
      <c r="M25" s="1148" t="s">
        <v>2987</v>
      </c>
      <c r="O25" s="1427"/>
      <c r="P25" s="1428"/>
    </row>
    <row r="26" spans="1:16" s="363" customFormat="1" ht="13.15" customHeight="1">
      <c r="A26" s="376"/>
      <c r="B26" s="363" t="s">
        <v>3057</v>
      </c>
      <c r="D26" s="377"/>
      <c r="F26" s="1372" t="s">
        <v>3476</v>
      </c>
      <c r="G26" s="1373"/>
      <c r="H26" s="1373"/>
      <c r="I26" s="1373"/>
      <c r="J26" s="1373"/>
      <c r="K26" s="1373"/>
      <c r="L26" s="1375"/>
      <c r="M26" s="1148" t="s">
        <v>2423</v>
      </c>
      <c r="O26" s="1414">
        <v>10</v>
      </c>
      <c r="P26" s="1415"/>
    </row>
    <row r="27" spans="1:16" s="363" customFormat="1" ht="13.15" customHeight="1">
      <c r="A27" s="621"/>
      <c r="B27" s="363" t="s">
        <v>654</v>
      </c>
      <c r="F27" s="1372" t="s">
        <v>2408</v>
      </c>
      <c r="G27" s="1373"/>
      <c r="H27" s="1375"/>
      <c r="I27" s="381" t="s">
        <v>2921</v>
      </c>
      <c r="J27" s="1381">
        <v>301651498</v>
      </c>
      <c r="K27" s="1413"/>
      <c r="L27" s="442" t="str">
        <f>IF(AND(NOT(F23=""),NOT(F27="Select from list"),J27=""),"Enter Zip!","")</f>
        <v/>
      </c>
      <c r="M27" s="379" t="s">
        <v>2435</v>
      </c>
      <c r="O27" s="1449" t="s">
        <v>3550</v>
      </c>
      <c r="P27" s="1450"/>
    </row>
    <row r="28" spans="1:16" s="363" customFormat="1" ht="13.15" customHeight="1">
      <c r="A28" s="621"/>
      <c r="B28" s="1156" t="s">
        <v>3036</v>
      </c>
      <c r="D28" s="1156"/>
      <c r="F28" s="1382" t="s">
        <v>3424</v>
      </c>
      <c r="G28" s="1394"/>
      <c r="H28" s="1383"/>
      <c r="I28" s="378" t="s">
        <v>655</v>
      </c>
      <c r="J28" s="1416" t="str">
        <f>IF($F$27="","",VLOOKUP($F$27,$N$179:$O$809,2,FALSE))</f>
        <v>Floyd</v>
      </c>
      <c r="K28" s="1417"/>
      <c r="M28" s="1148" t="s">
        <v>473</v>
      </c>
      <c r="N28" s="1226" t="s">
        <v>3425</v>
      </c>
      <c r="O28" s="371" t="s">
        <v>474</v>
      </c>
      <c r="P28" s="1226" t="s">
        <v>3425</v>
      </c>
    </row>
    <row r="29" spans="1:16" s="363" customFormat="1" ht="13.15" customHeight="1">
      <c r="A29" s="621"/>
      <c r="B29" s="366"/>
      <c r="C29" s="363" t="s">
        <v>1657</v>
      </c>
      <c r="F29" s="1227" t="s">
        <v>3425</v>
      </c>
      <c r="G29" s="1432" t="s">
        <v>3058</v>
      </c>
      <c r="H29" s="1433"/>
      <c r="I29" s="670" t="str">
        <f>IF($J$28="","",IF(VLOOKUP($J$28,C179:I338,7,FALSE)="Rural","Yes",IF(VLOOKUP($J$28,C179:I338,7,FALSE)="Urban","No","")))</f>
        <v>No</v>
      </c>
      <c r="J29" s="1145" t="s">
        <v>3082</v>
      </c>
      <c r="K29" s="1145" t="str">
        <f>IF(OR(F29="Yes",I29="Yes"),"Rural","Urban")</f>
        <v>Urban</v>
      </c>
      <c r="M29" s="1148" t="s">
        <v>2785</v>
      </c>
      <c r="N29" s="524" t="str">
        <f>VLOOKUP($J$28,$C$179:$F$338,4)</f>
        <v>MSA</v>
      </c>
      <c r="O29" s="1455" t="str">
        <f>IF($F$27="","",VLOOKUP($J$28,$C$179:$H$338,3,FALSE))</f>
        <v>Rome</v>
      </c>
      <c r="P29" s="1456"/>
    </row>
    <row r="30" spans="1:16" s="363" customFormat="1" ht="3" customHeight="1">
      <c r="A30" s="621"/>
      <c r="B30" s="366"/>
      <c r="C30" s="366"/>
      <c r="I30" s="369"/>
      <c r="J30" s="1156"/>
      <c r="L30" s="1162"/>
      <c r="M30" s="1162"/>
      <c r="N30" s="1162"/>
      <c r="O30" s="1162"/>
      <c r="P30" s="1162"/>
    </row>
    <row r="31" spans="1:16" s="363" customFormat="1" ht="13.15" customHeight="1">
      <c r="A31" s="621"/>
      <c r="C31" s="363" t="s">
        <v>2998</v>
      </c>
      <c r="F31" s="1418" t="s">
        <v>3028</v>
      </c>
      <c r="G31" s="1418"/>
      <c r="H31" s="1410" t="s">
        <v>780</v>
      </c>
      <c r="I31" s="1410"/>
      <c r="J31" s="1410" t="s">
        <v>781</v>
      </c>
      <c r="K31" s="1410"/>
      <c r="L31" s="655" t="s">
        <v>2922</v>
      </c>
    </row>
    <row r="32" spans="1:16" s="363" customFormat="1" ht="13.15" customHeight="1">
      <c r="A32" s="621"/>
      <c r="B32" s="363" t="s">
        <v>3027</v>
      </c>
      <c r="D32" s="366"/>
      <c r="F32" s="1447">
        <v>14</v>
      </c>
      <c r="G32" s="1448"/>
      <c r="H32" s="1447">
        <v>52</v>
      </c>
      <c r="I32" s="1448"/>
      <c r="J32" s="1447">
        <v>13</v>
      </c>
      <c r="K32" s="1448"/>
      <c r="L32" s="651" t="s">
        <v>1358</v>
      </c>
      <c r="N32" s="1451" t="s">
        <v>1359</v>
      </c>
      <c r="O32" s="1451"/>
      <c r="P32" s="1451"/>
    </row>
    <row r="33" spans="1:17" s="363" customFormat="1" ht="12.75" customHeight="1">
      <c r="A33" s="621"/>
      <c r="B33" s="369" t="s">
        <v>782</v>
      </c>
      <c r="F33" s="1447"/>
      <c r="G33" s="1448"/>
      <c r="H33" s="1447"/>
      <c r="I33" s="1448"/>
      <c r="J33" s="1447"/>
      <c r="K33" s="1448"/>
      <c r="L33" s="651" t="s">
        <v>3026</v>
      </c>
      <c r="N33" s="1452" t="s">
        <v>3025</v>
      </c>
      <c r="O33" s="1452"/>
    </row>
    <row r="34" spans="1:17" s="363" customFormat="1" ht="3" customHeight="1">
      <c r="A34" s="621"/>
      <c r="I34" s="1162"/>
      <c r="J34" s="1162"/>
      <c r="K34" s="1162"/>
      <c r="L34" s="1156"/>
      <c r="M34" s="1156"/>
      <c r="N34" s="1156"/>
      <c r="O34" s="1156"/>
      <c r="P34" s="1156"/>
    </row>
    <row r="35" spans="1:17" s="363" customFormat="1" ht="13.15" customHeight="1">
      <c r="A35" s="621"/>
      <c r="B35" s="366" t="s">
        <v>673</v>
      </c>
      <c r="F35" s="1458" t="s">
        <v>3427</v>
      </c>
      <c r="G35" s="1459"/>
      <c r="H35" s="1459"/>
      <c r="I35" s="1459"/>
      <c r="J35" s="1460"/>
      <c r="K35" s="1461"/>
      <c r="M35" s="644" t="s">
        <v>2926</v>
      </c>
      <c r="N35" s="1382" t="s">
        <v>3432</v>
      </c>
      <c r="O35" s="1394"/>
      <c r="P35" s="1383"/>
    </row>
    <row r="36" spans="1:17" s="363" customFormat="1" ht="13.15" customHeight="1">
      <c r="A36" s="621"/>
      <c r="B36" s="363" t="s">
        <v>674</v>
      </c>
      <c r="F36" s="1384" t="s">
        <v>3428</v>
      </c>
      <c r="G36" s="1385"/>
      <c r="H36" s="1386"/>
      <c r="I36" s="1146" t="s">
        <v>2107</v>
      </c>
      <c r="J36" s="1382" t="s">
        <v>3429</v>
      </c>
      <c r="K36" s="1394"/>
      <c r="L36" s="1383"/>
      <c r="M36" s="369" t="s">
        <v>1915</v>
      </c>
      <c r="N36" s="1384" t="s">
        <v>3431</v>
      </c>
      <c r="O36" s="1385"/>
      <c r="P36" s="1386"/>
    </row>
    <row r="37" spans="1:17" s="363" customFormat="1" ht="13.15" customHeight="1">
      <c r="A37" s="621"/>
      <c r="B37" s="363" t="s">
        <v>2108</v>
      </c>
      <c r="F37" s="1384" t="s">
        <v>3430</v>
      </c>
      <c r="G37" s="1385"/>
      <c r="H37" s="1385"/>
      <c r="I37" s="1385"/>
      <c r="J37" s="1464"/>
      <c r="K37" s="1465"/>
      <c r="M37" s="1152" t="s">
        <v>654</v>
      </c>
      <c r="N37" s="1382" t="s">
        <v>2408</v>
      </c>
      <c r="O37" s="1394"/>
      <c r="P37" s="1383"/>
    </row>
    <row r="38" spans="1:17" s="363" customFormat="1" ht="13.15" customHeight="1">
      <c r="A38" s="621"/>
      <c r="B38" s="1148" t="s">
        <v>2367</v>
      </c>
      <c r="F38" s="1387">
        <v>301610000</v>
      </c>
      <c r="G38" s="1388"/>
      <c r="H38" s="1145" t="s">
        <v>2109</v>
      </c>
      <c r="I38" s="1397">
        <v>7052954008</v>
      </c>
      <c r="J38" s="1466"/>
      <c r="K38" s="1467"/>
      <c r="M38" s="369" t="s">
        <v>1917</v>
      </c>
      <c r="N38" s="1462"/>
      <c r="O38" s="1463"/>
    </row>
    <row r="39" spans="1:17" s="363" customFormat="1" ht="6" customHeight="1">
      <c r="A39" s="621"/>
      <c r="B39" s="621"/>
      <c r="C39" s="380"/>
      <c r="D39" s="381"/>
      <c r="E39" s="381"/>
      <c r="F39" s="1153"/>
      <c r="G39" s="1153"/>
      <c r="H39" s="1153"/>
      <c r="I39" s="1153"/>
      <c r="J39" s="381"/>
      <c r="K39" s="1153"/>
      <c r="L39" s="1153"/>
      <c r="N39" s="1156"/>
      <c r="O39" s="1156"/>
      <c r="P39" s="374"/>
    </row>
    <row r="40" spans="1:17" s="363" customFormat="1" ht="12" customHeight="1">
      <c r="A40" s="370" t="s">
        <v>1909</v>
      </c>
      <c r="B40" s="366" t="s">
        <v>1565</v>
      </c>
      <c r="F40" s="382"/>
      <c r="I40" s="1148"/>
      <c r="J40" s="1156"/>
      <c r="K40" s="1156"/>
      <c r="L40" s="1156"/>
      <c r="M40" s="1156"/>
      <c r="N40" s="1156"/>
      <c r="O40" s="1156"/>
      <c r="P40" s="1156"/>
    </row>
    <row r="41" spans="1:17" s="363" customFormat="1" ht="3" customHeight="1">
      <c r="A41" s="621"/>
      <c r="B41" s="366"/>
      <c r="C41" s="366"/>
      <c r="I41" s="1148"/>
      <c r="J41" s="1156"/>
      <c r="K41" s="1156"/>
      <c r="L41" s="1156"/>
      <c r="M41" s="1156"/>
      <c r="N41" s="1156"/>
      <c r="O41" s="1156"/>
      <c r="P41" s="1156"/>
      <c r="Q41" s="1156"/>
    </row>
    <row r="42" spans="1:17" s="363" customFormat="1" ht="13.15" customHeight="1">
      <c r="A42" s="621"/>
      <c r="B42" s="621" t="s">
        <v>2110</v>
      </c>
      <c r="C42" s="366" t="s">
        <v>761</v>
      </c>
      <c r="I42" s="1156"/>
      <c r="J42" s="1156"/>
      <c r="K42" s="652"/>
      <c r="L42" s="1156"/>
      <c r="M42" s="654"/>
      <c r="N42" s="654"/>
      <c r="O42" s="654"/>
      <c r="P42" s="654"/>
      <c r="Q42" s="1153"/>
    </row>
    <row r="43" spans="1:17" ht="13.15" customHeight="1">
      <c r="B43" s="621"/>
      <c r="C43" s="363" t="s">
        <v>2436</v>
      </c>
      <c r="D43" s="363"/>
      <c r="E43" s="363"/>
      <c r="F43" s="384">
        <f>'Part VI-Revenues &amp; Expenses'!$M$74</f>
        <v>84</v>
      </c>
      <c r="H43" s="369" t="s">
        <v>384</v>
      </c>
      <c r="J43" s="363"/>
      <c r="M43" s="384">
        <f>'Part VI-Revenues &amp; Expenses'!$M$81</f>
        <v>0</v>
      </c>
      <c r="Q43" s="1153"/>
    </row>
    <row r="44" spans="1:17" s="363" customFormat="1" ht="13.15" customHeight="1">
      <c r="A44" s="621"/>
      <c r="B44" s="621"/>
      <c r="C44" s="385" t="s">
        <v>365</v>
      </c>
      <c r="F44" s="384">
        <f>'Part VI-Revenues &amp; Expenses'!$M$80</f>
        <v>0</v>
      </c>
      <c r="H44" s="385" t="s">
        <v>385</v>
      </c>
      <c r="M44" s="384">
        <f>'Part VI-Revenues &amp; Expenses'!$M$82</f>
        <v>0</v>
      </c>
    </row>
    <row r="45" spans="1:17" s="363" customFormat="1" ht="13.15" customHeight="1">
      <c r="B45" s="621"/>
      <c r="C45" s="369" t="s">
        <v>364</v>
      </c>
      <c r="D45" s="1156"/>
      <c r="F45" s="384">
        <f>'Part VI-Revenues &amp; Expenses'!$M$77</f>
        <v>0</v>
      </c>
      <c r="G45" s="623" t="s">
        <v>2983</v>
      </c>
      <c r="H45" s="363" t="s">
        <v>366</v>
      </c>
      <c r="M45" s="1228"/>
      <c r="Q45" s="1153"/>
    </row>
    <row r="46" spans="1:17" s="363" customFormat="1" ht="3.6" customHeight="1">
      <c r="A46" s="621"/>
      <c r="P46" s="1156"/>
    </row>
    <row r="47" spans="1:17" s="363" customFormat="1" ht="12.75">
      <c r="A47" s="621"/>
      <c r="B47" s="621" t="s">
        <v>2113</v>
      </c>
      <c r="C47" s="366" t="s">
        <v>2437</v>
      </c>
      <c r="F47" s="1225" t="s">
        <v>3425</v>
      </c>
      <c r="I47" s="1156"/>
      <c r="J47" s="1156"/>
      <c r="K47" s="1156"/>
      <c r="L47" s="1156"/>
      <c r="M47" s="654"/>
      <c r="N47" s="654"/>
      <c r="O47" s="654"/>
      <c r="P47" s="652"/>
      <c r="Q47" s="1156"/>
    </row>
    <row r="48" spans="1:17" s="363" customFormat="1" ht="3" customHeight="1">
      <c r="A48" s="621"/>
      <c r="I48" s="1156"/>
      <c r="J48" s="652"/>
      <c r="K48" s="653"/>
      <c r="L48" s="652"/>
      <c r="M48" s="653"/>
      <c r="N48" s="653"/>
      <c r="O48" s="653"/>
      <c r="P48" s="653"/>
      <c r="Q48" s="1156"/>
    </row>
    <row r="49" spans="1:19" s="363" customFormat="1" ht="13.15" customHeight="1">
      <c r="A49" s="621"/>
      <c r="B49" s="376" t="s">
        <v>793</v>
      </c>
      <c r="C49" s="375" t="s">
        <v>2416</v>
      </c>
      <c r="D49" s="1156"/>
      <c r="I49" s="1398" t="s">
        <v>1505</v>
      </c>
      <c r="J49" s="376" t="s">
        <v>2245</v>
      </c>
      <c r="K49" s="386" t="s">
        <v>2443</v>
      </c>
      <c r="M49" s="1156"/>
      <c r="N49" s="1156"/>
      <c r="O49" s="1156"/>
      <c r="P49" s="1153"/>
      <c r="Q49" s="1153"/>
      <c r="R49" s="1153"/>
      <c r="S49" s="1156"/>
    </row>
    <row r="50" spans="1:19" s="363" customFormat="1" ht="13.15" customHeight="1">
      <c r="A50" s="621"/>
      <c r="B50" s="1147"/>
      <c r="C50" s="373" t="s">
        <v>2417</v>
      </c>
      <c r="D50" s="1156"/>
      <c r="E50" s="1156"/>
      <c r="H50" s="387">
        <f>SUM(H51:H52)</f>
        <v>79</v>
      </c>
      <c r="I50" s="1399"/>
      <c r="J50" s="621"/>
      <c r="K50" s="373" t="s">
        <v>3047</v>
      </c>
      <c r="M50" s="1156"/>
      <c r="N50" s="1156"/>
      <c r="O50" s="1156"/>
      <c r="P50" s="387">
        <f>'Part VI-Revenues &amp; Expenses'!$M$96</f>
        <v>65350</v>
      </c>
    </row>
    <row r="51" spans="1:19" s="363" customFormat="1" ht="13.15" customHeight="1">
      <c r="A51" s="621"/>
      <c r="B51" s="383"/>
      <c r="D51" s="388" t="s">
        <v>404</v>
      </c>
      <c r="E51" s="1156"/>
      <c r="H51" s="387">
        <f>'Part VI-Revenues &amp; Expenses'!$M$57</f>
        <v>22</v>
      </c>
      <c r="I51" s="387">
        <f>'Part VI-Revenues &amp; Expenses'!$M$65</f>
        <v>0</v>
      </c>
      <c r="K51" s="373" t="s">
        <v>3048</v>
      </c>
      <c r="M51" s="1156"/>
      <c r="N51" s="1156"/>
      <c r="O51" s="1156"/>
      <c r="P51" s="387">
        <f>'Part VI-Revenues &amp; Expenses'!$M$97</f>
        <v>4250</v>
      </c>
    </row>
    <row r="52" spans="1:19" s="363" customFormat="1" ht="13.15" customHeight="1">
      <c r="A52" s="621"/>
      <c r="D52" s="388" t="s">
        <v>1940</v>
      </c>
      <c r="E52" s="388"/>
      <c r="H52" s="387">
        <f>'Part VI-Revenues &amp; Expenses'!$M$56</f>
        <v>57</v>
      </c>
      <c r="I52" s="387">
        <f>'Part VI-Revenues &amp; Expenses'!$M$64</f>
        <v>0</v>
      </c>
      <c r="K52" s="373" t="s">
        <v>3049</v>
      </c>
      <c r="M52" s="1156"/>
      <c r="N52" s="1156"/>
      <c r="O52" s="1156"/>
      <c r="P52" s="387">
        <f>+P50+P51</f>
        <v>69600</v>
      </c>
    </row>
    <row r="53" spans="1:19" s="363" customFormat="1" ht="13.15" customHeight="1">
      <c r="A53" s="621"/>
      <c r="C53" s="373" t="s">
        <v>266</v>
      </c>
      <c r="D53" s="1156"/>
      <c r="E53" s="1156"/>
      <c r="H53" s="387">
        <f>'Part VI-Revenues &amp; Expenses'!$M$59</f>
        <v>5</v>
      </c>
      <c r="J53" s="621"/>
      <c r="K53" s="373" t="s">
        <v>3050</v>
      </c>
      <c r="M53" s="1156"/>
      <c r="N53" s="1156"/>
      <c r="O53" s="1156"/>
      <c r="P53" s="387">
        <f>'Part VI-Revenues &amp; Expenses'!$M$99</f>
        <v>0</v>
      </c>
    </row>
    <row r="54" spans="1:19" s="363" customFormat="1" ht="13.15" customHeight="1">
      <c r="A54" s="621"/>
      <c r="C54" s="373" t="s">
        <v>2562</v>
      </c>
      <c r="D54" s="1156"/>
      <c r="E54" s="1156"/>
      <c r="H54" s="387">
        <f>+H50+H53</f>
        <v>84</v>
      </c>
      <c r="J54" s="621"/>
      <c r="K54" s="373" t="s">
        <v>1507</v>
      </c>
      <c r="M54" s="1156"/>
      <c r="N54" s="1156"/>
      <c r="O54" s="1156"/>
      <c r="P54" s="387">
        <f>+P52+P53</f>
        <v>69600</v>
      </c>
    </row>
    <row r="55" spans="1:19" s="363" customFormat="1" ht="13.15" customHeight="1">
      <c r="A55" s="621"/>
      <c r="C55" s="373" t="s">
        <v>2563</v>
      </c>
      <c r="D55" s="1156"/>
      <c r="E55" s="1156"/>
      <c r="H55" s="387">
        <f>'Part VI-Revenues &amp; Expenses'!$M$61</f>
        <v>0</v>
      </c>
      <c r="J55" s="621"/>
    </row>
    <row r="56" spans="1:19" s="363" customFormat="1" ht="13.15" customHeight="1">
      <c r="A56" s="621"/>
      <c r="C56" s="373" t="s">
        <v>1908</v>
      </c>
      <c r="D56" s="1156"/>
      <c r="E56" s="1156"/>
      <c r="H56" s="387">
        <f>+H54+H55</f>
        <v>84</v>
      </c>
      <c r="J56" s="1156"/>
    </row>
    <row r="57" spans="1:19" s="363" customFormat="1" ht="3" customHeight="1">
      <c r="A57" s="621"/>
      <c r="I57" s="1153"/>
      <c r="L57" s="1153"/>
      <c r="M57" s="1153"/>
      <c r="N57" s="1156"/>
      <c r="P57" s="374"/>
    </row>
    <row r="58" spans="1:19" s="363" customFormat="1" ht="13.15" customHeight="1">
      <c r="A58" s="621"/>
      <c r="B58" s="621" t="s">
        <v>1848</v>
      </c>
      <c r="C58" s="375" t="s">
        <v>2438</v>
      </c>
      <c r="D58" s="388" t="s">
        <v>2124</v>
      </c>
      <c r="G58" s="1156"/>
      <c r="H58" s="1229">
        <v>6</v>
      </c>
      <c r="K58" s="373" t="s">
        <v>1186</v>
      </c>
      <c r="O58" s="1156"/>
      <c r="P58" s="1229">
        <v>18000</v>
      </c>
    </row>
    <row r="59" spans="1:19" s="363" customFormat="1" ht="13.15" customHeight="1">
      <c r="A59" s="621"/>
      <c r="B59" s="621"/>
      <c r="D59" s="1147" t="s">
        <v>2125</v>
      </c>
      <c r="H59" s="1229"/>
      <c r="I59" s="1156"/>
      <c r="K59" s="373" t="s">
        <v>265</v>
      </c>
      <c r="O59" s="1156"/>
      <c r="P59" s="387">
        <f>+P54+P58</f>
        <v>87600</v>
      </c>
    </row>
    <row r="60" spans="1:19" s="363" customFormat="1" ht="13.15" customHeight="1">
      <c r="A60" s="621"/>
      <c r="B60" s="621"/>
      <c r="D60" s="1147" t="s">
        <v>2126</v>
      </c>
      <c r="H60" s="387">
        <f>+H58+H59</f>
        <v>6</v>
      </c>
      <c r="I60" s="1156"/>
    </row>
    <row r="61" spans="1:19" s="363" customFormat="1" ht="3" customHeight="1">
      <c r="A61" s="621"/>
      <c r="B61" s="621"/>
      <c r="C61" s="1156"/>
      <c r="D61" s="1156"/>
      <c r="E61" s="1156"/>
      <c r="F61" s="1156"/>
      <c r="G61" s="1153"/>
      <c r="I61" s="373"/>
      <c r="J61" s="1156"/>
      <c r="P61" s="374"/>
    </row>
    <row r="62" spans="1:19" s="363" customFormat="1" ht="13.15" customHeight="1">
      <c r="A62" s="621"/>
      <c r="B62" s="621" t="s">
        <v>1849</v>
      </c>
      <c r="C62" s="375" t="s">
        <v>3216</v>
      </c>
      <c r="D62" s="1156"/>
      <c r="E62" s="1156"/>
      <c r="F62" s="1156"/>
      <c r="G62" s="1156"/>
      <c r="H62" s="1229">
        <v>168</v>
      </c>
      <c r="K62" s="363" t="s">
        <v>3223</v>
      </c>
    </row>
    <row r="63" spans="1:19" s="363" customFormat="1" ht="6.75" customHeight="1">
      <c r="A63" s="621"/>
      <c r="B63" s="621"/>
      <c r="C63" s="373"/>
      <c r="D63" s="1156"/>
      <c r="E63" s="1156"/>
      <c r="F63" s="1156"/>
      <c r="G63" s="1153"/>
      <c r="H63" s="1156"/>
      <c r="I63" s="373"/>
      <c r="J63" s="373"/>
      <c r="K63" s="1156"/>
      <c r="P63" s="374"/>
    </row>
    <row r="64" spans="1:19" s="363" customFormat="1" ht="13.15" customHeight="1">
      <c r="A64" s="621" t="s">
        <v>558</v>
      </c>
      <c r="B64" s="389" t="s">
        <v>1256</v>
      </c>
      <c r="D64" s="389"/>
      <c r="E64" s="389"/>
      <c r="F64" s="1156"/>
      <c r="G64" s="1153"/>
      <c r="H64" s="668"/>
      <c r="K64" s="1156"/>
      <c r="P64" s="374"/>
    </row>
    <row r="65" spans="1:16" s="363" customFormat="1" ht="3" customHeight="1">
      <c r="A65" s="621"/>
      <c r="C65" s="1150"/>
      <c r="D65" s="1150"/>
      <c r="E65" s="1150"/>
      <c r="F65" s="1156"/>
      <c r="G65" s="1153"/>
      <c r="K65" s="1156"/>
      <c r="P65" s="374"/>
    </row>
    <row r="66" spans="1:16" s="363" customFormat="1" ht="13.15" customHeight="1">
      <c r="A66" s="621"/>
      <c r="B66" s="621" t="s">
        <v>2110</v>
      </c>
      <c r="C66" s="329" t="s">
        <v>2913</v>
      </c>
      <c r="D66" s="1150"/>
      <c r="E66" s="1150"/>
      <c r="F66" s="1156"/>
      <c r="G66" s="1153"/>
      <c r="H66" s="1405" t="s">
        <v>3450</v>
      </c>
      <c r="I66" s="1406"/>
      <c r="K66" s="1393" t="s">
        <v>1887</v>
      </c>
      <c r="L66" s="1393"/>
      <c r="N66" s="1372"/>
      <c r="O66" s="1373"/>
      <c r="P66" s="1375"/>
    </row>
    <row r="67" spans="1:16" s="363" customFormat="1" ht="3" customHeight="1">
      <c r="A67" s="621"/>
      <c r="B67" s="621"/>
      <c r="D67" s="1147"/>
      <c r="E67" s="1147"/>
      <c r="F67" s="1147"/>
      <c r="G67" s="1147"/>
      <c r="I67" s="1153"/>
      <c r="K67" s="1148"/>
      <c r="L67" s="1148"/>
      <c r="M67" s="1153"/>
      <c r="N67" s="1156"/>
      <c r="P67" s="374"/>
    </row>
    <row r="68" spans="1:16" s="363" customFormat="1" ht="13.15" customHeight="1">
      <c r="A68" s="621"/>
      <c r="B68" s="621" t="s">
        <v>2113</v>
      </c>
      <c r="C68" s="375" t="s">
        <v>1497</v>
      </c>
      <c r="D68" s="1156"/>
      <c r="E68" s="388"/>
      <c r="F68" s="1147" t="s">
        <v>844</v>
      </c>
      <c r="H68" s="1229">
        <v>5</v>
      </c>
      <c r="K68" s="1393" t="s">
        <v>548</v>
      </c>
      <c r="L68" s="1393"/>
      <c r="P68" s="391">
        <f>IF('Part VI-Revenues &amp; Expenses'!$M$62=0,0,H68/'Part VI-Revenues &amp; Expenses'!$M$62)</f>
        <v>5.9523809523809521E-2</v>
      </c>
    </row>
    <row r="69" spans="1:16" s="363" customFormat="1" ht="12.75" customHeight="1">
      <c r="A69" s="621"/>
      <c r="B69" s="621"/>
      <c r="D69" s="1147" t="s">
        <v>3214</v>
      </c>
      <c r="E69" s="1147"/>
      <c r="F69" s="1147" t="s">
        <v>844</v>
      </c>
      <c r="H69" s="1229">
        <v>2</v>
      </c>
      <c r="K69" s="1156" t="s">
        <v>3215</v>
      </c>
      <c r="L69" s="1156"/>
      <c r="P69" s="391">
        <f>IF(H68=0,0,H69/H68)</f>
        <v>0.4</v>
      </c>
    </row>
    <row r="70" spans="1:16" s="363" customFormat="1" ht="3" customHeight="1">
      <c r="A70" s="621"/>
      <c r="B70" s="621"/>
      <c r="D70" s="1147"/>
      <c r="E70" s="1147"/>
      <c r="F70" s="1147"/>
      <c r="I70" s="1153"/>
      <c r="K70" s="1148"/>
      <c r="L70" s="1148"/>
      <c r="M70" s="1153"/>
      <c r="P70" s="1153"/>
    </row>
    <row r="71" spans="1:16" s="363" customFormat="1" ht="13.15" customHeight="1">
      <c r="A71" s="621"/>
      <c r="B71" s="621" t="s">
        <v>793</v>
      </c>
      <c r="C71" s="375" t="s">
        <v>1964</v>
      </c>
      <c r="D71" s="388"/>
      <c r="E71" s="388"/>
      <c r="F71" s="1147" t="s">
        <v>844</v>
      </c>
      <c r="H71" s="1229">
        <v>2</v>
      </c>
      <c r="K71" s="1393" t="s">
        <v>548</v>
      </c>
      <c r="L71" s="1393"/>
      <c r="P71" s="391">
        <f>IF('Part VI-Revenues &amp; Expenses'!$M$62=0,0,H71/'Part VI-Revenues &amp; Expenses'!$M$62)</f>
        <v>2.3809523809523808E-2</v>
      </c>
    </row>
    <row r="72" spans="1:16" s="363" customFormat="1" ht="6.75" customHeight="1">
      <c r="A72" s="621"/>
      <c r="B72" s="621"/>
      <c r="D72" s="1147"/>
      <c r="E72" s="1147"/>
      <c r="F72" s="1147"/>
      <c r="G72" s="1147"/>
      <c r="I72" s="1153"/>
      <c r="J72" s="1153"/>
      <c r="K72" s="1153"/>
      <c r="L72" s="1153"/>
      <c r="M72" s="1153"/>
      <c r="N72" s="1156"/>
      <c r="P72" s="374"/>
    </row>
    <row r="73" spans="1:16" s="363" customFormat="1" ht="13.15" customHeight="1">
      <c r="A73" s="392" t="s">
        <v>817</v>
      </c>
      <c r="B73" s="1150" t="s">
        <v>2525</v>
      </c>
      <c r="D73" s="1147"/>
      <c r="E73" s="1147"/>
      <c r="F73" s="1147"/>
      <c r="G73" s="1147"/>
      <c r="H73" s="1147"/>
      <c r="I73" s="1153"/>
      <c r="M73" s="1153"/>
      <c r="N73" s="1156"/>
      <c r="P73" s="374"/>
    </row>
    <row r="74" spans="1:16" s="363" customFormat="1" ht="3" customHeight="1">
      <c r="A74" s="621"/>
      <c r="B74" s="621"/>
      <c r="C74" s="1150"/>
      <c r="D74" s="1147"/>
      <c r="E74" s="1147"/>
      <c r="F74" s="1147"/>
      <c r="L74" s="1153"/>
      <c r="M74" s="1153"/>
      <c r="N74" s="1156"/>
      <c r="P74" s="374"/>
    </row>
    <row r="75" spans="1:16" s="363" customFormat="1" ht="13.15" customHeight="1">
      <c r="A75" s="621"/>
      <c r="B75" s="621" t="s">
        <v>2110</v>
      </c>
      <c r="C75" s="329" t="s">
        <v>2524</v>
      </c>
      <c r="D75" s="1147"/>
      <c r="E75" s="1147"/>
      <c r="F75" s="1147"/>
      <c r="H75" s="1390" t="s">
        <v>918</v>
      </c>
      <c r="I75" s="1391"/>
      <c r="J75" s="1392"/>
      <c r="M75" s="1153"/>
      <c r="N75" s="1156"/>
      <c r="P75" s="374"/>
    </row>
    <row r="76" spans="1:16" s="363" customFormat="1" ht="3" customHeight="1">
      <c r="A76" s="621"/>
      <c r="B76" s="621"/>
      <c r="D76" s="1147"/>
      <c r="E76" s="1147"/>
      <c r="F76" s="1147"/>
      <c r="G76" s="1147"/>
      <c r="I76" s="1153"/>
      <c r="J76" s="1153"/>
      <c r="K76" s="1153"/>
      <c r="L76" s="1153"/>
      <c r="M76" s="1153"/>
      <c r="N76" s="1156"/>
      <c r="P76" s="374"/>
    </row>
    <row r="77" spans="1:16" s="363" customFormat="1" ht="13.15" customHeight="1">
      <c r="B77" s="621" t="s">
        <v>2113</v>
      </c>
      <c r="C77" s="366" t="s">
        <v>1632</v>
      </c>
      <c r="K77" s="369" t="s">
        <v>917</v>
      </c>
      <c r="N77" s="393"/>
      <c r="P77" s="1225"/>
    </row>
    <row r="78" spans="1:16" s="363" customFormat="1" ht="6.75" customHeight="1">
      <c r="A78" s="621"/>
      <c r="B78" s="621"/>
      <c r="C78" s="366"/>
      <c r="D78" s="1147"/>
      <c r="E78" s="1147"/>
      <c r="F78" s="1147"/>
      <c r="G78" s="1147"/>
      <c r="I78" s="1153"/>
      <c r="J78" s="1153"/>
      <c r="K78" s="1153"/>
      <c r="L78" s="1153"/>
      <c r="M78" s="1153"/>
      <c r="N78" s="1156"/>
      <c r="P78" s="374"/>
    </row>
    <row r="79" spans="1:16" s="363" customFormat="1" ht="13.15" customHeight="1">
      <c r="A79" s="392" t="s">
        <v>308</v>
      </c>
      <c r="B79" s="1150" t="s">
        <v>2171</v>
      </c>
      <c r="D79" s="1147"/>
    </row>
    <row r="80" spans="1:16" s="363" customFormat="1" ht="3" customHeight="1">
      <c r="A80" s="621"/>
      <c r="B80" s="621"/>
      <c r="D80" s="1147"/>
      <c r="N80" s="1156"/>
      <c r="P80" s="374"/>
    </row>
    <row r="81" spans="1:16" s="363" customFormat="1" ht="13.15" customHeight="1">
      <c r="A81" s="392"/>
      <c r="B81" s="621" t="s">
        <v>2110</v>
      </c>
      <c r="C81" s="366" t="s">
        <v>2932</v>
      </c>
      <c r="F81" s="388" t="s">
        <v>2773</v>
      </c>
      <c r="H81" s="1225"/>
    </row>
    <row r="82" spans="1:16" s="363" customFormat="1" ht="3" customHeight="1">
      <c r="A82" s="621"/>
      <c r="B82" s="621"/>
      <c r="C82" s="1150"/>
      <c r="F82" s="1147"/>
      <c r="H82" s="1147"/>
      <c r="J82" s="1153"/>
      <c r="K82" s="1153"/>
      <c r="L82" s="1153"/>
      <c r="M82" s="1153"/>
      <c r="N82" s="1153"/>
      <c r="P82" s="374"/>
    </row>
    <row r="83" spans="1:16" s="363" customFormat="1" ht="13.15" customHeight="1">
      <c r="A83" s="392"/>
      <c r="B83" s="621" t="s">
        <v>2113</v>
      </c>
      <c r="C83" s="366" t="s">
        <v>2933</v>
      </c>
      <c r="F83" s="1148" t="s">
        <v>2872</v>
      </c>
      <c r="H83" s="1225"/>
      <c r="I83" s="610" t="s">
        <v>2934</v>
      </c>
      <c r="J83" s="1153"/>
      <c r="K83" s="1153"/>
      <c r="L83" s="1153"/>
      <c r="M83" s="1153"/>
      <c r="N83" s="1153"/>
      <c r="O83" s="1153"/>
    </row>
    <row r="84" spans="1:16" s="363" customFormat="1" ht="6.75" customHeight="1">
      <c r="A84" s="621"/>
      <c r="B84" s="621"/>
      <c r="C84" s="366"/>
      <c r="D84" s="1147"/>
      <c r="E84" s="1147"/>
      <c r="F84" s="1147"/>
      <c r="G84" s="1147"/>
      <c r="I84" s="1153"/>
      <c r="J84" s="1153"/>
      <c r="K84" s="1153"/>
      <c r="L84" s="1153"/>
      <c r="M84" s="1153"/>
      <c r="N84" s="1156"/>
      <c r="P84" s="374"/>
    </row>
    <row r="85" spans="1:16" s="363" customFormat="1" ht="13.15" customHeight="1">
      <c r="A85" s="392" t="s">
        <v>445</v>
      </c>
      <c r="B85" s="1150" t="s">
        <v>3060</v>
      </c>
      <c r="D85" s="1147"/>
      <c r="H85" s="1382" t="s">
        <v>3117</v>
      </c>
      <c r="I85" s="1383"/>
      <c r="J85" s="1153"/>
    </row>
    <row r="86" spans="1:16" s="363" customFormat="1" ht="6.75" customHeight="1">
      <c r="A86" s="621"/>
      <c r="D86" s="381"/>
      <c r="E86" s="1156"/>
      <c r="I86" s="381"/>
      <c r="J86" s="373"/>
      <c r="K86" s="1156"/>
      <c r="P86" s="374"/>
    </row>
    <row r="87" spans="1:16" s="363" customFormat="1" ht="13.15" customHeight="1">
      <c r="A87" s="392" t="s">
        <v>381</v>
      </c>
      <c r="B87" s="386" t="s">
        <v>1254</v>
      </c>
      <c r="D87" s="1156"/>
      <c r="E87" s="1156"/>
      <c r="F87" s="1156"/>
      <c r="G87" s="1156"/>
      <c r="H87" s="1156"/>
      <c r="I87" s="381"/>
      <c r="J87" s="373"/>
      <c r="K87" s="1156"/>
      <c r="P87" s="374"/>
    </row>
    <row r="88" spans="1:16" s="363" customFormat="1" ht="3" customHeight="1">
      <c r="A88" s="392"/>
      <c r="B88" s="621"/>
      <c r="C88" s="386"/>
      <c r="D88" s="1156"/>
      <c r="E88" s="1156"/>
      <c r="F88" s="1156"/>
      <c r="G88" s="1156"/>
      <c r="H88" s="1156"/>
      <c r="I88" s="381"/>
      <c r="J88" s="373"/>
      <c r="K88" s="1156"/>
    </row>
    <row r="89" spans="1:16" s="363" customFormat="1" ht="13.15" customHeight="1">
      <c r="A89" s="621"/>
      <c r="B89" s="621"/>
      <c r="C89" s="373" t="s">
        <v>580</v>
      </c>
      <c r="D89" s="1156"/>
      <c r="E89" s="1372"/>
      <c r="F89" s="1373"/>
      <c r="G89" s="1373"/>
      <c r="H89" s="1373"/>
      <c r="I89" s="1373"/>
      <c r="J89" s="1373"/>
      <c r="K89" s="1373"/>
      <c r="L89" s="1375"/>
      <c r="M89" s="1389" t="s">
        <v>581</v>
      </c>
      <c r="N89" s="1389"/>
      <c r="O89" s="1437"/>
      <c r="P89" s="1438"/>
    </row>
    <row r="90" spans="1:16" s="363" customFormat="1" ht="13.15" customHeight="1">
      <c r="C90" s="369" t="s">
        <v>1077</v>
      </c>
      <c r="D90" s="377"/>
      <c r="E90" s="1372"/>
      <c r="F90" s="1373"/>
      <c r="G90" s="1373"/>
      <c r="H90" s="1373"/>
      <c r="I90" s="1373"/>
      <c r="J90" s="1373"/>
      <c r="K90" s="1373"/>
      <c r="L90" s="1375"/>
      <c r="M90" s="1389" t="s">
        <v>856</v>
      </c>
      <c r="N90" s="1389"/>
      <c r="O90" s="1376"/>
      <c r="P90" s="1378"/>
    </row>
    <row r="91" spans="1:16" s="363" customFormat="1" ht="13.15" customHeight="1">
      <c r="C91" s="369" t="s">
        <v>654</v>
      </c>
      <c r="E91" s="1372"/>
      <c r="F91" s="1379"/>
      <c r="G91" s="1380"/>
      <c r="H91" s="1145" t="s">
        <v>1914</v>
      </c>
      <c r="I91" s="1225"/>
      <c r="J91" s="394" t="s">
        <v>2367</v>
      </c>
      <c r="K91" s="1381"/>
      <c r="L91" s="1380"/>
      <c r="M91" s="332"/>
      <c r="N91" s="332"/>
      <c r="O91" s="332"/>
      <c r="P91" s="332"/>
    </row>
    <row r="92" spans="1:16" s="363" customFormat="1" ht="13.15" customHeight="1">
      <c r="C92" s="363" t="s">
        <v>2327</v>
      </c>
      <c r="E92" s="1372"/>
      <c r="F92" s="1379"/>
      <c r="G92" s="1380"/>
      <c r="H92" s="1153" t="s">
        <v>2107</v>
      </c>
      <c r="I92" s="1372"/>
      <c r="J92" s="1379"/>
      <c r="K92" s="1380"/>
      <c r="L92" s="1163" t="s">
        <v>2111</v>
      </c>
      <c r="M92" s="1372"/>
      <c r="N92" s="1379"/>
      <c r="O92" s="1379"/>
      <c r="P92" s="1380"/>
    </row>
    <row r="93" spans="1:16" s="363" customFormat="1" ht="13.15" customHeight="1">
      <c r="C93" s="369" t="s">
        <v>2326</v>
      </c>
      <c r="E93" s="1367"/>
      <c r="F93" s="1368"/>
      <c r="G93" s="1369"/>
      <c r="H93" s="1153" t="s">
        <v>1917</v>
      </c>
      <c r="I93" s="1397"/>
      <c r="J93" s="1380"/>
      <c r="K93" s="394" t="s">
        <v>1918</v>
      </c>
      <c r="L93" s="1397"/>
      <c r="M93" s="1380"/>
      <c r="N93" s="394" t="s">
        <v>2106</v>
      </c>
      <c r="O93" s="1397"/>
      <c r="P93" s="1380"/>
    </row>
    <row r="94" spans="1:16" s="363" customFormat="1" ht="3" customHeight="1">
      <c r="A94" s="621"/>
      <c r="B94" s="621"/>
      <c r="G94" s="381"/>
      <c r="H94" s="1153"/>
      <c r="I94" s="1153"/>
      <c r="M94" s="374"/>
    </row>
    <row r="95" spans="1:16" s="363" customFormat="1" ht="13.15" customHeight="1">
      <c r="A95" s="392" t="s">
        <v>382</v>
      </c>
      <c r="B95" s="1150" t="s">
        <v>1773</v>
      </c>
      <c r="D95" s="381"/>
      <c r="E95" s="381"/>
      <c r="F95" s="1153"/>
      <c r="G95" s="1153"/>
      <c r="H95" s="1153"/>
      <c r="I95" s="1153"/>
      <c r="J95" s="381"/>
      <c r="K95" s="1153"/>
      <c r="L95" s="1153"/>
      <c r="N95" s="1156"/>
      <c r="O95" s="1156"/>
      <c r="P95" s="374"/>
    </row>
    <row r="96" spans="1:16" s="363" customFormat="1" ht="3.6" customHeight="1">
      <c r="A96" s="392"/>
      <c r="B96" s="1150"/>
      <c r="D96" s="381"/>
      <c r="E96" s="381"/>
      <c r="F96" s="1153"/>
      <c r="G96" s="1153"/>
      <c r="H96" s="1153"/>
      <c r="I96" s="1153"/>
      <c r="J96" s="381"/>
      <c r="K96" s="1153"/>
      <c r="L96" s="1153"/>
      <c r="N96" s="1156"/>
      <c r="O96" s="1156"/>
      <c r="P96" s="374"/>
    </row>
    <row r="97" spans="1:16" s="363" customFormat="1" ht="13.15" customHeight="1">
      <c r="B97" s="388" t="s">
        <v>2284</v>
      </c>
      <c r="D97" s="395"/>
      <c r="E97" s="395"/>
      <c r="F97" s="395"/>
      <c r="G97" s="395"/>
      <c r="H97" s="395"/>
      <c r="I97" s="395"/>
      <c r="J97" s="395"/>
      <c r="K97" s="395"/>
      <c r="L97" s="395"/>
      <c r="M97" s="395"/>
      <c r="N97" s="395"/>
      <c r="O97" s="395"/>
      <c r="P97" s="395"/>
    </row>
    <row r="98" spans="1:16" s="363" customFormat="1" ht="4.9000000000000004" customHeight="1">
      <c r="A98" s="621"/>
      <c r="B98" s="621"/>
      <c r="C98" s="396"/>
      <c r="D98" s="396"/>
      <c r="E98" s="396"/>
      <c r="F98" s="396"/>
      <c r="G98" s="396"/>
      <c r="H98" s="396"/>
      <c r="I98" s="396"/>
      <c r="J98" s="396"/>
      <c r="K98" s="396"/>
      <c r="L98" s="396"/>
      <c r="M98" s="396"/>
      <c r="N98" s="396"/>
      <c r="O98" s="396"/>
      <c r="P98" s="396"/>
    </row>
    <row r="99" spans="1:16" s="363" customFormat="1" ht="13.15" customHeight="1">
      <c r="A99" s="621"/>
      <c r="B99" s="621" t="s">
        <v>2110</v>
      </c>
      <c r="C99" s="1150" t="s">
        <v>1498</v>
      </c>
      <c r="D99" s="1147"/>
      <c r="E99" s="1147"/>
      <c r="F99" s="1153"/>
      <c r="G99" s="1153"/>
      <c r="H99" s="1230">
        <v>2</v>
      </c>
      <c r="N99" s="1156"/>
      <c r="O99" s="1156"/>
    </row>
    <row r="100" spans="1:16" s="363" customFormat="1" ht="3.6" customHeight="1">
      <c r="A100" s="621"/>
      <c r="B100" s="621"/>
      <c r="C100" s="396"/>
      <c r="D100" s="396"/>
      <c r="E100" s="396"/>
      <c r="F100" s="396"/>
      <c r="G100" s="396"/>
      <c r="H100" s="396"/>
      <c r="J100" s="396"/>
      <c r="M100" s="396"/>
      <c r="N100" s="396"/>
      <c r="O100" s="396"/>
    </row>
    <row r="101" spans="1:16" s="363" customFormat="1" ht="13.15" customHeight="1">
      <c r="A101" s="621"/>
      <c r="B101" s="621" t="s">
        <v>2113</v>
      </c>
      <c r="C101" s="1150" t="s">
        <v>435</v>
      </c>
      <c r="D101" s="1147"/>
      <c r="E101" s="1147"/>
      <c r="F101" s="1153"/>
      <c r="G101" s="1153"/>
      <c r="H101" s="1231">
        <v>1401724</v>
      </c>
      <c r="J101" s="381"/>
      <c r="K101" s="1148"/>
      <c r="N101" s="1156"/>
    </row>
    <row r="102" spans="1:16" s="363" customFormat="1" ht="3.6" customHeight="1">
      <c r="A102" s="621"/>
      <c r="B102" s="621"/>
      <c r="C102" s="396"/>
      <c r="D102" s="396"/>
      <c r="E102" s="396"/>
      <c r="F102" s="396"/>
      <c r="G102" s="396"/>
      <c r="H102" s="396"/>
      <c r="I102" s="396"/>
      <c r="J102" s="396"/>
      <c r="K102" s="396"/>
      <c r="M102" s="396"/>
      <c r="N102" s="396"/>
      <c r="O102" s="396"/>
      <c r="P102" s="396"/>
    </row>
    <row r="103" spans="1:16" s="363" customFormat="1" ht="13.15" customHeight="1">
      <c r="B103" s="621" t="s">
        <v>793</v>
      </c>
      <c r="C103" s="1150" t="s">
        <v>318</v>
      </c>
      <c r="D103" s="1147"/>
      <c r="E103" s="1147"/>
      <c r="F103" s="1153"/>
      <c r="G103" s="1153"/>
      <c r="H103" s="1153"/>
      <c r="I103" s="1153"/>
      <c r="J103" s="381"/>
      <c r="K103" s="1153"/>
      <c r="L103" s="1153"/>
      <c r="N103" s="1156"/>
      <c r="O103" s="1156"/>
    </row>
    <row r="104" spans="1:16" s="363" customFormat="1" ht="13.15" customHeight="1">
      <c r="B104" s="621"/>
      <c r="C104" s="1147" t="s">
        <v>2266</v>
      </c>
      <c r="D104" s="1147"/>
      <c r="F104" s="1147" t="s">
        <v>1196</v>
      </c>
      <c r="G104" s="1153"/>
      <c r="H104" s="1153"/>
      <c r="I104" s="1153"/>
      <c r="J104" s="1147" t="s">
        <v>2266</v>
      </c>
      <c r="K104" s="1147"/>
      <c r="M104" s="1147" t="s">
        <v>1196</v>
      </c>
      <c r="N104" s="1153"/>
      <c r="O104" s="1153"/>
      <c r="P104" s="1153"/>
    </row>
    <row r="105" spans="1:16" s="363" customFormat="1" ht="13.15" customHeight="1">
      <c r="A105" s="621"/>
      <c r="B105" s="621"/>
      <c r="C105" s="1396" t="s">
        <v>3463</v>
      </c>
      <c r="D105" s="1359"/>
      <c r="E105" s="1359"/>
      <c r="F105" s="1359" t="s">
        <v>3497</v>
      </c>
      <c r="G105" s="1359"/>
      <c r="H105" s="1359"/>
      <c r="I105" s="1360"/>
      <c r="J105" s="1396">
        <v>6</v>
      </c>
      <c r="K105" s="1359"/>
      <c r="L105" s="1359"/>
      <c r="M105" s="1359"/>
      <c r="N105" s="1359"/>
      <c r="O105" s="1359"/>
      <c r="P105" s="1360"/>
    </row>
    <row r="106" spans="1:16" s="363" customFormat="1" ht="13.15" customHeight="1">
      <c r="A106" s="621"/>
      <c r="B106" s="621"/>
      <c r="C106" s="1356" t="s">
        <v>3463</v>
      </c>
      <c r="D106" s="1357"/>
      <c r="E106" s="1357"/>
      <c r="F106" s="1357" t="s">
        <v>3423</v>
      </c>
      <c r="G106" s="1357"/>
      <c r="H106" s="1357"/>
      <c r="I106" s="1358"/>
      <c r="J106" s="1356">
        <v>7</v>
      </c>
      <c r="K106" s="1357"/>
      <c r="L106" s="1357"/>
      <c r="M106" s="1357"/>
      <c r="N106" s="1357"/>
      <c r="O106" s="1357"/>
      <c r="P106" s="1358"/>
    </row>
    <row r="107" spans="1:16" s="363" customFormat="1" ht="13.15" customHeight="1">
      <c r="A107" s="621"/>
      <c r="B107" s="621"/>
      <c r="C107" s="1356">
        <v>3</v>
      </c>
      <c r="D107" s="1357"/>
      <c r="E107" s="1357"/>
      <c r="F107" s="1357"/>
      <c r="G107" s="1357"/>
      <c r="H107" s="1357"/>
      <c r="I107" s="1358"/>
      <c r="J107" s="1356">
        <v>8</v>
      </c>
      <c r="K107" s="1357"/>
      <c r="L107" s="1357"/>
      <c r="M107" s="1357"/>
      <c r="N107" s="1357"/>
      <c r="O107" s="1357"/>
      <c r="P107" s="1358"/>
    </row>
    <row r="108" spans="1:16" s="363" customFormat="1" ht="13.15" customHeight="1">
      <c r="A108" s="621"/>
      <c r="B108" s="621"/>
      <c r="C108" s="1356">
        <v>4</v>
      </c>
      <c r="D108" s="1357"/>
      <c r="E108" s="1357"/>
      <c r="F108" s="1357"/>
      <c r="G108" s="1357"/>
      <c r="H108" s="1357"/>
      <c r="I108" s="1358"/>
      <c r="J108" s="1356">
        <v>9</v>
      </c>
      <c r="K108" s="1357"/>
      <c r="L108" s="1357"/>
      <c r="M108" s="1357"/>
      <c r="N108" s="1357"/>
      <c r="O108" s="1357"/>
      <c r="P108" s="1358"/>
    </row>
    <row r="109" spans="1:16" s="363" customFormat="1" ht="13.15" customHeight="1">
      <c r="A109" s="621"/>
      <c r="B109" s="621"/>
      <c r="C109" s="1364">
        <v>5</v>
      </c>
      <c r="D109" s="1365"/>
      <c r="E109" s="1365"/>
      <c r="F109" s="1365"/>
      <c r="G109" s="1365"/>
      <c r="H109" s="1365"/>
      <c r="I109" s="1366"/>
      <c r="J109" s="1364">
        <v>10</v>
      </c>
      <c r="K109" s="1365"/>
      <c r="L109" s="1365"/>
      <c r="M109" s="1365"/>
      <c r="N109" s="1365"/>
      <c r="O109" s="1365"/>
      <c r="P109" s="1366"/>
    </row>
    <row r="110" spans="1:16" s="363" customFormat="1" ht="4.9000000000000004" customHeight="1">
      <c r="A110" s="621"/>
      <c r="B110" s="621"/>
      <c r="C110" s="396"/>
      <c r="D110" s="396"/>
      <c r="E110" s="396"/>
      <c r="F110" s="396"/>
      <c r="G110" s="396"/>
      <c r="H110" s="396"/>
      <c r="I110" s="396"/>
      <c r="J110" s="396"/>
      <c r="K110" s="396"/>
      <c r="L110" s="396"/>
      <c r="M110" s="396"/>
      <c r="N110" s="396"/>
      <c r="O110" s="396"/>
      <c r="P110" s="396"/>
    </row>
    <row r="111" spans="1:16" s="363" customFormat="1" ht="13.15" customHeight="1">
      <c r="A111" s="621"/>
      <c r="B111" s="621" t="s">
        <v>2245</v>
      </c>
      <c r="C111" s="1457" t="s">
        <v>1968</v>
      </c>
      <c r="D111" s="1457"/>
      <c r="E111" s="1457"/>
      <c r="F111" s="1457"/>
      <c r="G111" s="1457"/>
      <c r="H111" s="1457"/>
      <c r="I111" s="1457"/>
      <c r="J111" s="1457"/>
      <c r="K111" s="1457"/>
      <c r="L111" s="1457"/>
      <c r="M111" s="1457"/>
      <c r="N111" s="1457"/>
      <c r="O111" s="1457"/>
      <c r="P111" s="1457"/>
    </row>
    <row r="112" spans="1:16" s="363" customFormat="1" ht="13.15" customHeight="1">
      <c r="A112" s="621"/>
      <c r="B112" s="621"/>
      <c r="C112" s="1457"/>
      <c r="D112" s="1457"/>
      <c r="E112" s="1457"/>
      <c r="F112" s="1457"/>
      <c r="G112" s="1457"/>
      <c r="H112" s="1457"/>
      <c r="I112" s="1457"/>
      <c r="J112" s="1457"/>
      <c r="K112" s="1457"/>
      <c r="L112" s="1457"/>
      <c r="M112" s="1457"/>
      <c r="N112" s="1457"/>
      <c r="O112" s="1457"/>
      <c r="P112" s="1457"/>
    </row>
    <row r="113" spans="1:16" s="363" customFormat="1" ht="13.15" customHeight="1">
      <c r="B113" s="621"/>
      <c r="C113" s="1147" t="s">
        <v>2266</v>
      </c>
      <c r="D113" s="1147"/>
      <c r="F113" s="1147" t="s">
        <v>1196</v>
      </c>
      <c r="G113" s="1153"/>
      <c r="H113" s="1153"/>
      <c r="I113" s="1153"/>
      <c r="J113" s="1147" t="s">
        <v>2266</v>
      </c>
      <c r="K113" s="1147"/>
      <c r="M113" s="1147" t="s">
        <v>1196</v>
      </c>
      <c r="N113" s="1153"/>
      <c r="O113" s="1153"/>
      <c r="P113" s="1153"/>
    </row>
    <row r="114" spans="1:16" s="363" customFormat="1" ht="13.15" customHeight="1">
      <c r="A114" s="621"/>
      <c r="B114" s="621"/>
      <c r="C114" s="1396">
        <v>1</v>
      </c>
      <c r="D114" s="1359"/>
      <c r="E114" s="1359"/>
      <c r="F114" s="1359"/>
      <c r="G114" s="1359"/>
      <c r="H114" s="1359"/>
      <c r="I114" s="1360"/>
      <c r="J114" s="1396">
        <v>6</v>
      </c>
      <c r="K114" s="1359"/>
      <c r="L114" s="1359"/>
      <c r="M114" s="1359"/>
      <c r="N114" s="1359"/>
      <c r="O114" s="1359"/>
      <c r="P114" s="1360"/>
    </row>
    <row r="115" spans="1:16" s="363" customFormat="1" ht="13.15" customHeight="1">
      <c r="A115" s="621"/>
      <c r="B115" s="621"/>
      <c r="C115" s="1356">
        <v>2</v>
      </c>
      <c r="D115" s="1357"/>
      <c r="E115" s="1357"/>
      <c r="F115" s="1357"/>
      <c r="G115" s="1357"/>
      <c r="H115" s="1357"/>
      <c r="I115" s="1358"/>
      <c r="J115" s="1356">
        <v>7</v>
      </c>
      <c r="K115" s="1357"/>
      <c r="L115" s="1357"/>
      <c r="M115" s="1357"/>
      <c r="N115" s="1357"/>
      <c r="O115" s="1357"/>
      <c r="P115" s="1358"/>
    </row>
    <row r="116" spans="1:16" s="363" customFormat="1" ht="13.15" customHeight="1">
      <c r="A116" s="621"/>
      <c r="B116" s="621"/>
      <c r="C116" s="1356">
        <v>3</v>
      </c>
      <c r="D116" s="1357"/>
      <c r="E116" s="1357"/>
      <c r="F116" s="1357"/>
      <c r="G116" s="1357"/>
      <c r="H116" s="1357"/>
      <c r="I116" s="1358"/>
      <c r="J116" s="1356">
        <v>8</v>
      </c>
      <c r="K116" s="1357"/>
      <c r="L116" s="1357"/>
      <c r="M116" s="1357"/>
      <c r="N116" s="1357"/>
      <c r="O116" s="1357"/>
      <c r="P116" s="1358"/>
    </row>
    <row r="117" spans="1:16" s="363" customFormat="1" ht="13.15" customHeight="1">
      <c r="A117" s="621"/>
      <c r="B117" s="621"/>
      <c r="C117" s="1356">
        <v>4</v>
      </c>
      <c r="D117" s="1357"/>
      <c r="E117" s="1357"/>
      <c r="F117" s="1357"/>
      <c r="G117" s="1357"/>
      <c r="H117" s="1357"/>
      <c r="I117" s="1358"/>
      <c r="J117" s="1356">
        <v>9</v>
      </c>
      <c r="K117" s="1357"/>
      <c r="L117" s="1357"/>
      <c r="M117" s="1357"/>
      <c r="N117" s="1357"/>
      <c r="O117" s="1357"/>
      <c r="P117" s="1358"/>
    </row>
    <row r="118" spans="1:16" s="363" customFormat="1" ht="13.15" customHeight="1">
      <c r="A118" s="621"/>
      <c r="B118" s="621"/>
      <c r="C118" s="1364">
        <v>5</v>
      </c>
      <c r="D118" s="1365"/>
      <c r="E118" s="1365"/>
      <c r="F118" s="1365"/>
      <c r="G118" s="1365"/>
      <c r="H118" s="1365"/>
      <c r="I118" s="1366"/>
      <c r="J118" s="1364">
        <v>10</v>
      </c>
      <c r="K118" s="1365"/>
      <c r="L118" s="1365"/>
      <c r="M118" s="1365"/>
      <c r="N118" s="1365"/>
      <c r="O118" s="1365"/>
      <c r="P118" s="1366"/>
    </row>
    <row r="119" spans="1:16" s="363" customFormat="1" ht="6.6" customHeight="1">
      <c r="A119" s="621"/>
      <c r="B119" s="621"/>
      <c r="C119" s="1147"/>
      <c r="D119" s="1147"/>
      <c r="E119" s="1147"/>
      <c r="F119" s="1153"/>
      <c r="G119" s="1153"/>
      <c r="H119" s="1153"/>
      <c r="I119" s="1153"/>
      <c r="J119" s="381"/>
      <c r="K119" s="1153"/>
      <c r="L119" s="1153"/>
      <c r="N119" s="1156"/>
      <c r="O119" s="1156"/>
      <c r="P119" s="374"/>
    </row>
    <row r="120" spans="1:16" s="363" customFormat="1" ht="13.15" customHeight="1">
      <c r="A120" s="392" t="s">
        <v>383</v>
      </c>
      <c r="B120" s="389" t="s">
        <v>2573</v>
      </c>
      <c r="D120" s="389"/>
      <c r="E120" s="389"/>
      <c r="F120" s="389"/>
      <c r="H120" s="1225" t="s">
        <v>3425</v>
      </c>
      <c r="M120" s="1153"/>
      <c r="N120" s="1156"/>
      <c r="O120" s="1156"/>
      <c r="P120" s="374"/>
    </row>
    <row r="121" spans="1:16" s="363" customFormat="1" ht="3" customHeight="1">
      <c r="A121" s="392"/>
      <c r="B121" s="621"/>
      <c r="C121" s="1150"/>
      <c r="D121" s="1150"/>
      <c r="E121" s="1150"/>
      <c r="F121" s="1150"/>
      <c r="G121" s="1153"/>
      <c r="M121" s="1153"/>
      <c r="N121" s="1156"/>
      <c r="O121" s="1156"/>
    </row>
    <row r="122" spans="1:16" s="363" customFormat="1" ht="13.15" customHeight="1">
      <c r="A122" s="621"/>
      <c r="B122" s="621" t="s">
        <v>2110</v>
      </c>
      <c r="C122" s="370" t="s">
        <v>1823</v>
      </c>
      <c r="H122" s="1225"/>
      <c r="M122" s="1153"/>
      <c r="N122" s="1156"/>
      <c r="O122" s="1156"/>
      <c r="P122" s="374"/>
    </row>
    <row r="123" spans="1:16" s="363" customFormat="1" ht="13.15" customHeight="1">
      <c r="A123" s="621"/>
      <c r="B123" s="621"/>
      <c r="C123" s="1147" t="s">
        <v>2575</v>
      </c>
      <c r="D123" s="1147"/>
      <c r="E123" s="1147"/>
      <c r="F123" s="1153"/>
      <c r="H123" s="1232"/>
      <c r="N123" s="1156"/>
      <c r="O123" s="1156"/>
      <c r="P123" s="374"/>
    </row>
    <row r="124" spans="1:16" s="363" customFormat="1" ht="13.15" customHeight="1">
      <c r="A124" s="621"/>
      <c r="B124" s="621"/>
      <c r="C124" s="397" t="s">
        <v>1822</v>
      </c>
      <c r="D124" s="369"/>
      <c r="H124" s="1372"/>
      <c r="I124" s="1375"/>
      <c r="P124" s="374"/>
    </row>
    <row r="125" spans="1:16" s="363" customFormat="1" ht="13.15" customHeight="1">
      <c r="A125" s="621"/>
      <c r="B125" s="621"/>
      <c r="C125" s="1147" t="s">
        <v>2576</v>
      </c>
      <c r="D125" s="1147"/>
      <c r="E125" s="1147"/>
      <c r="F125" s="1153"/>
      <c r="H125" s="1232"/>
      <c r="K125" s="332" t="s">
        <v>2385</v>
      </c>
      <c r="O125" s="1372" t="s">
        <v>510</v>
      </c>
      <c r="P125" s="1375"/>
    </row>
    <row r="126" spans="1:16" s="363" customFormat="1" ht="13.15" customHeight="1">
      <c r="A126" s="621"/>
      <c r="B126" s="621"/>
      <c r="C126" s="1147" t="s">
        <v>2574</v>
      </c>
      <c r="F126" s="1153"/>
      <c r="H126" s="1230"/>
      <c r="K126" s="332" t="s">
        <v>2386</v>
      </c>
      <c r="O126" s="1372" t="s">
        <v>510</v>
      </c>
      <c r="P126" s="1375"/>
    </row>
    <row r="127" spans="1:16" s="363" customFormat="1" ht="13.15" customHeight="1">
      <c r="A127" s="621"/>
      <c r="B127" s="621"/>
      <c r="C127" s="1147" t="s">
        <v>2298</v>
      </c>
      <c r="D127" s="1147"/>
      <c r="E127" s="1147"/>
      <c r="F127" s="1153"/>
      <c r="H127" s="1437"/>
      <c r="I127" s="1438"/>
      <c r="N127" s="1156"/>
      <c r="O127" s="1156"/>
      <c r="P127" s="374"/>
    </row>
    <row r="128" spans="1:16" s="363" customFormat="1" ht="3" customHeight="1">
      <c r="A128" s="621"/>
      <c r="B128" s="621"/>
      <c r="C128" s="1147"/>
      <c r="D128" s="1147"/>
      <c r="E128" s="1147"/>
      <c r="F128" s="1153"/>
      <c r="N128" s="1156"/>
      <c r="O128" s="1156"/>
      <c r="P128" s="374"/>
    </row>
    <row r="129" spans="1:16" s="363" customFormat="1" ht="13.15" customHeight="1">
      <c r="A129" s="621"/>
      <c r="B129" s="621" t="s">
        <v>2113</v>
      </c>
      <c r="C129" s="1150" t="s">
        <v>2649</v>
      </c>
      <c r="D129" s="1147"/>
      <c r="E129" s="1147"/>
      <c r="F129" s="1153"/>
      <c r="H129" s="1230"/>
      <c r="N129" s="1156"/>
      <c r="O129" s="1156"/>
      <c r="P129" s="374"/>
    </row>
    <row r="130" spans="1:16" s="363" customFormat="1" ht="3" customHeight="1">
      <c r="A130" s="621"/>
      <c r="B130" s="621"/>
      <c r="C130" s="1147"/>
      <c r="D130" s="1147"/>
      <c r="E130" s="1147"/>
      <c r="F130" s="1153"/>
      <c r="G130" s="1153"/>
      <c r="M130" s="1153"/>
      <c r="N130" s="1156"/>
      <c r="O130" s="1156"/>
      <c r="P130" s="374"/>
    </row>
    <row r="131" spans="1:16" s="363" customFormat="1" ht="13.15" customHeight="1">
      <c r="A131" s="621"/>
      <c r="B131" s="621" t="s">
        <v>793</v>
      </c>
      <c r="C131" s="1150" t="s">
        <v>2923</v>
      </c>
      <c r="D131" s="1147"/>
      <c r="E131" s="1147"/>
      <c r="F131" s="1153"/>
      <c r="G131" s="1153"/>
      <c r="N131" s="1156"/>
      <c r="O131" s="1156"/>
      <c r="P131" s="374"/>
    </row>
    <row r="132" spans="1:16" s="363" customFormat="1" ht="13.15" customHeight="1">
      <c r="A132" s="621"/>
      <c r="B132" s="621"/>
      <c r="C132" s="1147" t="s">
        <v>762</v>
      </c>
      <c r="D132" s="1147"/>
      <c r="E132" s="1147"/>
      <c r="F132" s="1153"/>
      <c r="G132" s="1153"/>
      <c r="H132" s="1230"/>
      <c r="K132" s="1147" t="s">
        <v>1633</v>
      </c>
      <c r="L132" s="1147"/>
      <c r="M132" s="1153"/>
      <c r="N132" s="1153"/>
      <c r="O132" s="1230"/>
      <c r="P132" s="374"/>
    </row>
    <row r="133" spans="1:16" s="363" customFormat="1" ht="6" customHeight="1">
      <c r="A133" s="621"/>
      <c r="B133" s="621"/>
      <c r="C133" s="1147"/>
      <c r="D133" s="1147"/>
      <c r="E133" s="1147"/>
      <c r="F133" s="1153"/>
      <c r="G133" s="1153"/>
      <c r="H133" s="1153"/>
      <c r="I133" s="1153"/>
      <c r="J133" s="381"/>
      <c r="K133" s="1153"/>
      <c r="L133" s="1153"/>
      <c r="N133" s="1156"/>
      <c r="O133" s="1156"/>
      <c r="P133" s="374"/>
    </row>
    <row r="134" spans="1:16" s="363" customFormat="1" ht="13.15" customHeight="1">
      <c r="A134" s="392" t="s">
        <v>1838</v>
      </c>
      <c r="B134" s="389" t="s">
        <v>1255</v>
      </c>
      <c r="D134" s="389"/>
      <c r="E134" s="389"/>
      <c r="F134" s="389"/>
      <c r="G134" s="1153"/>
      <c r="H134" s="1153"/>
      <c r="I134" s="1153"/>
      <c r="J134" s="381"/>
      <c r="K134" s="1153"/>
      <c r="L134" s="1153"/>
      <c r="N134" s="1156"/>
      <c r="O134" s="1156"/>
      <c r="P134" s="374"/>
    </row>
    <row r="135" spans="1:16" s="363" customFormat="1" ht="1.9" customHeight="1">
      <c r="A135" s="392"/>
      <c r="B135" s="621"/>
      <c r="C135" s="1150"/>
      <c r="D135" s="1150"/>
      <c r="E135" s="1150"/>
      <c r="F135" s="1150"/>
      <c r="G135" s="1153"/>
      <c r="H135" s="1153"/>
      <c r="I135" s="1153"/>
      <c r="J135" s="381"/>
      <c r="K135" s="1153"/>
      <c r="L135" s="1153"/>
      <c r="N135" s="1156"/>
      <c r="O135" s="1156"/>
    </row>
    <row r="136" spans="1:16" s="363" customFormat="1" ht="13.15" customHeight="1">
      <c r="A136" s="621"/>
      <c r="B136" s="621" t="s">
        <v>2110</v>
      </c>
      <c r="C136" s="380" t="s">
        <v>1941</v>
      </c>
      <c r="F136" s="1153"/>
      <c r="G136" s="1153"/>
      <c r="H136" s="1153"/>
      <c r="I136" s="1153"/>
      <c r="J136" s="381"/>
      <c r="K136" s="1153"/>
      <c r="L136" s="1153"/>
      <c r="N136" s="1156"/>
      <c r="O136" s="1156"/>
      <c r="P136" s="374"/>
    </row>
    <row r="137" spans="1:16" s="363" customFormat="1" ht="12.6" customHeight="1">
      <c r="A137" s="621"/>
      <c r="B137" s="621"/>
      <c r="C137" s="388" t="s">
        <v>1625</v>
      </c>
      <c r="D137" s="381"/>
      <c r="E137" s="381"/>
      <c r="F137" s="1153"/>
      <c r="G137" s="1153"/>
      <c r="H137" s="1153"/>
      <c r="I137" s="1153"/>
      <c r="K137" s="1230" t="s">
        <v>3425</v>
      </c>
      <c r="N137" s="1156"/>
      <c r="O137" s="1156"/>
      <c r="P137" s="374"/>
    </row>
    <row r="138" spans="1:16" s="363" customFormat="1" ht="12.6" customHeight="1">
      <c r="A138" s="621"/>
      <c r="B138" s="621"/>
      <c r="C138" s="363" t="s">
        <v>651</v>
      </c>
      <c r="K138" s="1229"/>
      <c r="L138" s="369" t="s">
        <v>1910</v>
      </c>
      <c r="P138" s="398">
        <f>IF('Part VI-Revenues &amp; Expenses'!$M$60=0,0,K138/'Part VI-Revenues &amp; Expenses'!$M$60)</f>
        <v>0</v>
      </c>
    </row>
    <row r="139" spans="1:16" s="363" customFormat="1" ht="12.6" customHeight="1">
      <c r="A139" s="621"/>
      <c r="B139" s="621"/>
      <c r="C139" s="363" t="s">
        <v>2299</v>
      </c>
      <c r="K139" s="1229"/>
      <c r="L139" s="369" t="s">
        <v>1910</v>
      </c>
      <c r="P139" s="398">
        <f>IF('Part VI-Revenues &amp; Expenses'!$M$60=0,0,K139/'Part VI-Revenues &amp; Expenses'!$M$60)</f>
        <v>0</v>
      </c>
    </row>
    <row r="140" spans="1:16" s="363" customFormat="1" ht="12.6" customHeight="1">
      <c r="A140" s="621"/>
      <c r="B140" s="621"/>
      <c r="C140" s="363" t="s">
        <v>1911</v>
      </c>
      <c r="E140" s="1372"/>
      <c r="F140" s="1373"/>
      <c r="G140" s="1373"/>
      <c r="H140" s="1373"/>
      <c r="I140" s="1373"/>
      <c r="J140" s="1373"/>
      <c r="K140" s="1375"/>
      <c r="L140" s="399" t="s">
        <v>1912</v>
      </c>
      <c r="M140" s="1372"/>
      <c r="N140" s="1373"/>
      <c r="O140" s="1373"/>
      <c r="P140" s="1375"/>
    </row>
    <row r="141" spans="1:16" s="363" customFormat="1" ht="12.6" customHeight="1">
      <c r="A141" s="621"/>
      <c r="B141" s="621"/>
      <c r="C141" s="369" t="s">
        <v>1913</v>
      </c>
      <c r="D141" s="377"/>
      <c r="E141" s="1372"/>
      <c r="F141" s="1373"/>
      <c r="G141" s="1373"/>
      <c r="H141" s="1373"/>
      <c r="I141" s="1373"/>
      <c r="J141" s="1373"/>
      <c r="K141" s="1374"/>
      <c r="L141" s="1148" t="s">
        <v>1915</v>
      </c>
      <c r="M141" s="1376"/>
      <c r="N141" s="1377"/>
      <c r="O141" s="1377"/>
      <c r="P141" s="1378"/>
    </row>
    <row r="142" spans="1:16" s="363" customFormat="1" ht="12.6" customHeight="1">
      <c r="A142" s="621"/>
      <c r="B142" s="621"/>
      <c r="C142" s="369" t="s">
        <v>654</v>
      </c>
      <c r="E142" s="1372"/>
      <c r="F142" s="1373"/>
      <c r="G142" s="1373"/>
      <c r="H142" s="1375"/>
      <c r="I142" s="394" t="s">
        <v>2367</v>
      </c>
      <c r="J142" s="1381"/>
      <c r="K142" s="1413"/>
      <c r="L142" s="399" t="s">
        <v>1918</v>
      </c>
      <c r="M142" s="1367"/>
      <c r="N142" s="1368"/>
      <c r="O142" s="1369"/>
    </row>
    <row r="143" spans="1:16" s="363" customFormat="1" ht="12.6" customHeight="1">
      <c r="A143" s="621"/>
      <c r="B143" s="621"/>
      <c r="C143" s="369" t="s">
        <v>1916</v>
      </c>
      <c r="E143" s="1367"/>
      <c r="F143" s="1368"/>
      <c r="G143" s="1369"/>
      <c r="H143" s="400" t="s">
        <v>1917</v>
      </c>
      <c r="I143" s="1367"/>
      <c r="J143" s="1368"/>
      <c r="K143" s="1369"/>
      <c r="L143" s="1152" t="s">
        <v>2106</v>
      </c>
      <c r="M143" s="1367"/>
      <c r="N143" s="1368"/>
      <c r="O143" s="1369"/>
    </row>
    <row r="144" spans="1:16" s="363" customFormat="1" ht="6" customHeight="1">
      <c r="A144" s="621"/>
      <c r="B144" s="621"/>
      <c r="C144" s="369"/>
      <c r="E144" s="401"/>
      <c r="F144" s="401"/>
      <c r="G144" s="401"/>
      <c r="H144" s="1153"/>
      <c r="I144" s="401"/>
      <c r="J144" s="401"/>
      <c r="K144" s="1153"/>
      <c r="L144" s="401"/>
      <c r="M144" s="401"/>
      <c r="N144" s="1153"/>
      <c r="O144" s="401"/>
      <c r="P144" s="401"/>
    </row>
    <row r="145" spans="1:16" s="363" customFormat="1" ht="12.6" customHeight="1">
      <c r="A145" s="621"/>
      <c r="B145" s="621" t="s">
        <v>2113</v>
      </c>
      <c r="C145" s="1150" t="s">
        <v>2924</v>
      </c>
      <c r="D145" s="1150"/>
      <c r="E145" s="1150"/>
      <c r="F145" s="1150"/>
      <c r="G145" s="1150"/>
      <c r="I145" s="1230" t="s">
        <v>3425</v>
      </c>
      <c r="J145" s="1370" t="s">
        <v>806</v>
      </c>
      <c r="K145" s="1371"/>
      <c r="L145" s="1230"/>
      <c r="M145" s="1361" t="s">
        <v>2467</v>
      </c>
      <c r="N145" s="1362"/>
      <c r="O145" s="1363"/>
      <c r="P145" s="1232"/>
    </row>
    <row r="146" spans="1:16" s="363" customFormat="1" ht="6" customHeight="1">
      <c r="A146" s="621"/>
      <c r="B146" s="621"/>
      <c r="C146" s="1150"/>
      <c r="D146" s="1150"/>
      <c r="E146" s="366"/>
      <c r="F146" s="1150"/>
      <c r="G146" s="1150"/>
      <c r="J146" s="373"/>
      <c r="K146" s="402"/>
      <c r="M146" s="1156"/>
      <c r="O146" s="1153"/>
      <c r="P146" s="374"/>
    </row>
    <row r="147" spans="1:16" s="363" customFormat="1" ht="12.6" customHeight="1">
      <c r="A147" s="621"/>
      <c r="B147" s="621"/>
      <c r="C147" s="1150" t="s">
        <v>2925</v>
      </c>
      <c r="D147" s="1150"/>
      <c r="E147" s="1150"/>
      <c r="F147" s="1150"/>
      <c r="G147" s="1150"/>
      <c r="I147" s="1230" t="s">
        <v>3452</v>
      </c>
      <c r="J147" s="1370" t="s">
        <v>806</v>
      </c>
      <c r="K147" s="1371"/>
      <c r="L147" s="1230">
        <v>2036</v>
      </c>
      <c r="M147" s="1361" t="s">
        <v>2467</v>
      </c>
      <c r="N147" s="1362"/>
      <c r="O147" s="1363"/>
      <c r="P147" s="1232">
        <v>5</v>
      </c>
    </row>
    <row r="148" spans="1:16" s="363" customFormat="1" ht="6" customHeight="1">
      <c r="A148" s="621"/>
      <c r="B148" s="621"/>
      <c r="C148" s="1150"/>
      <c r="D148" s="1150"/>
      <c r="E148" s="366"/>
      <c r="F148" s="1150"/>
      <c r="G148" s="1150"/>
      <c r="J148" s="373"/>
      <c r="K148" s="402"/>
      <c r="M148" s="1156"/>
      <c r="O148" s="1153"/>
      <c r="P148" s="374"/>
    </row>
    <row r="149" spans="1:16" s="363" customFormat="1" ht="12.6" customHeight="1">
      <c r="A149" s="621"/>
      <c r="B149" s="621" t="s">
        <v>793</v>
      </c>
      <c r="C149" s="1150" t="s">
        <v>1871</v>
      </c>
      <c r="D149" s="1150"/>
      <c r="E149" s="1150"/>
      <c r="F149" s="1150"/>
      <c r="G149" s="1150"/>
      <c r="I149" s="1230" t="s">
        <v>3425</v>
      </c>
      <c r="L149" s="332"/>
      <c r="M149" s="332"/>
      <c r="P149" s="374"/>
    </row>
    <row r="150" spans="1:16" s="363" customFormat="1" ht="6" customHeight="1">
      <c r="A150" s="621"/>
      <c r="B150" s="621"/>
      <c r="C150" s="369"/>
      <c r="E150" s="401"/>
      <c r="F150" s="401"/>
      <c r="G150" s="401"/>
      <c r="I150" s="401"/>
      <c r="J150" s="401"/>
      <c r="K150" s="1153"/>
      <c r="L150" s="401"/>
      <c r="M150" s="401"/>
      <c r="N150" s="1153"/>
      <c r="O150" s="401"/>
      <c r="P150" s="401"/>
    </row>
    <row r="151" spans="1:16" s="363" customFormat="1" ht="12.6" customHeight="1">
      <c r="A151" s="621"/>
      <c r="B151" s="621" t="s">
        <v>2245</v>
      </c>
      <c r="C151" s="1446" t="s">
        <v>2105</v>
      </c>
      <c r="D151" s="1446"/>
      <c r="E151" s="1446"/>
      <c r="F151" s="1446"/>
      <c r="G151" s="1150"/>
      <c r="I151" s="1230" t="s">
        <v>3425</v>
      </c>
      <c r="J151" s="404" t="s">
        <v>3016</v>
      </c>
      <c r="L151" s="1445" t="s">
        <v>1566</v>
      </c>
      <c r="M151" s="1445"/>
      <c r="N151" s="1150"/>
      <c r="O151" s="1150"/>
      <c r="P151" s="1233"/>
    </row>
    <row r="152" spans="1:16" s="363" customFormat="1" ht="12.6" customHeight="1">
      <c r="B152" s="621"/>
      <c r="L152" s="1393" t="s">
        <v>845</v>
      </c>
      <c r="M152" s="1393"/>
      <c r="N152" s="1150"/>
      <c r="O152" s="1150"/>
      <c r="P152" s="1233"/>
    </row>
    <row r="153" spans="1:16" s="363" customFormat="1" ht="12.6" customHeight="1">
      <c r="A153" s="621"/>
      <c r="B153" s="621"/>
      <c r="L153" s="1393" t="s">
        <v>1906</v>
      </c>
      <c r="M153" s="1393"/>
      <c r="N153" s="1150"/>
      <c r="O153" s="1150"/>
      <c r="P153" s="403" t="str">
        <f>IF(P151="","",P152/P151)</f>
        <v/>
      </c>
    </row>
    <row r="154" spans="1:16" s="363" customFormat="1" ht="13.15" customHeight="1">
      <c r="A154" s="621"/>
      <c r="B154" s="621" t="s">
        <v>1848</v>
      </c>
      <c r="C154" s="329" t="s">
        <v>1709</v>
      </c>
      <c r="D154" s="1147"/>
      <c r="E154" s="1147"/>
      <c r="F154" s="1147"/>
      <c r="G154" s="1147"/>
      <c r="H154" s="1153"/>
      <c r="J154" s="373"/>
      <c r="K154" s="381"/>
      <c r="M154" s="1156"/>
      <c r="O154" s="1153"/>
      <c r="P154" s="374"/>
    </row>
    <row r="155" spans="1:16" s="363" customFormat="1" ht="12.6" customHeight="1">
      <c r="A155" s="621"/>
      <c r="B155" s="621"/>
      <c r="C155" s="1156" t="s">
        <v>2348</v>
      </c>
      <c r="D155" s="375"/>
      <c r="E155" s="1156"/>
      <c r="F155" s="1156"/>
      <c r="I155" s="1230" t="s">
        <v>3425</v>
      </c>
      <c r="L155" s="1156" t="s">
        <v>3085</v>
      </c>
      <c r="M155" s="1156"/>
      <c r="P155" s="1230" t="s">
        <v>3425</v>
      </c>
    </row>
    <row r="156" spans="1:16" s="363" customFormat="1" ht="12.6" customHeight="1">
      <c r="A156" s="621"/>
      <c r="B156" s="621"/>
      <c r="C156" s="1156" t="s">
        <v>2350</v>
      </c>
      <c r="I156" s="1230" t="s">
        <v>3425</v>
      </c>
      <c r="L156" s="1156" t="s">
        <v>1710</v>
      </c>
      <c r="M156" s="1156"/>
      <c r="N156" s="1156"/>
      <c r="P156" s="1230" t="s">
        <v>3452</v>
      </c>
    </row>
    <row r="157" spans="1:16" s="363" customFormat="1" ht="12.6" customHeight="1">
      <c r="A157" s="621"/>
      <c r="C157" s="1156" t="s">
        <v>2959</v>
      </c>
      <c r="I157" s="1230" t="s">
        <v>3425</v>
      </c>
      <c r="L157" s="1156" t="s">
        <v>3231</v>
      </c>
      <c r="M157" s="1156"/>
      <c r="N157" s="1156"/>
      <c r="P157" s="1230" t="s">
        <v>3425</v>
      </c>
    </row>
    <row r="158" spans="1:16" s="363" customFormat="1" ht="12.6" customHeight="1">
      <c r="A158" s="621"/>
      <c r="B158" s="621"/>
      <c r="C158" s="1156" t="s">
        <v>1362</v>
      </c>
      <c r="D158" s="405"/>
      <c r="I158" s="1230" t="s">
        <v>3425</v>
      </c>
      <c r="K158" s="375"/>
      <c r="L158" s="1156" t="s">
        <v>2909</v>
      </c>
      <c r="N158" s="1400"/>
      <c r="O158" s="1401"/>
      <c r="P158" s="1230"/>
    </row>
    <row r="159" spans="1:16" s="363" customFormat="1" ht="12.6" customHeight="1">
      <c r="A159" s="621"/>
      <c r="B159" s="366"/>
      <c r="C159" s="1156" t="s">
        <v>1925</v>
      </c>
      <c r="I159" s="1230" t="s">
        <v>3425</v>
      </c>
      <c r="J159" s="404" t="s">
        <v>3017</v>
      </c>
      <c r="O159" s="1354"/>
      <c r="P159" s="1355"/>
    </row>
    <row r="160" spans="1:16" s="363" customFormat="1" ht="12.6" customHeight="1">
      <c r="A160" s="621"/>
      <c r="B160" s="621"/>
      <c r="C160" s="1156" t="s">
        <v>3325</v>
      </c>
      <c r="I160" s="1230" t="s">
        <v>3425</v>
      </c>
      <c r="J160" s="404" t="s">
        <v>3017</v>
      </c>
      <c r="O160" s="1354"/>
      <c r="P160" s="1355"/>
    </row>
    <row r="161" spans="1:21" s="363" customFormat="1" ht="12.6" customHeight="1">
      <c r="A161" s="621"/>
      <c r="B161" s="621"/>
      <c r="C161" s="1156" t="s">
        <v>3326</v>
      </c>
      <c r="I161" s="1230" t="s">
        <v>3425</v>
      </c>
      <c r="J161" s="404" t="s">
        <v>3017</v>
      </c>
      <c r="O161" s="1354"/>
      <c r="P161" s="1355"/>
    </row>
    <row r="162" spans="1:21" s="363" customFormat="1" ht="3" customHeight="1">
      <c r="A162" s="621"/>
      <c r="B162" s="621"/>
      <c r="P162" s="373"/>
    </row>
    <row r="163" spans="1:21" s="363" customFormat="1" ht="13.15" customHeight="1">
      <c r="B163" s="621" t="s">
        <v>1849</v>
      </c>
      <c r="C163" s="370" t="s">
        <v>783</v>
      </c>
    </row>
    <row r="164" spans="1:21" s="363" customFormat="1" ht="12.6" customHeight="1">
      <c r="A164" s="621"/>
      <c r="B164" s="621"/>
      <c r="C164" s="369" t="s">
        <v>675</v>
      </c>
      <c r="D164" s="1147"/>
      <c r="E164" s="1147"/>
      <c r="F164" s="1153"/>
      <c r="G164" s="1153"/>
      <c r="H164" s="1437"/>
      <c r="I164" s="1438"/>
      <c r="N164" s="1156"/>
      <c r="O164" s="1156"/>
      <c r="P164" s="374"/>
    </row>
    <row r="165" spans="1:21" s="363" customFormat="1" ht="12.6" customHeight="1">
      <c r="A165" s="621"/>
      <c r="B165" s="621"/>
      <c r="C165" s="369" t="s">
        <v>291</v>
      </c>
      <c r="D165" s="1147"/>
      <c r="E165" s="1147"/>
      <c r="F165" s="1153"/>
      <c r="G165" s="1153"/>
      <c r="H165" s="1437"/>
      <c r="I165" s="1438"/>
      <c r="N165" s="1156"/>
      <c r="O165" s="1156"/>
      <c r="P165" s="374"/>
    </row>
    <row r="166" spans="1:21" s="363" customFormat="1" ht="12.6" customHeight="1">
      <c r="A166" s="621"/>
      <c r="B166" s="621"/>
      <c r="C166" s="369" t="s">
        <v>2436</v>
      </c>
      <c r="D166" s="1147"/>
      <c r="E166" s="1147"/>
      <c r="F166" s="1153"/>
      <c r="G166" s="1153"/>
      <c r="H166" s="1437">
        <v>42522</v>
      </c>
      <c r="I166" s="1438"/>
      <c r="N166" s="1156"/>
      <c r="O166" s="1156"/>
      <c r="P166" s="374"/>
    </row>
    <row r="167" spans="1:21" s="363" customFormat="1" ht="6" customHeight="1">
      <c r="B167" s="366"/>
      <c r="C167" s="1156"/>
      <c r="H167" s="1156"/>
      <c r="L167" s="383"/>
      <c r="M167" s="383"/>
      <c r="N167" s="383"/>
      <c r="O167" s="383"/>
      <c r="P167" s="371"/>
    </row>
    <row r="168" spans="1:21" ht="12" customHeight="1">
      <c r="A168" s="392" t="s">
        <v>3059</v>
      </c>
      <c r="C168" s="392" t="s">
        <v>603</v>
      </c>
      <c r="K168" s="392" t="s">
        <v>2391</v>
      </c>
      <c r="L168" s="392" t="s">
        <v>82</v>
      </c>
    </row>
    <row r="169" spans="1:21" ht="106.5" customHeight="1">
      <c r="A169" s="1439"/>
      <c r="B169" s="1440"/>
      <c r="C169" s="1440"/>
      <c r="D169" s="1440"/>
      <c r="E169" s="1440"/>
      <c r="F169" s="1440"/>
      <c r="G169" s="1440"/>
      <c r="H169" s="1440"/>
      <c r="I169" s="1440"/>
      <c r="J169" s="1441"/>
      <c r="K169" s="1442"/>
      <c r="L169" s="1443"/>
      <c r="M169" s="1443"/>
      <c r="N169" s="1443"/>
      <c r="O169" s="1443"/>
      <c r="P169" s="1444"/>
      <c r="Q169" s="1352" t="s">
        <v>2914</v>
      </c>
      <c r="R169" s="1352"/>
      <c r="S169" s="1352"/>
      <c r="T169" s="1352"/>
      <c r="U169" s="1352"/>
    </row>
    <row r="170" spans="1:21" ht="12" customHeight="1">
      <c r="Q170" s="1352"/>
      <c r="R170" s="1352"/>
      <c r="S170" s="1352"/>
      <c r="T170" s="1352"/>
      <c r="U170" s="1352"/>
    </row>
    <row r="177" spans="2:44" s="639" customFormat="1" ht="12" customHeight="1">
      <c r="B177" s="638"/>
      <c r="P177" s="383"/>
      <c r="Q177" s="383"/>
      <c r="X177" s="383"/>
      <c r="Y177" s="383"/>
      <c r="Z177" s="383"/>
      <c r="AA177" s="383"/>
      <c r="AB177" s="383"/>
      <c r="AC177" s="383"/>
      <c r="AD177" s="383"/>
      <c r="AE177" s="383"/>
      <c r="AF177" s="383"/>
      <c r="AG177" s="383"/>
      <c r="AH177" s="383"/>
      <c r="AI177" s="383"/>
      <c r="AJ177" s="383"/>
      <c r="AK177" s="383"/>
      <c r="AL177" s="383"/>
      <c r="AM177" s="383"/>
      <c r="AN177" s="383"/>
      <c r="AO177" s="383"/>
      <c r="AP177" s="383"/>
      <c r="AQ177" s="383"/>
      <c r="AR177" s="383"/>
    </row>
    <row r="178" spans="2:44" s="639" customFormat="1" ht="22.9" customHeight="1">
      <c r="B178" s="739" t="s">
        <v>1914</v>
      </c>
      <c r="C178" s="739" t="s">
        <v>1278</v>
      </c>
      <c r="D178" s="739" t="s">
        <v>1279</v>
      </c>
      <c r="E178" s="740" t="s">
        <v>1280</v>
      </c>
      <c r="F178" s="740" t="s">
        <v>1213</v>
      </c>
      <c r="G178" s="739" t="s">
        <v>444</v>
      </c>
      <c r="H178" s="741" t="s">
        <v>1221</v>
      </c>
      <c r="I178" s="741" t="s">
        <v>3038</v>
      </c>
      <c r="J178" s="739" t="s">
        <v>2553</v>
      </c>
      <c r="K178" s="739"/>
      <c r="L178" s="730"/>
      <c r="M178" s="731"/>
      <c r="N178" s="742" t="s">
        <v>654</v>
      </c>
      <c r="O178" s="721" t="s">
        <v>655</v>
      </c>
      <c r="P178" s="474"/>
      <c r="Q178" s="383"/>
      <c r="T178" s="722"/>
      <c r="U178" s="721"/>
      <c r="X178" s="383"/>
      <c r="Y178" s="383"/>
      <c r="Z178" s="383"/>
      <c r="AA178" s="383"/>
      <c r="AB178" s="383"/>
      <c r="AC178" s="383"/>
      <c r="AD178" s="383"/>
      <c r="AE178" s="383"/>
      <c r="AF178" s="383"/>
      <c r="AG178" s="383"/>
      <c r="AH178" s="383"/>
      <c r="AI178" s="383"/>
      <c r="AJ178" s="383"/>
      <c r="AK178" s="383"/>
      <c r="AL178" s="383"/>
      <c r="AM178" s="383"/>
      <c r="AN178" s="383"/>
      <c r="AO178" s="383"/>
      <c r="AP178" s="383"/>
      <c r="AQ178" s="383"/>
      <c r="AR178" s="383"/>
    </row>
    <row r="179" spans="2:44" s="639" customFormat="1" ht="12" customHeight="1">
      <c r="B179" s="708" t="s">
        <v>886</v>
      </c>
      <c r="C179" s="708" t="s">
        <v>1281</v>
      </c>
      <c r="D179" s="708" t="s">
        <v>1282</v>
      </c>
      <c r="E179" s="743" t="s">
        <v>1283</v>
      </c>
      <c r="F179" s="743" t="s">
        <v>2786</v>
      </c>
      <c r="G179" s="744" t="s">
        <v>1222</v>
      </c>
      <c r="H179" s="745" t="s">
        <v>442</v>
      </c>
      <c r="I179" s="1234" t="s">
        <v>2772</v>
      </c>
      <c r="J179" s="732" t="s">
        <v>1620</v>
      </c>
      <c r="K179" s="733"/>
      <c r="L179" s="730"/>
      <c r="M179" s="731"/>
      <c r="N179" s="1194" t="s">
        <v>2554</v>
      </c>
      <c r="O179" s="1194" t="s">
        <v>2077</v>
      </c>
      <c r="P179" s="348"/>
      <c r="Q179" s="383"/>
      <c r="T179" s="1194"/>
      <c r="U179" s="1194"/>
      <c r="X179" s="383"/>
      <c r="Y179" s="383"/>
      <c r="Z179" s="383"/>
      <c r="AA179" s="383"/>
      <c r="AB179" s="383"/>
      <c r="AC179" s="383"/>
      <c r="AD179" s="383"/>
      <c r="AE179" s="383"/>
      <c r="AF179" s="383"/>
      <c r="AG179" s="383"/>
      <c r="AH179" s="383"/>
      <c r="AI179" s="383"/>
      <c r="AJ179" s="383"/>
      <c r="AK179" s="383"/>
      <c r="AL179" s="383"/>
      <c r="AM179" s="383"/>
      <c r="AN179" s="383"/>
      <c r="AO179" s="383"/>
      <c r="AP179" s="383"/>
      <c r="AQ179" s="383"/>
      <c r="AR179" s="383"/>
    </row>
    <row r="180" spans="2:44" s="639" customFormat="1" ht="12" customHeight="1">
      <c r="B180" s="708" t="s">
        <v>887</v>
      </c>
      <c r="C180" s="708" t="s">
        <v>1892</v>
      </c>
      <c r="D180" s="708" t="s">
        <v>1282</v>
      </c>
      <c r="E180" s="743" t="s">
        <v>1893</v>
      </c>
      <c r="F180" s="743" t="s">
        <v>2786</v>
      </c>
      <c r="G180" s="744" t="s">
        <v>1223</v>
      </c>
      <c r="H180" s="745" t="s">
        <v>442</v>
      </c>
      <c r="I180" s="1234" t="s">
        <v>2772</v>
      </c>
      <c r="J180" s="732" t="s">
        <v>1622</v>
      </c>
      <c r="K180" s="733"/>
      <c r="L180" s="730"/>
      <c r="M180" s="731"/>
      <c r="N180" s="1194" t="s">
        <v>1621</v>
      </c>
      <c r="O180" s="1194" t="s">
        <v>2645</v>
      </c>
      <c r="P180" s="348"/>
      <c r="Q180" s="383"/>
      <c r="T180" s="1194"/>
      <c r="U180" s="1194"/>
      <c r="X180" s="383"/>
      <c r="Y180" s="383"/>
      <c r="Z180" s="383"/>
      <c r="AA180" s="383"/>
      <c r="AB180" s="383"/>
      <c r="AC180" s="383"/>
      <c r="AD180" s="383"/>
      <c r="AE180" s="383"/>
      <c r="AF180" s="383"/>
      <c r="AG180" s="383"/>
      <c r="AH180" s="383"/>
      <c r="AI180" s="383"/>
      <c r="AJ180" s="383"/>
      <c r="AK180" s="383"/>
      <c r="AL180" s="383"/>
      <c r="AM180" s="383"/>
      <c r="AN180" s="383"/>
      <c r="AO180" s="383"/>
      <c r="AP180" s="383"/>
      <c r="AQ180" s="383"/>
      <c r="AR180" s="383"/>
    </row>
    <row r="181" spans="2:44" s="639" customFormat="1" ht="12" customHeight="1">
      <c r="B181" s="708" t="s">
        <v>888</v>
      </c>
      <c r="C181" s="708" t="s">
        <v>1894</v>
      </c>
      <c r="D181" s="708" t="s">
        <v>1282</v>
      </c>
      <c r="E181" s="743" t="s">
        <v>1895</v>
      </c>
      <c r="F181" s="743" t="s">
        <v>2786</v>
      </c>
      <c r="G181" s="744" t="s">
        <v>1224</v>
      </c>
      <c r="H181" s="745" t="s">
        <v>442</v>
      </c>
      <c r="I181" s="1234" t="s">
        <v>2772</v>
      </c>
      <c r="J181" s="732" t="s">
        <v>484</v>
      </c>
      <c r="K181" s="733"/>
      <c r="L181" s="730"/>
      <c r="M181" s="731"/>
      <c r="N181" s="1194" t="s">
        <v>995</v>
      </c>
      <c r="O181" s="1194" t="s">
        <v>1394</v>
      </c>
      <c r="P181" s="348"/>
      <c r="Q181" s="383"/>
      <c r="T181" s="1194"/>
      <c r="U181" s="1194"/>
      <c r="X181" s="383"/>
      <c r="Y181" s="383"/>
      <c r="Z181" s="383"/>
      <c r="AA181" s="383"/>
      <c r="AB181" s="383"/>
      <c r="AC181" s="383"/>
      <c r="AD181" s="383"/>
      <c r="AE181" s="383"/>
      <c r="AF181" s="383"/>
      <c r="AG181" s="383"/>
      <c r="AH181" s="383"/>
      <c r="AI181" s="383"/>
      <c r="AJ181" s="383"/>
      <c r="AK181" s="383"/>
      <c r="AL181" s="383"/>
      <c r="AM181" s="383"/>
      <c r="AN181" s="383"/>
      <c r="AO181" s="383"/>
      <c r="AP181" s="383"/>
      <c r="AQ181" s="383"/>
      <c r="AR181" s="383"/>
    </row>
    <row r="182" spans="2:44" s="639" customFormat="1" ht="12" customHeight="1">
      <c r="B182" s="708" t="s">
        <v>889</v>
      </c>
      <c r="C182" s="708" t="s">
        <v>1896</v>
      </c>
      <c r="D182" s="708" t="s">
        <v>1282</v>
      </c>
      <c r="E182" s="746" t="s">
        <v>1897</v>
      </c>
      <c r="F182" s="746" t="s">
        <v>2787</v>
      </c>
      <c r="G182" s="744" t="s">
        <v>1225</v>
      </c>
      <c r="H182" s="745" t="s">
        <v>443</v>
      </c>
      <c r="I182" s="1235" t="s">
        <v>2772</v>
      </c>
      <c r="J182" s="732" t="s">
        <v>2210</v>
      </c>
      <c r="K182" s="733"/>
      <c r="L182" s="730"/>
      <c r="M182" s="731"/>
      <c r="N182" s="1194" t="s">
        <v>485</v>
      </c>
      <c r="O182" s="1194" t="s">
        <v>2693</v>
      </c>
      <c r="P182" s="348"/>
      <c r="Q182" s="383"/>
      <c r="T182" s="1194"/>
      <c r="U182" s="1194"/>
      <c r="X182" s="383"/>
      <c r="Y182" s="383"/>
      <c r="Z182" s="383"/>
      <c r="AA182" s="383"/>
      <c r="AB182" s="383"/>
      <c r="AC182" s="383"/>
      <c r="AD182" s="383"/>
      <c r="AE182" s="383"/>
      <c r="AF182" s="383"/>
      <c r="AG182" s="383"/>
      <c r="AH182" s="383"/>
      <c r="AI182" s="383"/>
      <c r="AJ182" s="383"/>
      <c r="AK182" s="383"/>
      <c r="AL182" s="383"/>
      <c r="AM182" s="383"/>
      <c r="AN182" s="383"/>
      <c r="AO182" s="383"/>
      <c r="AP182" s="383"/>
      <c r="AQ182" s="383"/>
      <c r="AR182" s="383"/>
    </row>
    <row r="183" spans="2:44" s="639" customFormat="1" ht="12" customHeight="1">
      <c r="B183" s="708" t="s">
        <v>890</v>
      </c>
      <c r="C183" s="708" t="s">
        <v>1898</v>
      </c>
      <c r="D183" s="708" t="s">
        <v>1415</v>
      </c>
      <c r="E183" s="746" t="s">
        <v>163</v>
      </c>
      <c r="F183" s="746" t="s">
        <v>2786</v>
      </c>
      <c r="G183" s="744" t="s">
        <v>1226</v>
      </c>
      <c r="H183" s="745" t="s">
        <v>442</v>
      </c>
      <c r="I183" s="1234" t="s">
        <v>2772</v>
      </c>
      <c r="J183" s="732" t="s">
        <v>2212</v>
      </c>
      <c r="K183" s="733"/>
      <c r="L183" s="730"/>
      <c r="M183" s="731"/>
      <c r="N183" s="1194" t="s">
        <v>2211</v>
      </c>
      <c r="O183" s="1194" t="s">
        <v>350</v>
      </c>
      <c r="P183" s="348"/>
      <c r="Q183" s="383"/>
      <c r="T183" s="1194"/>
      <c r="U183" s="1194"/>
      <c r="X183" s="383"/>
      <c r="Y183" s="383"/>
      <c r="Z183" s="383"/>
      <c r="AA183" s="383"/>
      <c r="AB183" s="383"/>
      <c r="AC183" s="383"/>
      <c r="AD183" s="383"/>
      <c r="AE183" s="383"/>
      <c r="AF183" s="383"/>
      <c r="AG183" s="383"/>
      <c r="AH183" s="383"/>
      <c r="AI183" s="383"/>
      <c r="AJ183" s="383"/>
      <c r="AK183" s="383"/>
      <c r="AL183" s="383"/>
      <c r="AM183" s="383"/>
      <c r="AN183" s="383"/>
      <c r="AO183" s="383"/>
      <c r="AP183" s="383"/>
      <c r="AQ183" s="383"/>
      <c r="AR183" s="383"/>
    </row>
    <row r="184" spans="2:44" s="639" customFormat="1" ht="12" customHeight="1">
      <c r="B184" s="708" t="s">
        <v>891</v>
      </c>
      <c r="C184" s="708" t="s">
        <v>1390</v>
      </c>
      <c r="D184" s="708" t="s">
        <v>1391</v>
      </c>
      <c r="E184" s="743" t="s">
        <v>1392</v>
      </c>
      <c r="F184" s="743" t="s">
        <v>2786</v>
      </c>
      <c r="G184" s="744" t="s">
        <v>1942</v>
      </c>
      <c r="H184" s="745" t="s">
        <v>442</v>
      </c>
      <c r="I184" s="1234" t="s">
        <v>2772</v>
      </c>
      <c r="J184" s="732" t="s">
        <v>2214</v>
      </c>
      <c r="K184" s="733"/>
      <c r="L184" s="730"/>
      <c r="M184" s="731"/>
      <c r="N184" s="1194" t="s">
        <v>2213</v>
      </c>
      <c r="O184" s="1194" t="s">
        <v>191</v>
      </c>
      <c r="P184" s="348"/>
      <c r="Q184" s="383"/>
      <c r="T184" s="1194"/>
      <c r="U184" s="1194"/>
      <c r="X184" s="383"/>
      <c r="Y184" s="383"/>
      <c r="Z184" s="383"/>
      <c r="AA184" s="383"/>
      <c r="AB184" s="383"/>
      <c r="AC184" s="383"/>
      <c r="AD184" s="383"/>
      <c r="AE184" s="383"/>
      <c r="AF184" s="383"/>
      <c r="AG184" s="383"/>
      <c r="AH184" s="383"/>
      <c r="AI184" s="383"/>
      <c r="AJ184" s="383"/>
      <c r="AK184" s="383"/>
      <c r="AL184" s="383"/>
      <c r="AM184" s="383"/>
      <c r="AN184" s="383"/>
      <c r="AO184" s="383"/>
      <c r="AP184" s="383"/>
      <c r="AQ184" s="383"/>
      <c r="AR184" s="383"/>
    </row>
    <row r="185" spans="2:44" s="639" customFormat="1" ht="12" customHeight="1">
      <c r="B185" s="708" t="s">
        <v>892</v>
      </c>
      <c r="C185" s="708" t="s">
        <v>1393</v>
      </c>
      <c r="D185" s="708" t="s">
        <v>1415</v>
      </c>
      <c r="E185" s="746" t="s">
        <v>809</v>
      </c>
      <c r="F185" s="746" t="s">
        <v>2787</v>
      </c>
      <c r="G185" s="744" t="s">
        <v>2749</v>
      </c>
      <c r="H185" s="745" t="s">
        <v>443</v>
      </c>
      <c r="I185" s="1234" t="s">
        <v>1262</v>
      </c>
      <c r="J185" s="732" t="s">
        <v>2216</v>
      </c>
      <c r="K185" s="733"/>
      <c r="L185" s="730"/>
      <c r="M185" s="731"/>
      <c r="N185" s="1194" t="s">
        <v>2215</v>
      </c>
      <c r="O185" s="1194" t="s">
        <v>115</v>
      </c>
      <c r="P185" s="348"/>
      <c r="Q185" s="383"/>
      <c r="T185" s="1194"/>
      <c r="U185" s="1194"/>
      <c r="X185" s="383"/>
      <c r="Y185" s="383"/>
      <c r="Z185" s="383"/>
      <c r="AA185" s="383"/>
      <c r="AB185" s="383"/>
      <c r="AC185" s="383"/>
      <c r="AD185" s="383"/>
      <c r="AE185" s="383"/>
      <c r="AF185" s="383"/>
      <c r="AG185" s="383"/>
      <c r="AH185" s="383"/>
      <c r="AI185" s="383"/>
      <c r="AJ185" s="383"/>
      <c r="AK185" s="383"/>
      <c r="AL185" s="383"/>
      <c r="AM185" s="383"/>
      <c r="AN185" s="383"/>
      <c r="AO185" s="383"/>
      <c r="AP185" s="383"/>
      <c r="AQ185" s="383"/>
      <c r="AR185" s="383"/>
    </row>
    <row r="186" spans="2:44" s="639" customFormat="1" ht="12" customHeight="1">
      <c r="B186" s="708" t="s">
        <v>893</v>
      </c>
      <c r="C186" s="708" t="s">
        <v>1394</v>
      </c>
      <c r="D186" s="708" t="s">
        <v>1391</v>
      </c>
      <c r="E186" s="746" t="s">
        <v>809</v>
      </c>
      <c r="F186" s="746" t="s">
        <v>2787</v>
      </c>
      <c r="G186" s="744" t="s">
        <v>2749</v>
      </c>
      <c r="H186" s="745" t="s">
        <v>443</v>
      </c>
      <c r="I186" s="1234" t="s">
        <v>1262</v>
      </c>
      <c r="J186" s="732" t="s">
        <v>2218</v>
      </c>
      <c r="K186" s="733"/>
      <c r="L186" s="730"/>
      <c r="M186" s="731"/>
      <c r="N186" s="1194" t="s">
        <v>2217</v>
      </c>
      <c r="O186" s="1194" t="s">
        <v>1397</v>
      </c>
      <c r="P186" s="348"/>
      <c r="Q186" s="1236"/>
      <c r="X186" s="383"/>
      <c r="Y186" s="383"/>
      <c r="Z186" s="383"/>
      <c r="AA186" s="383"/>
      <c r="AB186" s="383"/>
      <c r="AC186" s="383"/>
      <c r="AD186" s="383"/>
      <c r="AE186" s="383"/>
      <c r="AF186" s="383"/>
      <c r="AG186" s="383"/>
      <c r="AH186" s="383"/>
      <c r="AI186" s="383"/>
      <c r="AJ186" s="383"/>
      <c r="AK186" s="383"/>
      <c r="AL186" s="383"/>
      <c r="AM186" s="383"/>
      <c r="AN186" s="383"/>
      <c r="AO186" s="383"/>
      <c r="AP186" s="383"/>
      <c r="AQ186" s="383"/>
      <c r="AR186" s="383"/>
    </row>
    <row r="187" spans="2:44" s="639" customFormat="1" ht="12" customHeight="1">
      <c r="B187" s="708" t="s">
        <v>894</v>
      </c>
      <c r="C187" s="708" t="s">
        <v>1395</v>
      </c>
      <c r="D187" s="708" t="s">
        <v>1282</v>
      </c>
      <c r="E187" s="743" t="s">
        <v>1396</v>
      </c>
      <c r="F187" s="743" t="s">
        <v>2786</v>
      </c>
      <c r="G187" s="744" t="s">
        <v>2750</v>
      </c>
      <c r="H187" s="745" t="s">
        <v>442</v>
      </c>
      <c r="I187" s="1234" t="s">
        <v>2772</v>
      </c>
      <c r="J187" s="732" t="s">
        <v>2089</v>
      </c>
      <c r="K187" s="710"/>
      <c r="L187" s="730"/>
      <c r="M187" s="731"/>
      <c r="N187" s="1194" t="s">
        <v>1897</v>
      </c>
      <c r="O187" s="1194" t="s">
        <v>1006</v>
      </c>
      <c r="P187" s="348"/>
      <c r="Q187" s="1236"/>
      <c r="X187" s="383"/>
      <c r="Y187" s="383"/>
      <c r="Z187" s="383"/>
      <c r="AA187" s="383"/>
      <c r="AB187" s="383"/>
      <c r="AC187" s="383"/>
      <c r="AD187" s="383"/>
      <c r="AE187" s="383"/>
      <c r="AF187" s="383"/>
      <c r="AG187" s="383"/>
      <c r="AH187" s="383"/>
      <c r="AI187" s="383"/>
      <c r="AJ187" s="383"/>
      <c r="AK187" s="383"/>
      <c r="AL187" s="383"/>
      <c r="AM187" s="383"/>
      <c r="AN187" s="383"/>
      <c r="AO187" s="383"/>
      <c r="AP187" s="383"/>
      <c r="AQ187" s="383"/>
      <c r="AR187" s="383"/>
    </row>
    <row r="188" spans="2:44" s="639" customFormat="1" ht="12" customHeight="1">
      <c r="B188" s="708" t="s">
        <v>895</v>
      </c>
      <c r="C188" s="708" t="s">
        <v>1397</v>
      </c>
      <c r="D188" s="708" t="s">
        <v>1282</v>
      </c>
      <c r="E188" s="743" t="s">
        <v>1398</v>
      </c>
      <c r="F188" s="743" t="s">
        <v>2786</v>
      </c>
      <c r="G188" s="744" t="s">
        <v>2751</v>
      </c>
      <c r="H188" s="745" t="s">
        <v>442</v>
      </c>
      <c r="I188" s="1234" t="s">
        <v>2772</v>
      </c>
      <c r="J188" s="732" t="s">
        <v>187</v>
      </c>
      <c r="K188" s="710"/>
      <c r="L188" s="708"/>
      <c r="M188" s="731"/>
      <c r="N188" s="1194" t="s">
        <v>2090</v>
      </c>
      <c r="O188" s="1194" t="s">
        <v>449</v>
      </c>
      <c r="P188" s="348"/>
      <c r="Q188" s="1236"/>
      <c r="X188" s="383"/>
      <c r="Y188" s="383"/>
      <c r="Z188" s="383"/>
      <c r="AA188" s="383"/>
      <c r="AB188" s="383"/>
      <c r="AC188" s="383"/>
      <c r="AD188" s="383"/>
      <c r="AE188" s="383"/>
      <c r="AF188" s="383"/>
      <c r="AG188" s="383"/>
      <c r="AH188" s="383"/>
      <c r="AI188" s="383"/>
      <c r="AJ188" s="383"/>
      <c r="AK188" s="383"/>
      <c r="AL188" s="383"/>
      <c r="AM188" s="383"/>
      <c r="AN188" s="383"/>
      <c r="AO188" s="383"/>
      <c r="AP188" s="383"/>
      <c r="AQ188" s="383"/>
      <c r="AR188" s="383"/>
    </row>
    <row r="189" spans="2:44" s="639" customFormat="1" ht="12" customHeight="1">
      <c r="B189" s="708" t="s">
        <v>896</v>
      </c>
      <c r="C189" s="708" t="s">
        <v>1399</v>
      </c>
      <c r="D189" s="708" t="s">
        <v>1415</v>
      </c>
      <c r="E189" s="746" t="s">
        <v>1400</v>
      </c>
      <c r="F189" s="746" t="s">
        <v>2787</v>
      </c>
      <c r="G189" s="744" t="s">
        <v>2752</v>
      </c>
      <c r="H189" s="745" t="s">
        <v>443</v>
      </c>
      <c r="I189" s="1234" t="s">
        <v>1262</v>
      </c>
      <c r="J189" s="732" t="s">
        <v>189</v>
      </c>
      <c r="K189" s="710"/>
      <c r="L189" s="730"/>
      <c r="M189" s="731"/>
      <c r="N189" s="1194" t="s">
        <v>188</v>
      </c>
      <c r="O189" s="1194" t="s">
        <v>1545</v>
      </c>
      <c r="P189" s="348"/>
      <c r="Q189" s="1236"/>
      <c r="X189" s="383"/>
      <c r="Y189" s="383"/>
      <c r="Z189" s="383"/>
      <c r="AA189" s="383"/>
      <c r="AB189" s="383"/>
      <c r="AC189" s="383"/>
      <c r="AD189" s="383"/>
      <c r="AE189" s="383"/>
      <c r="AF189" s="383"/>
      <c r="AG189" s="383"/>
      <c r="AH189" s="383"/>
      <c r="AI189" s="383"/>
      <c r="AJ189" s="383"/>
      <c r="AK189" s="383"/>
      <c r="AL189" s="383"/>
      <c r="AM189" s="383"/>
      <c r="AN189" s="383"/>
      <c r="AO189" s="383"/>
      <c r="AP189" s="383"/>
      <c r="AQ189" s="383"/>
      <c r="AR189" s="383"/>
    </row>
    <row r="190" spans="2:44" s="639" customFormat="1" ht="12" customHeight="1">
      <c r="B190" s="708" t="s">
        <v>897</v>
      </c>
      <c r="C190" s="708" t="s">
        <v>1401</v>
      </c>
      <c r="D190" s="708" t="s">
        <v>1282</v>
      </c>
      <c r="E190" s="746" t="s">
        <v>1402</v>
      </c>
      <c r="F190" s="746" t="s">
        <v>2786</v>
      </c>
      <c r="G190" s="744" t="s">
        <v>2753</v>
      </c>
      <c r="H190" s="745" t="s">
        <v>442</v>
      </c>
      <c r="I190" s="1234" t="s">
        <v>2772</v>
      </c>
      <c r="J190" s="732" t="s">
        <v>465</v>
      </c>
      <c r="K190" s="733"/>
      <c r="L190" s="730"/>
      <c r="M190" s="731"/>
      <c r="N190" s="1194" t="s">
        <v>190</v>
      </c>
      <c r="O190" s="1194" t="s">
        <v>2550</v>
      </c>
      <c r="P190" s="348"/>
      <c r="Q190" s="1236"/>
      <c r="X190" s="383"/>
      <c r="Y190" s="383"/>
      <c r="Z190" s="383"/>
      <c r="AA190" s="383"/>
      <c r="AB190" s="383"/>
      <c r="AC190" s="383"/>
      <c r="AD190" s="383"/>
      <c r="AE190" s="383"/>
      <c r="AF190" s="383"/>
      <c r="AG190" s="383"/>
      <c r="AH190" s="383"/>
      <c r="AI190" s="383"/>
      <c r="AJ190" s="383"/>
      <c r="AK190" s="383"/>
      <c r="AL190" s="383"/>
      <c r="AM190" s="383"/>
      <c r="AN190" s="383"/>
      <c r="AO190" s="383"/>
      <c r="AP190" s="383"/>
      <c r="AQ190" s="383"/>
      <c r="AR190" s="383"/>
    </row>
    <row r="191" spans="2:44" s="639" customFormat="1" ht="12" customHeight="1">
      <c r="B191" s="708" t="s">
        <v>898</v>
      </c>
      <c r="C191" s="708" t="s">
        <v>1403</v>
      </c>
      <c r="D191" s="708" t="s">
        <v>1282</v>
      </c>
      <c r="E191" s="743" t="s">
        <v>12</v>
      </c>
      <c r="F191" s="743" t="s">
        <v>2787</v>
      </c>
      <c r="G191" s="744" t="s">
        <v>2754</v>
      </c>
      <c r="H191" s="745" t="s">
        <v>443</v>
      </c>
      <c r="I191" s="1235" t="s">
        <v>2772</v>
      </c>
      <c r="J191" s="732" t="s">
        <v>467</v>
      </c>
      <c r="K191" s="733"/>
      <c r="L191" s="730"/>
      <c r="M191" s="731"/>
      <c r="N191" s="1194" t="s">
        <v>466</v>
      </c>
      <c r="O191" s="1194" t="s">
        <v>1894</v>
      </c>
      <c r="P191" s="348"/>
      <c r="Q191" s="1236"/>
      <c r="X191" s="383"/>
      <c r="Y191" s="383"/>
      <c r="Z191" s="383"/>
      <c r="AA191" s="383"/>
      <c r="AB191" s="383"/>
      <c r="AC191" s="383"/>
      <c r="AD191" s="383"/>
      <c r="AE191" s="383"/>
      <c r="AF191" s="383"/>
      <c r="AG191" s="383"/>
      <c r="AH191" s="383"/>
      <c r="AI191" s="383"/>
      <c r="AJ191" s="383"/>
      <c r="AK191" s="383"/>
      <c r="AL191" s="383"/>
      <c r="AM191" s="383"/>
      <c r="AN191" s="383"/>
      <c r="AO191" s="383"/>
      <c r="AP191" s="383"/>
      <c r="AQ191" s="383"/>
      <c r="AR191" s="383"/>
    </row>
    <row r="192" spans="2:44" s="639" customFormat="1" ht="12" customHeight="1">
      <c r="B192" s="708" t="s">
        <v>899</v>
      </c>
      <c r="C192" s="708" t="s">
        <v>1404</v>
      </c>
      <c r="D192" s="708" t="s">
        <v>1282</v>
      </c>
      <c r="E192" s="743" t="s">
        <v>1806</v>
      </c>
      <c r="F192" s="743" t="s">
        <v>2787</v>
      </c>
      <c r="G192" s="744" t="s">
        <v>2755</v>
      </c>
      <c r="H192" s="745" t="s">
        <v>443</v>
      </c>
      <c r="I192" s="1235" t="s">
        <v>2772</v>
      </c>
      <c r="J192" s="732" t="s">
        <v>469</v>
      </c>
      <c r="K192" s="733"/>
      <c r="L192" s="730"/>
      <c r="M192" s="731"/>
      <c r="N192" s="1194" t="s">
        <v>468</v>
      </c>
      <c r="O192" s="1194" t="s">
        <v>1277</v>
      </c>
      <c r="P192" s="348"/>
      <c r="Q192" s="1236"/>
      <c r="X192" s="383"/>
      <c r="Y192" s="383"/>
      <c r="Z192" s="383"/>
      <c r="AA192" s="383"/>
      <c r="AB192" s="383"/>
      <c r="AC192" s="383"/>
      <c r="AD192" s="383"/>
      <c r="AE192" s="383"/>
      <c r="AF192" s="383"/>
      <c r="AG192" s="383"/>
      <c r="AH192" s="383"/>
      <c r="AI192" s="383"/>
      <c r="AJ192" s="383"/>
      <c r="AK192" s="383"/>
      <c r="AL192" s="383"/>
      <c r="AM192" s="383"/>
      <c r="AN192" s="383"/>
      <c r="AO192" s="383"/>
      <c r="AP192" s="383"/>
      <c r="AQ192" s="383"/>
      <c r="AR192" s="383"/>
    </row>
    <row r="193" spans="2:44" s="639" customFormat="1" ht="12" customHeight="1">
      <c r="B193" s="708" t="s">
        <v>900</v>
      </c>
      <c r="C193" s="708" t="s">
        <v>1405</v>
      </c>
      <c r="D193" s="708" t="s">
        <v>1282</v>
      </c>
      <c r="E193" s="746" t="s">
        <v>1406</v>
      </c>
      <c r="F193" s="746" t="s">
        <v>2787</v>
      </c>
      <c r="G193" s="744" t="s">
        <v>1552</v>
      </c>
      <c r="H193" s="745" t="s">
        <v>443</v>
      </c>
      <c r="I193" s="1235" t="s">
        <v>2772</v>
      </c>
      <c r="J193" s="732" t="s">
        <v>471</v>
      </c>
      <c r="K193" s="733"/>
      <c r="L193" s="730"/>
      <c r="M193" s="731"/>
      <c r="N193" s="1194" t="s">
        <v>470</v>
      </c>
      <c r="O193" s="1194" t="s">
        <v>191</v>
      </c>
      <c r="P193" s="348"/>
      <c r="Q193" s="1236"/>
      <c r="X193" s="383"/>
      <c r="Y193" s="383"/>
      <c r="Z193" s="383"/>
      <c r="AA193" s="383"/>
      <c r="AB193" s="383"/>
      <c r="AC193" s="383"/>
      <c r="AD193" s="383"/>
      <c r="AE193" s="383"/>
      <c r="AF193" s="383"/>
      <c r="AG193" s="383"/>
      <c r="AH193" s="383"/>
      <c r="AI193" s="383"/>
      <c r="AJ193" s="383"/>
      <c r="AK193" s="383"/>
      <c r="AL193" s="383"/>
      <c r="AM193" s="383"/>
      <c r="AN193" s="383"/>
      <c r="AO193" s="383"/>
      <c r="AP193" s="383"/>
      <c r="AQ193" s="383"/>
      <c r="AR193" s="383"/>
    </row>
    <row r="194" spans="2:44" s="639" customFormat="1" ht="12" customHeight="1">
      <c r="B194" s="708" t="s">
        <v>901</v>
      </c>
      <c r="C194" s="708" t="s">
        <v>1407</v>
      </c>
      <c r="D194" s="708" t="s">
        <v>1282</v>
      </c>
      <c r="E194" s="746" t="s">
        <v>1408</v>
      </c>
      <c r="F194" s="746" t="s">
        <v>2786</v>
      </c>
      <c r="G194" s="744" t="s">
        <v>2770</v>
      </c>
      <c r="H194" s="745" t="s">
        <v>442</v>
      </c>
      <c r="I194" s="1234" t="s">
        <v>2772</v>
      </c>
      <c r="J194" s="732" t="s">
        <v>2402</v>
      </c>
      <c r="K194" s="733"/>
      <c r="L194" s="730"/>
      <c r="M194" s="731"/>
      <c r="N194" s="1194" t="s">
        <v>472</v>
      </c>
      <c r="O194" s="1194" t="s">
        <v>125</v>
      </c>
      <c r="P194" s="348"/>
      <c r="Q194" s="1236"/>
      <c r="X194" s="383"/>
      <c r="Y194" s="383"/>
      <c r="Z194" s="383"/>
      <c r="AA194" s="383"/>
      <c r="AB194" s="383"/>
      <c r="AC194" s="383"/>
      <c r="AD194" s="383"/>
      <c r="AE194" s="383"/>
      <c r="AF194" s="383"/>
      <c r="AG194" s="383"/>
      <c r="AH194" s="383"/>
      <c r="AI194" s="383"/>
      <c r="AJ194" s="383"/>
      <c r="AK194" s="383"/>
      <c r="AL194" s="383"/>
      <c r="AM194" s="383"/>
      <c r="AN194" s="383"/>
      <c r="AO194" s="383"/>
      <c r="AP194" s="383"/>
      <c r="AQ194" s="383"/>
      <c r="AR194" s="383"/>
    </row>
    <row r="195" spans="2:44" s="639" customFormat="1" ht="12" customHeight="1">
      <c r="B195" s="708" t="s">
        <v>902</v>
      </c>
      <c r="C195" s="708" t="s">
        <v>1409</v>
      </c>
      <c r="D195" s="708" t="s">
        <v>1415</v>
      </c>
      <c r="E195" s="746" t="s">
        <v>810</v>
      </c>
      <c r="F195" s="746" t="s">
        <v>2787</v>
      </c>
      <c r="G195" s="744" t="s">
        <v>2771</v>
      </c>
      <c r="H195" s="745" t="s">
        <v>443</v>
      </c>
      <c r="I195" s="1235" t="s">
        <v>2772</v>
      </c>
      <c r="J195" s="732" t="s">
        <v>2404</v>
      </c>
      <c r="K195" s="733"/>
      <c r="L195" s="730"/>
      <c r="M195" s="731"/>
      <c r="N195" s="1194" t="s">
        <v>2403</v>
      </c>
      <c r="O195" s="1194" t="s">
        <v>2646</v>
      </c>
      <c r="P195" s="348"/>
      <c r="Q195" s="1236"/>
      <c r="X195" s="383"/>
      <c r="Y195" s="383"/>
      <c r="Z195" s="383"/>
      <c r="AA195" s="383"/>
      <c r="AB195" s="383"/>
      <c r="AC195" s="383"/>
      <c r="AD195" s="383"/>
      <c r="AE195" s="383"/>
      <c r="AF195" s="383"/>
      <c r="AG195" s="383"/>
      <c r="AH195" s="383"/>
      <c r="AI195" s="383"/>
      <c r="AJ195" s="383"/>
      <c r="AK195" s="383"/>
      <c r="AL195" s="383"/>
      <c r="AM195" s="383"/>
      <c r="AN195" s="383"/>
      <c r="AO195" s="383"/>
      <c r="AP195" s="383"/>
      <c r="AQ195" s="383"/>
      <c r="AR195" s="383"/>
    </row>
    <row r="196" spans="2:44" s="639" customFormat="1" ht="12" customHeight="1">
      <c r="B196" s="708" t="s">
        <v>903</v>
      </c>
      <c r="C196" s="708" t="s">
        <v>1411</v>
      </c>
      <c r="D196" s="708" t="s">
        <v>1415</v>
      </c>
      <c r="E196" s="746" t="s">
        <v>1093</v>
      </c>
      <c r="F196" s="746" t="s">
        <v>2787</v>
      </c>
      <c r="G196" s="744" t="s">
        <v>1331</v>
      </c>
      <c r="H196" s="745" t="s">
        <v>443</v>
      </c>
      <c r="I196" s="1235" t="s">
        <v>2772</v>
      </c>
      <c r="J196" s="732" t="s">
        <v>387</v>
      </c>
      <c r="K196" s="733"/>
      <c r="L196" s="730"/>
      <c r="M196" s="731"/>
      <c r="N196" s="1194" t="s">
        <v>1969</v>
      </c>
      <c r="O196" s="1194" t="s">
        <v>2310</v>
      </c>
      <c r="P196" s="348"/>
      <c r="Q196" s="1236"/>
      <c r="X196" s="383"/>
      <c r="Y196" s="383"/>
      <c r="Z196" s="383"/>
      <c r="AA196" s="383"/>
      <c r="AB196" s="383"/>
      <c r="AC196" s="383"/>
      <c r="AD196" s="383"/>
      <c r="AE196" s="383"/>
      <c r="AF196" s="383"/>
      <c r="AG196" s="383"/>
      <c r="AH196" s="383"/>
      <c r="AI196" s="383"/>
      <c r="AJ196" s="383"/>
      <c r="AK196" s="383"/>
      <c r="AL196" s="383"/>
      <c r="AM196" s="383"/>
      <c r="AN196" s="383"/>
      <c r="AO196" s="383"/>
      <c r="AP196" s="383"/>
      <c r="AQ196" s="383"/>
      <c r="AR196" s="383"/>
    </row>
    <row r="197" spans="2:44" s="639" customFormat="1" ht="12" customHeight="1">
      <c r="B197" s="708" t="s">
        <v>904</v>
      </c>
      <c r="C197" s="708" t="s">
        <v>1412</v>
      </c>
      <c r="D197" s="708" t="s">
        <v>1282</v>
      </c>
      <c r="E197" s="743" t="s">
        <v>1413</v>
      </c>
      <c r="F197" s="743" t="s">
        <v>2786</v>
      </c>
      <c r="G197" s="744" t="s">
        <v>1332</v>
      </c>
      <c r="H197" s="745" t="s">
        <v>442</v>
      </c>
      <c r="I197" s="1234" t="s">
        <v>2772</v>
      </c>
      <c r="J197" s="732" t="s">
        <v>389</v>
      </c>
      <c r="K197" s="733"/>
      <c r="L197" s="730"/>
      <c r="M197" s="731"/>
      <c r="N197" s="1194" t="s">
        <v>388</v>
      </c>
      <c r="O197" s="1194" t="s">
        <v>2310</v>
      </c>
      <c r="P197" s="348"/>
      <c r="Q197" s="1236"/>
      <c r="X197" s="383"/>
      <c r="Y197" s="383"/>
      <c r="Z197" s="383"/>
      <c r="AA197" s="383"/>
      <c r="AB197" s="383"/>
      <c r="AC197" s="383"/>
      <c r="AD197" s="383"/>
      <c r="AE197" s="383"/>
      <c r="AF197" s="383"/>
      <c r="AG197" s="383"/>
      <c r="AH197" s="383"/>
      <c r="AI197" s="383"/>
      <c r="AJ197" s="383"/>
      <c r="AK197" s="383"/>
      <c r="AL197" s="383"/>
      <c r="AM197" s="383"/>
      <c r="AN197" s="383"/>
      <c r="AO197" s="383"/>
      <c r="AP197" s="383"/>
      <c r="AQ197" s="383"/>
      <c r="AR197" s="383"/>
    </row>
    <row r="198" spans="2:44" s="639" customFormat="1" ht="12" customHeight="1">
      <c r="B198" s="708" t="s">
        <v>905</v>
      </c>
      <c r="C198" s="708" t="s">
        <v>1414</v>
      </c>
      <c r="D198" s="708" t="s">
        <v>1282</v>
      </c>
      <c r="E198" s="746" t="s">
        <v>774</v>
      </c>
      <c r="F198" s="746" t="s">
        <v>2786</v>
      </c>
      <c r="G198" s="744" t="s">
        <v>1333</v>
      </c>
      <c r="H198" s="745" t="s">
        <v>442</v>
      </c>
      <c r="I198" s="1234" t="s">
        <v>2772</v>
      </c>
      <c r="J198" s="732" t="s">
        <v>2718</v>
      </c>
      <c r="K198" s="733"/>
      <c r="L198" s="730"/>
      <c r="M198" s="731"/>
      <c r="N198" s="1194" t="s">
        <v>1281</v>
      </c>
      <c r="O198" s="1194" t="s">
        <v>2692</v>
      </c>
      <c r="P198" s="348"/>
      <c r="Q198" s="1236"/>
      <c r="X198" s="383"/>
      <c r="Y198" s="383"/>
      <c r="Z198" s="383"/>
      <c r="AA198" s="383"/>
      <c r="AB198" s="383"/>
      <c r="AC198" s="383"/>
      <c r="AD198" s="383"/>
      <c r="AE198" s="383"/>
      <c r="AF198" s="383"/>
      <c r="AG198" s="383"/>
      <c r="AH198" s="383"/>
      <c r="AI198" s="383"/>
      <c r="AJ198" s="383"/>
      <c r="AK198" s="383"/>
      <c r="AL198" s="383"/>
      <c r="AM198" s="383"/>
      <c r="AN198" s="383"/>
      <c r="AO198" s="383"/>
      <c r="AP198" s="383"/>
      <c r="AQ198" s="383"/>
      <c r="AR198" s="383"/>
    </row>
    <row r="199" spans="2:44" s="639" customFormat="1" ht="12" customHeight="1">
      <c r="B199" s="708" t="s">
        <v>906</v>
      </c>
      <c r="C199" s="708" t="s">
        <v>775</v>
      </c>
      <c r="D199" s="708" t="s">
        <v>1282</v>
      </c>
      <c r="E199" s="743" t="s">
        <v>776</v>
      </c>
      <c r="F199" s="743" t="s">
        <v>2786</v>
      </c>
      <c r="G199" s="744" t="s">
        <v>1821</v>
      </c>
      <c r="H199" s="745" t="s">
        <v>442</v>
      </c>
      <c r="I199" s="1234" t="s">
        <v>2772</v>
      </c>
      <c r="J199" s="732" t="s">
        <v>2720</v>
      </c>
      <c r="K199" s="733"/>
      <c r="L199" s="730"/>
      <c r="M199" s="731"/>
      <c r="N199" s="1194" t="s">
        <v>2719</v>
      </c>
      <c r="O199" s="1194" t="s">
        <v>2697</v>
      </c>
      <c r="P199" s="348"/>
      <c r="Q199" s="1236"/>
      <c r="X199" s="383"/>
      <c r="Y199" s="383"/>
      <c r="Z199" s="383"/>
      <c r="AA199" s="383"/>
      <c r="AB199" s="383"/>
      <c r="AC199" s="383"/>
      <c r="AD199" s="383"/>
      <c r="AE199" s="383"/>
      <c r="AF199" s="383"/>
      <c r="AG199" s="383"/>
      <c r="AH199" s="383"/>
      <c r="AI199" s="383"/>
      <c r="AJ199" s="383"/>
      <c r="AK199" s="383"/>
      <c r="AL199" s="383"/>
      <c r="AM199" s="383"/>
      <c r="AN199" s="383"/>
      <c r="AO199" s="383"/>
      <c r="AP199" s="383"/>
      <c r="AQ199" s="383"/>
      <c r="AR199" s="383"/>
    </row>
    <row r="200" spans="2:44" s="639" customFormat="1" ht="12" customHeight="1">
      <c r="B200" s="708" t="s">
        <v>907</v>
      </c>
      <c r="C200" s="708" t="s">
        <v>777</v>
      </c>
      <c r="D200" s="708" t="s">
        <v>1415</v>
      </c>
      <c r="E200" s="746" t="s">
        <v>809</v>
      </c>
      <c r="F200" s="746" t="s">
        <v>2787</v>
      </c>
      <c r="G200" s="744" t="s">
        <v>2749</v>
      </c>
      <c r="H200" s="745" t="s">
        <v>443</v>
      </c>
      <c r="I200" s="1234" t="s">
        <v>1262</v>
      </c>
      <c r="J200" s="732" t="s">
        <v>2722</v>
      </c>
      <c r="K200" s="733"/>
      <c r="L200" s="730"/>
      <c r="M200" s="731"/>
      <c r="N200" s="1194" t="s">
        <v>2721</v>
      </c>
      <c r="O200" s="1194" t="s">
        <v>1156</v>
      </c>
      <c r="P200" s="348"/>
      <c r="Q200" s="1236"/>
      <c r="X200" s="383"/>
      <c r="Y200" s="383"/>
      <c r="Z200" s="383"/>
      <c r="AA200" s="383"/>
      <c r="AB200" s="383"/>
      <c r="AC200" s="383"/>
      <c r="AD200" s="383"/>
      <c r="AE200" s="383"/>
      <c r="AF200" s="383"/>
      <c r="AG200" s="383"/>
      <c r="AH200" s="383"/>
      <c r="AI200" s="383"/>
      <c r="AJ200" s="383"/>
      <c r="AK200" s="383"/>
      <c r="AL200" s="383"/>
      <c r="AM200" s="383"/>
      <c r="AN200" s="383"/>
      <c r="AO200" s="383"/>
      <c r="AP200" s="383"/>
      <c r="AQ200" s="383"/>
      <c r="AR200" s="383"/>
    </row>
    <row r="201" spans="2:44" s="639" customFormat="1" ht="12" customHeight="1">
      <c r="B201" s="708" t="s">
        <v>908</v>
      </c>
      <c r="C201" s="708" t="s">
        <v>1618</v>
      </c>
      <c r="D201" s="708" t="s">
        <v>1391</v>
      </c>
      <c r="E201" s="746" t="s">
        <v>1619</v>
      </c>
      <c r="F201" s="746" t="s">
        <v>2787</v>
      </c>
      <c r="G201" s="744" t="s">
        <v>1790</v>
      </c>
      <c r="H201" s="745" t="s">
        <v>443</v>
      </c>
      <c r="I201" s="1235" t="s">
        <v>2772</v>
      </c>
      <c r="J201" s="732" t="s">
        <v>2724</v>
      </c>
      <c r="K201" s="733"/>
      <c r="L201" s="730"/>
      <c r="M201" s="731"/>
      <c r="N201" s="1194" t="s">
        <v>2723</v>
      </c>
      <c r="O201" s="1194" t="s">
        <v>341</v>
      </c>
      <c r="P201" s="348"/>
      <c r="Q201" s="1236"/>
      <c r="X201" s="383"/>
      <c r="Y201" s="383"/>
      <c r="Z201" s="383"/>
      <c r="AA201" s="383"/>
      <c r="AB201" s="383"/>
      <c r="AC201" s="383"/>
      <c r="AD201" s="383"/>
      <c r="AE201" s="383"/>
      <c r="AF201" s="383"/>
      <c r="AG201" s="383"/>
      <c r="AH201" s="383"/>
      <c r="AI201" s="383"/>
      <c r="AJ201" s="383"/>
      <c r="AK201" s="383"/>
      <c r="AL201" s="383"/>
      <c r="AM201" s="383"/>
      <c r="AN201" s="383"/>
      <c r="AO201" s="383"/>
      <c r="AP201" s="383"/>
      <c r="AQ201" s="383"/>
      <c r="AR201" s="383"/>
    </row>
    <row r="202" spans="2:44" s="639" customFormat="1" ht="12" customHeight="1">
      <c r="B202" s="708" t="s">
        <v>909</v>
      </c>
      <c r="C202" s="708" t="s">
        <v>164</v>
      </c>
      <c r="D202" s="708" t="s">
        <v>1282</v>
      </c>
      <c r="E202" s="743" t="s">
        <v>165</v>
      </c>
      <c r="F202" s="743" t="s">
        <v>2786</v>
      </c>
      <c r="G202" s="744" t="s">
        <v>1791</v>
      </c>
      <c r="H202" s="745" t="s">
        <v>442</v>
      </c>
      <c r="I202" s="1234" t="s">
        <v>2772</v>
      </c>
      <c r="J202" s="732" t="s">
        <v>2726</v>
      </c>
      <c r="K202" s="733"/>
      <c r="L202" s="730"/>
      <c r="M202" s="731"/>
      <c r="N202" s="1194" t="s">
        <v>2725</v>
      </c>
      <c r="O202" s="1194" t="s">
        <v>2643</v>
      </c>
      <c r="P202" s="348"/>
      <c r="Q202" s="1236"/>
      <c r="X202" s="383"/>
      <c r="Y202" s="383"/>
      <c r="Z202" s="383"/>
      <c r="AA202" s="383"/>
      <c r="AB202" s="383"/>
      <c r="AC202" s="383"/>
      <c r="AD202" s="383"/>
      <c r="AE202" s="383"/>
      <c r="AF202" s="383"/>
      <c r="AG202" s="383"/>
      <c r="AH202" s="383"/>
      <c r="AI202" s="383"/>
      <c r="AJ202" s="383"/>
      <c r="AK202" s="383"/>
      <c r="AL202" s="383"/>
      <c r="AM202" s="383"/>
      <c r="AN202" s="383"/>
      <c r="AO202" s="383"/>
      <c r="AP202" s="383"/>
      <c r="AQ202" s="383"/>
      <c r="AR202" s="383"/>
    </row>
    <row r="203" spans="2:44" s="639" customFormat="1" ht="12" customHeight="1">
      <c r="B203" s="708" t="s">
        <v>910</v>
      </c>
      <c r="C203" s="708" t="s">
        <v>166</v>
      </c>
      <c r="D203" s="708" t="s">
        <v>1282</v>
      </c>
      <c r="E203" s="746" t="s">
        <v>1406</v>
      </c>
      <c r="F203" s="746" t="s">
        <v>2787</v>
      </c>
      <c r="G203" s="744" t="s">
        <v>1552</v>
      </c>
      <c r="H203" s="745" t="s">
        <v>443</v>
      </c>
      <c r="I203" s="1234" t="s">
        <v>1262</v>
      </c>
      <c r="J203" s="732" t="s">
        <v>2728</v>
      </c>
      <c r="K203" s="733"/>
      <c r="L203" s="730"/>
      <c r="M203" s="731"/>
      <c r="N203" s="1194" t="s">
        <v>2727</v>
      </c>
      <c r="O203" s="1194" t="s">
        <v>1412</v>
      </c>
      <c r="P203" s="348"/>
      <c r="Q203" s="1236"/>
      <c r="X203" s="383"/>
      <c r="Y203" s="383"/>
      <c r="Z203" s="383"/>
      <c r="AA203" s="383"/>
      <c r="AB203" s="383"/>
      <c r="AC203" s="383"/>
      <c r="AD203" s="383"/>
      <c r="AE203" s="383"/>
      <c r="AF203" s="383"/>
      <c r="AG203" s="383"/>
      <c r="AH203" s="383"/>
      <c r="AI203" s="383"/>
      <c r="AJ203" s="383"/>
      <c r="AK203" s="383"/>
      <c r="AL203" s="383"/>
      <c r="AM203" s="383"/>
      <c r="AN203" s="383"/>
      <c r="AO203" s="383"/>
      <c r="AP203" s="383"/>
      <c r="AQ203" s="383"/>
      <c r="AR203" s="383"/>
    </row>
    <row r="204" spans="2:44" s="639" customFormat="1" ht="12" customHeight="1">
      <c r="B204" s="708" t="s">
        <v>1422</v>
      </c>
      <c r="C204" s="708" t="s">
        <v>167</v>
      </c>
      <c r="D204" s="708" t="s">
        <v>1415</v>
      </c>
      <c r="E204" s="746" t="s">
        <v>168</v>
      </c>
      <c r="F204" s="746" t="s">
        <v>2787</v>
      </c>
      <c r="G204" s="744" t="s">
        <v>1792</v>
      </c>
      <c r="H204" s="745" t="s">
        <v>443</v>
      </c>
      <c r="I204" s="1235" t="s">
        <v>2772</v>
      </c>
      <c r="J204" s="732" t="s">
        <v>2729</v>
      </c>
      <c r="K204" s="733"/>
      <c r="L204" s="730"/>
      <c r="M204" s="731"/>
      <c r="N204" s="1194" t="s">
        <v>2730</v>
      </c>
      <c r="O204" s="1194" t="s">
        <v>2764</v>
      </c>
      <c r="P204" s="348"/>
      <c r="Q204" s="1236"/>
      <c r="X204" s="383"/>
      <c r="Y204" s="383"/>
      <c r="Z204" s="383"/>
      <c r="AA204" s="383"/>
      <c r="AB204" s="383"/>
      <c r="AC204" s="383"/>
      <c r="AD204" s="383"/>
      <c r="AE204" s="383"/>
      <c r="AF204" s="383"/>
      <c r="AG204" s="383"/>
      <c r="AH204" s="383"/>
      <c r="AI204" s="383"/>
      <c r="AJ204" s="383"/>
      <c r="AK204" s="383"/>
      <c r="AL204" s="383"/>
      <c r="AM204" s="383"/>
      <c r="AN204" s="383"/>
      <c r="AO204" s="383"/>
      <c r="AP204" s="383"/>
      <c r="AQ204" s="383"/>
      <c r="AR204" s="383"/>
    </row>
    <row r="205" spans="2:44" s="639" customFormat="1" ht="12" customHeight="1">
      <c r="B205" s="708" t="s">
        <v>1423</v>
      </c>
      <c r="C205" s="708" t="s">
        <v>169</v>
      </c>
      <c r="D205" s="708" t="s">
        <v>1391</v>
      </c>
      <c r="E205" s="743" t="s">
        <v>170</v>
      </c>
      <c r="F205" s="743" t="s">
        <v>2786</v>
      </c>
      <c r="G205" s="744" t="s">
        <v>1793</v>
      </c>
      <c r="H205" s="745" t="s">
        <v>442</v>
      </c>
      <c r="I205" s="1234" t="s">
        <v>2772</v>
      </c>
      <c r="J205" s="732" t="s">
        <v>2731</v>
      </c>
      <c r="K205" s="733"/>
      <c r="L205" s="730"/>
      <c r="M205" s="731"/>
      <c r="N205" s="1194" t="s">
        <v>2732</v>
      </c>
      <c r="O205" s="1194" t="s">
        <v>2043</v>
      </c>
      <c r="P205" s="1237"/>
      <c r="Q205" s="383"/>
      <c r="X205" s="383"/>
      <c r="Y205" s="383"/>
      <c r="Z205" s="383"/>
      <c r="AA205" s="383"/>
      <c r="AB205" s="383"/>
      <c r="AC205" s="383"/>
      <c r="AD205" s="383"/>
      <c r="AE205" s="383"/>
      <c r="AF205" s="383"/>
      <c r="AG205" s="383"/>
      <c r="AH205" s="383"/>
      <c r="AI205" s="383"/>
      <c r="AJ205" s="383"/>
      <c r="AK205" s="383"/>
      <c r="AL205" s="383"/>
      <c r="AM205" s="383"/>
      <c r="AN205" s="383"/>
      <c r="AO205" s="383"/>
      <c r="AP205" s="383"/>
      <c r="AQ205" s="383"/>
      <c r="AR205" s="383"/>
    </row>
    <row r="206" spans="2:44" s="639" customFormat="1" ht="12" customHeight="1">
      <c r="B206" s="708" t="s">
        <v>1424</v>
      </c>
      <c r="C206" s="708" t="s">
        <v>171</v>
      </c>
      <c r="D206" s="708" t="s">
        <v>1391</v>
      </c>
      <c r="E206" s="746" t="s">
        <v>809</v>
      </c>
      <c r="F206" s="746" t="s">
        <v>2787</v>
      </c>
      <c r="G206" s="744" t="s">
        <v>2749</v>
      </c>
      <c r="H206" s="745" t="s">
        <v>443</v>
      </c>
      <c r="I206" s="1234" t="s">
        <v>1262</v>
      </c>
      <c r="J206" s="732" t="s">
        <v>436</v>
      </c>
      <c r="K206" s="733"/>
      <c r="L206" s="730"/>
      <c r="M206" s="731"/>
      <c r="N206" s="1194" t="s">
        <v>173</v>
      </c>
      <c r="O206" s="1194" t="s">
        <v>172</v>
      </c>
      <c r="P206" s="348"/>
      <c r="Q206" s="1236"/>
      <c r="X206" s="383"/>
      <c r="Y206" s="383"/>
      <c r="Z206" s="383"/>
      <c r="AA206" s="383"/>
      <c r="AB206" s="383"/>
      <c r="AC206" s="383"/>
      <c r="AD206" s="383"/>
      <c r="AE206" s="383"/>
      <c r="AF206" s="383"/>
      <c r="AG206" s="383"/>
      <c r="AH206" s="383"/>
      <c r="AI206" s="383"/>
      <c r="AJ206" s="383"/>
      <c r="AK206" s="383"/>
      <c r="AL206" s="383"/>
      <c r="AM206" s="383"/>
      <c r="AN206" s="383"/>
      <c r="AO206" s="383"/>
      <c r="AP206" s="383"/>
      <c r="AQ206" s="383"/>
      <c r="AR206" s="383"/>
    </row>
    <row r="207" spans="2:44" s="639" customFormat="1" ht="12" customHeight="1">
      <c r="B207" s="708" t="s">
        <v>1425</v>
      </c>
      <c r="C207" s="708" t="s">
        <v>172</v>
      </c>
      <c r="D207" s="708" t="s">
        <v>1415</v>
      </c>
      <c r="E207" s="743" t="s">
        <v>2173</v>
      </c>
      <c r="F207" s="743" t="s">
        <v>2787</v>
      </c>
      <c r="G207" s="744" t="s">
        <v>656</v>
      </c>
      <c r="H207" s="745" t="s">
        <v>443</v>
      </c>
      <c r="I207" s="1235" t="s">
        <v>1262</v>
      </c>
      <c r="J207" s="732" t="s">
        <v>437</v>
      </c>
      <c r="K207" s="733"/>
      <c r="L207" s="708"/>
      <c r="M207" s="731"/>
      <c r="N207" s="1194" t="s">
        <v>1276</v>
      </c>
      <c r="O207" s="1194" t="s">
        <v>1277</v>
      </c>
      <c r="P207" s="348"/>
      <c r="Q207" s="1236"/>
      <c r="X207" s="383"/>
      <c r="Y207" s="383"/>
      <c r="Z207" s="383"/>
      <c r="AA207" s="383"/>
      <c r="AB207" s="383"/>
      <c r="AC207" s="383"/>
      <c r="AD207" s="383"/>
      <c r="AE207" s="383"/>
      <c r="AF207" s="383"/>
      <c r="AG207" s="383"/>
      <c r="AH207" s="383"/>
      <c r="AI207" s="383"/>
      <c r="AJ207" s="383"/>
      <c r="AK207" s="383"/>
      <c r="AL207" s="383"/>
      <c r="AM207" s="383"/>
      <c r="AN207" s="383"/>
      <c r="AO207" s="383"/>
      <c r="AP207" s="383"/>
      <c r="AQ207" s="383"/>
      <c r="AR207" s="383"/>
    </row>
    <row r="208" spans="2:44" s="639" customFormat="1" ht="12" customHeight="1">
      <c r="B208" s="708" t="s">
        <v>1426</v>
      </c>
      <c r="C208" s="708" t="s">
        <v>2640</v>
      </c>
      <c r="D208" s="708" t="s">
        <v>1282</v>
      </c>
      <c r="E208" s="743" t="s">
        <v>2641</v>
      </c>
      <c r="F208" s="743" t="s">
        <v>2786</v>
      </c>
      <c r="G208" s="744" t="s">
        <v>657</v>
      </c>
      <c r="H208" s="745" t="s">
        <v>442</v>
      </c>
      <c r="I208" s="1235" t="s">
        <v>2772</v>
      </c>
      <c r="J208" s="732" t="s">
        <v>824</v>
      </c>
      <c r="K208" s="710"/>
      <c r="L208" s="730"/>
      <c r="M208" s="731"/>
      <c r="N208" s="1194" t="s">
        <v>825</v>
      </c>
      <c r="O208" s="1194" t="s">
        <v>204</v>
      </c>
      <c r="P208" s="348"/>
      <c r="Q208" s="1236"/>
      <c r="X208" s="383"/>
      <c r="Y208" s="383"/>
      <c r="Z208" s="383"/>
      <c r="AA208" s="383"/>
      <c r="AB208" s="383"/>
      <c r="AC208" s="383"/>
      <c r="AD208" s="383"/>
      <c r="AE208" s="383"/>
      <c r="AF208" s="383"/>
      <c r="AG208" s="383"/>
      <c r="AH208" s="383"/>
      <c r="AI208" s="383"/>
      <c r="AJ208" s="383"/>
      <c r="AK208" s="383"/>
      <c r="AL208" s="383"/>
      <c r="AM208" s="383"/>
      <c r="AN208" s="383"/>
      <c r="AO208" s="383"/>
      <c r="AP208" s="383"/>
      <c r="AQ208" s="383"/>
      <c r="AR208" s="383"/>
    </row>
    <row r="209" spans="2:44" s="639" customFormat="1" ht="12" customHeight="1">
      <c r="B209" s="708" t="s">
        <v>1427</v>
      </c>
      <c r="C209" s="708" t="s">
        <v>2642</v>
      </c>
      <c r="D209" s="708" t="s">
        <v>1415</v>
      </c>
      <c r="E209" s="746" t="s">
        <v>809</v>
      </c>
      <c r="F209" s="746" t="s">
        <v>2787</v>
      </c>
      <c r="G209" s="744" t="s">
        <v>2749</v>
      </c>
      <c r="H209" s="745" t="s">
        <v>443</v>
      </c>
      <c r="I209" s="1234" t="s">
        <v>1262</v>
      </c>
      <c r="J209" s="732" t="s">
        <v>826</v>
      </c>
      <c r="K209" s="710"/>
      <c r="L209" s="730"/>
      <c r="M209" s="731"/>
      <c r="N209" s="1194" t="s">
        <v>2201</v>
      </c>
      <c r="O209" s="1194" t="s">
        <v>1393</v>
      </c>
      <c r="P209" s="1237"/>
      <c r="Q209" s="383"/>
      <c r="X209" s="383"/>
      <c r="Y209" s="383"/>
      <c r="Z209" s="383"/>
      <c r="AA209" s="383"/>
      <c r="AB209" s="383"/>
      <c r="AC209" s="383"/>
      <c r="AD209" s="383"/>
      <c r="AE209" s="383"/>
      <c r="AF209" s="383"/>
      <c r="AG209" s="383"/>
      <c r="AH209" s="383"/>
      <c r="AI209" s="383"/>
      <c r="AJ209" s="383"/>
      <c r="AK209" s="383"/>
      <c r="AL209" s="383"/>
      <c r="AM209" s="383"/>
      <c r="AN209" s="383"/>
      <c r="AO209" s="383"/>
      <c r="AP209" s="383"/>
      <c r="AQ209" s="383"/>
      <c r="AR209" s="383"/>
    </row>
    <row r="210" spans="2:44" s="639" customFormat="1" ht="12" customHeight="1">
      <c r="B210" s="708" t="s">
        <v>1428</v>
      </c>
      <c r="C210" s="708" t="s">
        <v>2643</v>
      </c>
      <c r="D210" s="708" t="s">
        <v>1282</v>
      </c>
      <c r="E210" s="743" t="s">
        <v>2644</v>
      </c>
      <c r="F210" s="743" t="s">
        <v>2786</v>
      </c>
      <c r="G210" s="744" t="s">
        <v>658</v>
      </c>
      <c r="H210" s="745" t="s">
        <v>442</v>
      </c>
      <c r="I210" s="1235" t="s">
        <v>2772</v>
      </c>
      <c r="J210" s="732" t="s">
        <v>2202</v>
      </c>
      <c r="K210" s="710"/>
      <c r="L210" s="730"/>
      <c r="M210" s="731"/>
      <c r="N210" s="1194" t="s">
        <v>1410</v>
      </c>
      <c r="O210" s="1194" t="s">
        <v>1168</v>
      </c>
      <c r="P210" s="348"/>
      <c r="Q210" s="1236"/>
      <c r="X210" s="383"/>
      <c r="Y210" s="383"/>
      <c r="Z210" s="383"/>
      <c r="AA210" s="383"/>
      <c r="AB210" s="383"/>
      <c r="AC210" s="383"/>
      <c r="AD210" s="383"/>
      <c r="AE210" s="383"/>
      <c r="AF210" s="383"/>
      <c r="AG210" s="383"/>
      <c r="AH210" s="383"/>
      <c r="AI210" s="383"/>
      <c r="AJ210" s="383"/>
      <c r="AK210" s="383"/>
      <c r="AL210" s="383"/>
      <c r="AM210" s="383"/>
      <c r="AN210" s="383"/>
      <c r="AO210" s="383"/>
      <c r="AP210" s="383"/>
      <c r="AQ210" s="383"/>
      <c r="AR210" s="383"/>
    </row>
    <row r="211" spans="2:44" s="639" customFormat="1" ht="12" customHeight="1">
      <c r="B211" s="708" t="s">
        <v>1429</v>
      </c>
      <c r="C211" s="708" t="s">
        <v>2645</v>
      </c>
      <c r="D211" s="708" t="s">
        <v>1391</v>
      </c>
      <c r="E211" s="746" t="s">
        <v>809</v>
      </c>
      <c r="F211" s="746" t="s">
        <v>2787</v>
      </c>
      <c r="G211" s="744" t="s">
        <v>2749</v>
      </c>
      <c r="H211" s="745" t="s">
        <v>443</v>
      </c>
      <c r="I211" s="1234" t="s">
        <v>1262</v>
      </c>
      <c r="J211" s="732" t="s">
        <v>2203</v>
      </c>
      <c r="K211" s="710"/>
      <c r="L211" s="730"/>
      <c r="M211" s="731"/>
      <c r="N211" s="1194" t="s">
        <v>2204</v>
      </c>
      <c r="O211" s="1194" t="s">
        <v>2645</v>
      </c>
      <c r="P211" s="348"/>
      <c r="Q211" s="1236"/>
      <c r="X211" s="383"/>
      <c r="Y211" s="383"/>
      <c r="Z211" s="383"/>
      <c r="AA211" s="383"/>
      <c r="AB211" s="383"/>
      <c r="AC211" s="383"/>
      <c r="AD211" s="383"/>
      <c r="AE211" s="383"/>
      <c r="AF211" s="383"/>
      <c r="AG211" s="383"/>
      <c r="AH211" s="383"/>
      <c r="AI211" s="383"/>
      <c r="AJ211" s="383"/>
      <c r="AK211" s="383"/>
      <c r="AL211" s="383"/>
      <c r="AM211" s="383"/>
      <c r="AN211" s="383"/>
      <c r="AO211" s="383"/>
      <c r="AP211" s="383"/>
      <c r="AQ211" s="383"/>
      <c r="AR211" s="383"/>
    </row>
    <row r="212" spans="2:44" s="639" customFormat="1" ht="12" customHeight="1">
      <c r="B212" s="708" t="s">
        <v>1430</v>
      </c>
      <c r="C212" s="708" t="s">
        <v>2646</v>
      </c>
      <c r="D212" s="708" t="s">
        <v>1282</v>
      </c>
      <c r="E212" s="743" t="s">
        <v>2647</v>
      </c>
      <c r="F212" s="743" t="s">
        <v>2786</v>
      </c>
      <c r="G212" s="744" t="s">
        <v>659</v>
      </c>
      <c r="H212" s="745" t="s">
        <v>442</v>
      </c>
      <c r="I212" s="1235" t="s">
        <v>2772</v>
      </c>
      <c r="J212" s="732" t="s">
        <v>2205</v>
      </c>
      <c r="K212" s="710"/>
      <c r="L212" s="730"/>
      <c r="M212" s="731"/>
      <c r="N212" s="1194" t="s">
        <v>2127</v>
      </c>
      <c r="O212" s="1194" t="s">
        <v>2306</v>
      </c>
      <c r="P212" s="348"/>
      <c r="Q212" s="1236"/>
      <c r="X212" s="383"/>
      <c r="Y212" s="383"/>
      <c r="Z212" s="383"/>
      <c r="AA212" s="383"/>
      <c r="AB212" s="383"/>
      <c r="AC212" s="383"/>
      <c r="AD212" s="383"/>
      <c r="AE212" s="383"/>
      <c r="AF212" s="383"/>
      <c r="AG212" s="383"/>
      <c r="AH212" s="383"/>
      <c r="AI212" s="383"/>
      <c r="AJ212" s="383"/>
      <c r="AK212" s="383"/>
      <c r="AL212" s="383"/>
      <c r="AM212" s="383"/>
      <c r="AN212" s="383"/>
      <c r="AO212" s="383"/>
      <c r="AP212" s="383"/>
      <c r="AQ212" s="383"/>
      <c r="AR212" s="383"/>
    </row>
    <row r="213" spans="2:44" s="639" customFormat="1" ht="12" customHeight="1">
      <c r="B213" s="708" t="s">
        <v>1431</v>
      </c>
      <c r="C213" s="708" t="s">
        <v>2648</v>
      </c>
      <c r="D213" s="708" t="s">
        <v>1282</v>
      </c>
      <c r="E213" s="743" t="s">
        <v>2691</v>
      </c>
      <c r="F213" s="743" t="s">
        <v>2786</v>
      </c>
      <c r="G213" s="744" t="s">
        <v>660</v>
      </c>
      <c r="H213" s="745" t="s">
        <v>442</v>
      </c>
      <c r="I213" s="1235" t="s">
        <v>2772</v>
      </c>
      <c r="J213" s="732" t="s">
        <v>2236</v>
      </c>
      <c r="K213" s="710"/>
      <c r="L213" s="730"/>
      <c r="M213" s="731"/>
      <c r="N213" s="1194" t="s">
        <v>2206</v>
      </c>
      <c r="O213" s="1194" t="s">
        <v>346</v>
      </c>
      <c r="P213" s="348"/>
      <c r="Q213" s="1236"/>
      <c r="X213" s="383"/>
      <c r="Y213" s="383"/>
      <c r="Z213" s="383"/>
      <c r="AA213" s="383"/>
      <c r="AB213" s="383"/>
      <c r="AC213" s="383"/>
      <c r="AD213" s="383"/>
      <c r="AE213" s="383"/>
      <c r="AF213" s="383"/>
      <c r="AG213" s="383"/>
      <c r="AH213" s="383"/>
      <c r="AI213" s="383"/>
      <c r="AJ213" s="383"/>
      <c r="AK213" s="383"/>
      <c r="AL213" s="383"/>
      <c r="AM213" s="383"/>
      <c r="AN213" s="383"/>
      <c r="AO213" s="383"/>
      <c r="AP213" s="383"/>
      <c r="AQ213" s="383"/>
      <c r="AR213" s="383"/>
    </row>
    <row r="214" spans="2:44" s="639" customFormat="1" ht="12" customHeight="1">
      <c r="B214" s="708" t="s">
        <v>1432</v>
      </c>
      <c r="C214" s="708" t="s">
        <v>2692</v>
      </c>
      <c r="D214" s="708" t="s">
        <v>1415</v>
      </c>
      <c r="E214" s="746" t="s">
        <v>810</v>
      </c>
      <c r="F214" s="746" t="s">
        <v>2787</v>
      </c>
      <c r="G214" s="744" t="s">
        <v>2771</v>
      </c>
      <c r="H214" s="745" t="s">
        <v>443</v>
      </c>
      <c r="I214" s="1235" t="s">
        <v>2772</v>
      </c>
      <c r="J214" s="732" t="s">
        <v>2238</v>
      </c>
      <c r="K214" s="710"/>
      <c r="L214" s="730"/>
      <c r="M214" s="731"/>
      <c r="N214" s="1194" t="s">
        <v>2237</v>
      </c>
      <c r="O214" s="1194" t="s">
        <v>664</v>
      </c>
      <c r="P214" s="348"/>
      <c r="Q214" s="1236"/>
      <c r="X214" s="383"/>
      <c r="Y214" s="383"/>
      <c r="Z214" s="383"/>
      <c r="AA214" s="383"/>
      <c r="AB214" s="383"/>
      <c r="AC214" s="383"/>
      <c r="AD214" s="383"/>
      <c r="AE214" s="383"/>
      <c r="AF214" s="383"/>
      <c r="AG214" s="383"/>
      <c r="AH214" s="383"/>
      <c r="AI214" s="383"/>
      <c r="AJ214" s="383"/>
      <c r="AK214" s="383"/>
      <c r="AL214" s="383"/>
      <c r="AM214" s="383"/>
      <c r="AN214" s="383"/>
      <c r="AO214" s="383"/>
      <c r="AP214" s="383"/>
      <c r="AQ214" s="383"/>
      <c r="AR214" s="383"/>
    </row>
    <row r="215" spans="2:44" s="639" customFormat="1" ht="12" customHeight="1">
      <c r="B215" s="708" t="s">
        <v>1433</v>
      </c>
      <c r="C215" s="708" t="s">
        <v>2693</v>
      </c>
      <c r="D215" s="708" t="s">
        <v>1282</v>
      </c>
      <c r="E215" s="743" t="s">
        <v>2694</v>
      </c>
      <c r="F215" s="743" t="s">
        <v>2786</v>
      </c>
      <c r="G215" s="744" t="s">
        <v>661</v>
      </c>
      <c r="H215" s="745" t="s">
        <v>442</v>
      </c>
      <c r="I215" s="1235" t="s">
        <v>2772</v>
      </c>
      <c r="J215" s="732" t="s">
        <v>2240</v>
      </c>
      <c r="K215" s="710"/>
      <c r="L215" s="730"/>
      <c r="M215" s="731"/>
      <c r="N215" s="1194" t="s">
        <v>2239</v>
      </c>
      <c r="O215" s="1194" t="s">
        <v>1735</v>
      </c>
      <c r="P215" s="348"/>
      <c r="Q215" s="1236"/>
      <c r="X215" s="383"/>
      <c r="Y215" s="383"/>
      <c r="Z215" s="383"/>
      <c r="AA215" s="383"/>
      <c r="AB215" s="383"/>
      <c r="AC215" s="383"/>
      <c r="AD215" s="383"/>
      <c r="AE215" s="383"/>
      <c r="AF215" s="383"/>
      <c r="AG215" s="383"/>
      <c r="AH215" s="383"/>
      <c r="AI215" s="383"/>
      <c r="AJ215" s="383"/>
      <c r="AK215" s="383"/>
      <c r="AL215" s="383"/>
      <c r="AM215" s="383"/>
      <c r="AN215" s="383"/>
      <c r="AO215" s="383"/>
      <c r="AP215" s="383"/>
      <c r="AQ215" s="383"/>
      <c r="AR215" s="383"/>
    </row>
    <row r="216" spans="2:44" s="639" customFormat="1" ht="12" customHeight="1">
      <c r="B216" s="708" t="s">
        <v>1434</v>
      </c>
      <c r="C216" s="708" t="s">
        <v>2695</v>
      </c>
      <c r="D216" s="708" t="s">
        <v>1415</v>
      </c>
      <c r="E216" s="746" t="s">
        <v>809</v>
      </c>
      <c r="F216" s="746" t="s">
        <v>2787</v>
      </c>
      <c r="G216" s="744" t="s">
        <v>2749</v>
      </c>
      <c r="H216" s="745" t="s">
        <v>443</v>
      </c>
      <c r="I216" s="1234" t="s">
        <v>1262</v>
      </c>
      <c r="J216" s="732" t="s">
        <v>2242</v>
      </c>
      <c r="K216" s="710"/>
      <c r="L216" s="730"/>
      <c r="M216" s="731"/>
      <c r="N216" s="1194" t="s">
        <v>2241</v>
      </c>
      <c r="O216" s="1194" t="s">
        <v>204</v>
      </c>
      <c r="P216" s="348"/>
      <c r="Q216" s="1236"/>
      <c r="X216" s="383"/>
      <c r="Y216" s="383"/>
      <c r="Z216" s="383"/>
      <c r="AA216" s="383"/>
      <c r="AB216" s="383"/>
      <c r="AC216" s="383"/>
      <c r="AD216" s="383"/>
      <c r="AE216" s="383"/>
      <c r="AF216" s="383"/>
      <c r="AG216" s="383"/>
      <c r="AH216" s="383"/>
      <c r="AI216" s="383"/>
      <c r="AJ216" s="383"/>
      <c r="AK216" s="383"/>
      <c r="AL216" s="383"/>
      <c r="AM216" s="383"/>
      <c r="AN216" s="383"/>
      <c r="AO216" s="383"/>
      <c r="AP216" s="383"/>
      <c r="AQ216" s="383"/>
      <c r="AR216" s="383"/>
    </row>
    <row r="217" spans="2:44" s="639" customFormat="1" ht="12" customHeight="1">
      <c r="B217" s="708" t="s">
        <v>1435</v>
      </c>
      <c r="C217" s="708" t="s">
        <v>2696</v>
      </c>
      <c r="D217" s="708" t="s">
        <v>1415</v>
      </c>
      <c r="E217" s="746" t="s">
        <v>1400</v>
      </c>
      <c r="F217" s="746" t="s">
        <v>2787</v>
      </c>
      <c r="G217" s="744" t="s">
        <v>2752</v>
      </c>
      <c r="H217" s="745" t="s">
        <v>443</v>
      </c>
      <c r="I217" s="1235" t="s">
        <v>2772</v>
      </c>
      <c r="J217" s="732" t="s">
        <v>2712</v>
      </c>
      <c r="K217" s="710"/>
      <c r="L217" s="730"/>
      <c r="M217" s="731"/>
      <c r="N217" s="1194" t="s">
        <v>1898</v>
      </c>
      <c r="O217" s="1194" t="s">
        <v>125</v>
      </c>
      <c r="P217" s="348"/>
      <c r="Q217" s="1236"/>
      <c r="X217" s="383"/>
      <c r="Y217" s="383"/>
      <c r="Z217" s="383"/>
      <c r="AA217" s="383"/>
      <c r="AB217" s="383"/>
      <c r="AC217" s="383"/>
      <c r="AD217" s="383"/>
      <c r="AE217" s="383"/>
      <c r="AF217" s="383"/>
      <c r="AG217" s="383"/>
      <c r="AH217" s="383"/>
      <c r="AI217" s="383"/>
      <c r="AJ217" s="383"/>
      <c r="AK217" s="383"/>
      <c r="AL217" s="383"/>
      <c r="AM217" s="383"/>
      <c r="AN217" s="383"/>
      <c r="AO217" s="383"/>
      <c r="AP217" s="383"/>
      <c r="AQ217" s="383"/>
      <c r="AR217" s="383"/>
    </row>
    <row r="218" spans="2:44" s="639" customFormat="1" ht="12" customHeight="1">
      <c r="B218" s="708" t="s">
        <v>1436</v>
      </c>
      <c r="C218" s="708" t="s">
        <v>2697</v>
      </c>
      <c r="D218" s="708" t="s">
        <v>1282</v>
      </c>
      <c r="E218" s="743" t="s">
        <v>201</v>
      </c>
      <c r="F218" s="743" t="s">
        <v>2786</v>
      </c>
      <c r="G218" s="744" t="s">
        <v>662</v>
      </c>
      <c r="H218" s="745" t="s">
        <v>442</v>
      </c>
      <c r="I218" s="1235" t="s">
        <v>2772</v>
      </c>
      <c r="J218" s="732" t="s">
        <v>1060</v>
      </c>
      <c r="K218" s="710"/>
      <c r="L218" s="730"/>
      <c r="M218" s="731"/>
      <c r="N218" s="1194" t="s">
        <v>2713</v>
      </c>
      <c r="O218" s="1194" t="s">
        <v>171</v>
      </c>
      <c r="P218" s="348"/>
      <c r="Q218" s="1236"/>
      <c r="X218" s="383"/>
      <c r="Y218" s="383"/>
      <c r="Z218" s="383"/>
      <c r="AA218" s="383"/>
      <c r="AB218" s="383"/>
      <c r="AC218" s="383"/>
      <c r="AD218" s="383"/>
      <c r="AE218" s="383"/>
      <c r="AF218" s="383"/>
      <c r="AG218" s="383"/>
      <c r="AH218" s="383"/>
      <c r="AI218" s="383"/>
      <c r="AJ218" s="383"/>
      <c r="AK218" s="383"/>
      <c r="AL218" s="383"/>
      <c r="AM218" s="383"/>
      <c r="AN218" s="383"/>
      <c r="AO218" s="383"/>
      <c r="AP218" s="383"/>
      <c r="AQ218" s="383"/>
      <c r="AR218" s="383"/>
    </row>
    <row r="219" spans="2:44" s="639" customFormat="1" ht="12" customHeight="1">
      <c r="B219" s="708" t="s">
        <v>1437</v>
      </c>
      <c r="C219" s="708" t="s">
        <v>202</v>
      </c>
      <c r="D219" s="708" t="s">
        <v>1391</v>
      </c>
      <c r="E219" s="746" t="s">
        <v>1619</v>
      </c>
      <c r="F219" s="746" t="s">
        <v>2787</v>
      </c>
      <c r="G219" s="744" t="s">
        <v>1790</v>
      </c>
      <c r="H219" s="745" t="s">
        <v>443</v>
      </c>
      <c r="I219" s="1235" t="s">
        <v>2772</v>
      </c>
      <c r="J219" s="732" t="s">
        <v>2130</v>
      </c>
      <c r="K219" s="710"/>
      <c r="L219" s="730"/>
      <c r="M219" s="731"/>
      <c r="N219" s="1194" t="s">
        <v>1061</v>
      </c>
      <c r="O219" s="1194" t="s">
        <v>449</v>
      </c>
      <c r="P219" s="348"/>
      <c r="Q219" s="1236"/>
      <c r="X219" s="383"/>
      <c r="Y219" s="383"/>
      <c r="Z219" s="383"/>
      <c r="AA219" s="383"/>
      <c r="AB219" s="383"/>
      <c r="AC219" s="383"/>
      <c r="AD219" s="383"/>
      <c r="AE219" s="383"/>
      <c r="AF219" s="383"/>
      <c r="AG219" s="383"/>
      <c r="AH219" s="383"/>
      <c r="AI219" s="383"/>
      <c r="AJ219" s="383"/>
      <c r="AK219" s="383"/>
      <c r="AL219" s="383"/>
      <c r="AM219" s="383"/>
      <c r="AN219" s="383"/>
      <c r="AO219" s="383"/>
      <c r="AP219" s="383"/>
      <c r="AQ219" s="383"/>
      <c r="AR219" s="383"/>
    </row>
    <row r="220" spans="2:44" s="639" customFormat="1" ht="12" customHeight="1">
      <c r="B220" s="708" t="s">
        <v>1438</v>
      </c>
      <c r="C220" s="708" t="s">
        <v>203</v>
      </c>
      <c r="D220" s="708" t="s">
        <v>1391</v>
      </c>
      <c r="E220" s="746" t="s">
        <v>809</v>
      </c>
      <c r="F220" s="746" t="s">
        <v>2787</v>
      </c>
      <c r="G220" s="744" t="s">
        <v>2749</v>
      </c>
      <c r="H220" s="745" t="s">
        <v>443</v>
      </c>
      <c r="I220" s="1234" t="s">
        <v>1262</v>
      </c>
      <c r="J220" s="732" t="s">
        <v>16</v>
      </c>
      <c r="K220" s="710"/>
      <c r="L220" s="730"/>
      <c r="M220" s="731"/>
      <c r="N220" s="1194" t="s">
        <v>1394</v>
      </c>
      <c r="O220" s="1194" t="s">
        <v>346</v>
      </c>
      <c r="P220" s="348"/>
      <c r="Q220" s="1236"/>
      <c r="X220" s="383"/>
      <c r="Y220" s="383"/>
      <c r="Z220" s="383"/>
      <c r="AA220" s="383"/>
      <c r="AB220" s="383"/>
      <c r="AC220" s="383"/>
      <c r="AD220" s="383"/>
      <c r="AE220" s="383"/>
      <c r="AF220" s="383"/>
      <c r="AG220" s="383"/>
      <c r="AH220" s="383"/>
      <c r="AI220" s="383"/>
      <c r="AJ220" s="383"/>
      <c r="AK220" s="383"/>
      <c r="AL220" s="383"/>
      <c r="AM220" s="383"/>
      <c r="AN220" s="383"/>
      <c r="AO220" s="383"/>
      <c r="AP220" s="383"/>
      <c r="AQ220" s="383"/>
      <c r="AR220" s="383"/>
    </row>
    <row r="221" spans="2:44" s="639" customFormat="1" ht="12" customHeight="1">
      <c r="B221" s="708" t="s">
        <v>1439</v>
      </c>
      <c r="C221" s="708" t="s">
        <v>204</v>
      </c>
      <c r="D221" s="708" t="s">
        <v>1282</v>
      </c>
      <c r="E221" s="743" t="s">
        <v>205</v>
      </c>
      <c r="F221" s="743" t="s">
        <v>2786</v>
      </c>
      <c r="G221" s="744" t="s">
        <v>663</v>
      </c>
      <c r="H221" s="745" t="s">
        <v>442</v>
      </c>
      <c r="I221" s="1235" t="s">
        <v>2772</v>
      </c>
      <c r="J221" s="732" t="s">
        <v>2375</v>
      </c>
      <c r="K221" s="710"/>
      <c r="L221" s="730"/>
      <c r="M221" s="731"/>
      <c r="N221" s="1194" t="s">
        <v>17</v>
      </c>
      <c r="O221" s="1194" t="s">
        <v>1770</v>
      </c>
      <c r="P221" s="348"/>
      <c r="Q221" s="1236"/>
      <c r="X221" s="383"/>
      <c r="Y221" s="383"/>
      <c r="Z221" s="383"/>
      <c r="AA221" s="383"/>
      <c r="AB221" s="383"/>
      <c r="AC221" s="383"/>
      <c r="AD221" s="383"/>
      <c r="AE221" s="383"/>
      <c r="AF221" s="383"/>
      <c r="AG221" s="383"/>
      <c r="AH221" s="383"/>
      <c r="AI221" s="383"/>
      <c r="AJ221" s="383"/>
      <c r="AK221" s="383"/>
      <c r="AL221" s="383"/>
      <c r="AM221" s="383"/>
      <c r="AN221" s="383"/>
      <c r="AO221" s="383"/>
      <c r="AP221" s="383"/>
      <c r="AQ221" s="383"/>
      <c r="AR221" s="383"/>
    </row>
    <row r="222" spans="2:44" s="639" customFormat="1" ht="12" customHeight="1">
      <c r="B222" s="708" t="s">
        <v>1440</v>
      </c>
      <c r="C222" s="708" t="s">
        <v>206</v>
      </c>
      <c r="D222" s="708" t="s">
        <v>1415</v>
      </c>
      <c r="E222" s="746" t="s">
        <v>809</v>
      </c>
      <c r="F222" s="746" t="s">
        <v>2787</v>
      </c>
      <c r="G222" s="744" t="s">
        <v>2749</v>
      </c>
      <c r="H222" s="745" t="s">
        <v>443</v>
      </c>
      <c r="I222" s="1234" t="s">
        <v>1262</v>
      </c>
      <c r="J222" s="732" t="s">
        <v>2377</v>
      </c>
      <c r="K222" s="710"/>
      <c r="L222" s="730"/>
      <c r="M222" s="731"/>
      <c r="N222" s="1194" t="s">
        <v>2376</v>
      </c>
      <c r="O222" s="1194" t="s">
        <v>1281</v>
      </c>
      <c r="P222" s="348"/>
      <c r="Q222" s="1236"/>
      <c r="X222" s="383"/>
      <c r="Y222" s="383"/>
      <c r="Z222" s="383"/>
      <c r="AA222" s="383"/>
      <c r="AB222" s="383"/>
      <c r="AC222" s="383"/>
      <c r="AD222" s="383"/>
      <c r="AE222" s="383"/>
      <c r="AF222" s="383"/>
      <c r="AG222" s="383"/>
      <c r="AH222" s="383"/>
      <c r="AI222" s="383"/>
      <c r="AJ222" s="383"/>
      <c r="AK222" s="383"/>
      <c r="AL222" s="383"/>
      <c r="AM222" s="383"/>
      <c r="AN222" s="383"/>
      <c r="AO222" s="383"/>
      <c r="AP222" s="383"/>
      <c r="AQ222" s="383"/>
      <c r="AR222" s="383"/>
    </row>
    <row r="223" spans="2:44" s="639" customFormat="1" ht="12" customHeight="1">
      <c r="B223" s="708" t="s">
        <v>1441</v>
      </c>
      <c r="C223" s="708" t="s">
        <v>207</v>
      </c>
      <c r="D223" s="708" t="s">
        <v>1282</v>
      </c>
      <c r="E223" s="743" t="s">
        <v>1003</v>
      </c>
      <c r="F223" s="743" t="s">
        <v>2786</v>
      </c>
      <c r="G223" s="744" t="s">
        <v>2085</v>
      </c>
      <c r="H223" s="745" t="s">
        <v>442</v>
      </c>
      <c r="I223" s="1235" t="s">
        <v>2772</v>
      </c>
      <c r="J223" s="732" t="s">
        <v>2379</v>
      </c>
      <c r="K223" s="710"/>
      <c r="L223" s="730"/>
      <c r="M223" s="731"/>
      <c r="N223" s="708" t="s">
        <v>2378</v>
      </c>
      <c r="O223" s="708" t="s">
        <v>2384</v>
      </c>
      <c r="P223" s="1238"/>
      <c r="Q223" s="1236"/>
      <c r="R223" s="708"/>
      <c r="S223" s="708"/>
      <c r="X223" s="383"/>
      <c r="Y223" s="383"/>
      <c r="Z223" s="383"/>
      <c r="AA223" s="383"/>
      <c r="AB223" s="383"/>
      <c r="AC223" s="383"/>
      <c r="AD223" s="383"/>
      <c r="AE223" s="383"/>
      <c r="AF223" s="383"/>
      <c r="AG223" s="383"/>
      <c r="AH223" s="383"/>
      <c r="AI223" s="383"/>
      <c r="AJ223" s="383"/>
      <c r="AK223" s="383"/>
      <c r="AL223" s="383"/>
      <c r="AM223" s="383"/>
      <c r="AN223" s="383"/>
      <c r="AO223" s="383"/>
      <c r="AP223" s="383"/>
      <c r="AQ223" s="383"/>
      <c r="AR223" s="383"/>
    </row>
    <row r="224" spans="2:44" s="639" customFormat="1" ht="12" customHeight="1">
      <c r="B224" s="708" t="s">
        <v>1442</v>
      </c>
      <c r="C224" s="708" t="s">
        <v>1004</v>
      </c>
      <c r="D224" s="708" t="s">
        <v>1282</v>
      </c>
      <c r="E224" s="743" t="s">
        <v>1005</v>
      </c>
      <c r="F224" s="743" t="s">
        <v>2786</v>
      </c>
      <c r="G224" s="744" t="s">
        <v>2086</v>
      </c>
      <c r="H224" s="745" t="s">
        <v>442</v>
      </c>
      <c r="I224" s="1235" t="s">
        <v>2772</v>
      </c>
      <c r="J224" s="732" t="s">
        <v>2409</v>
      </c>
      <c r="K224" s="710"/>
      <c r="L224" s="730"/>
      <c r="M224" s="731"/>
      <c r="N224" s="1194" t="s">
        <v>2734</v>
      </c>
      <c r="O224" s="1194" t="s">
        <v>664</v>
      </c>
      <c r="P224" s="348"/>
      <c r="Q224" s="1236"/>
      <c r="R224" s="708"/>
      <c r="S224" s="708"/>
      <c r="X224" s="383"/>
      <c r="Y224" s="383"/>
      <c r="Z224" s="383"/>
      <c r="AA224" s="383"/>
      <c r="AB224" s="383"/>
      <c r="AC224" s="383"/>
      <c r="AD224" s="383"/>
      <c r="AE224" s="383"/>
      <c r="AF224" s="383"/>
      <c r="AG224" s="383"/>
      <c r="AH224" s="383"/>
      <c r="AI224" s="383"/>
      <c r="AJ224" s="383"/>
      <c r="AK224" s="383"/>
      <c r="AL224" s="383"/>
      <c r="AM224" s="383"/>
      <c r="AN224" s="383"/>
      <c r="AO224" s="383"/>
      <c r="AP224" s="383"/>
      <c r="AQ224" s="383"/>
      <c r="AR224" s="383"/>
    </row>
    <row r="225" spans="2:44" s="639" customFormat="1" ht="12" customHeight="1">
      <c r="B225" s="708" t="s">
        <v>1443</v>
      </c>
      <c r="C225" s="708" t="s">
        <v>1006</v>
      </c>
      <c r="D225" s="708" t="s">
        <v>1282</v>
      </c>
      <c r="E225" s="746" t="s">
        <v>1897</v>
      </c>
      <c r="F225" s="746" t="s">
        <v>2787</v>
      </c>
      <c r="G225" s="744" t="s">
        <v>1225</v>
      </c>
      <c r="H225" s="745" t="s">
        <v>443</v>
      </c>
      <c r="I225" s="1235" t="s">
        <v>1262</v>
      </c>
      <c r="J225" s="732" t="s">
        <v>1888</v>
      </c>
      <c r="K225" s="710"/>
      <c r="L225" s="730"/>
      <c r="M225" s="731"/>
      <c r="N225" s="1194" t="s">
        <v>2380</v>
      </c>
      <c r="O225" s="1194" t="s">
        <v>124</v>
      </c>
      <c r="P225" s="348"/>
      <c r="Q225" s="1236"/>
      <c r="R225" s="708"/>
      <c r="S225" s="708"/>
      <c r="X225" s="383"/>
      <c r="Y225" s="383"/>
      <c r="Z225" s="383"/>
      <c r="AA225" s="383"/>
      <c r="AB225" s="383"/>
      <c r="AC225" s="383"/>
      <c r="AD225" s="383"/>
      <c r="AE225" s="383"/>
      <c r="AF225" s="383"/>
      <c r="AG225" s="383"/>
      <c r="AH225" s="383"/>
      <c r="AI225" s="383"/>
      <c r="AJ225" s="383"/>
      <c r="AK225" s="383"/>
      <c r="AL225" s="383"/>
      <c r="AM225" s="383"/>
      <c r="AN225" s="383"/>
      <c r="AO225" s="383"/>
      <c r="AP225" s="383"/>
      <c r="AQ225" s="383"/>
      <c r="AR225" s="383"/>
    </row>
    <row r="226" spans="2:44" s="639" customFormat="1" ht="12" customHeight="1">
      <c r="B226" s="708" t="s">
        <v>1444</v>
      </c>
      <c r="C226" s="708" t="s">
        <v>922</v>
      </c>
      <c r="D226" s="708" t="s">
        <v>1415</v>
      </c>
      <c r="E226" s="746" t="s">
        <v>809</v>
      </c>
      <c r="F226" s="746" t="s">
        <v>2787</v>
      </c>
      <c r="G226" s="744" t="s">
        <v>2749</v>
      </c>
      <c r="H226" s="745" t="s">
        <v>443</v>
      </c>
      <c r="I226" s="1234" t="s">
        <v>1262</v>
      </c>
      <c r="J226" s="732" t="s">
        <v>1890</v>
      </c>
      <c r="K226" s="710"/>
      <c r="L226" s="730"/>
      <c r="M226" s="731"/>
      <c r="N226" s="1194" t="s">
        <v>1863</v>
      </c>
      <c r="O226" s="1194" t="s">
        <v>2648</v>
      </c>
      <c r="P226" s="348"/>
      <c r="Q226" s="1236"/>
      <c r="R226" s="708"/>
      <c r="S226" s="708"/>
      <c r="X226" s="383"/>
      <c r="Y226" s="383"/>
      <c r="Z226" s="383"/>
      <c r="AA226" s="383"/>
      <c r="AB226" s="383"/>
      <c r="AC226" s="383"/>
      <c r="AD226" s="383"/>
      <c r="AE226" s="383"/>
      <c r="AF226" s="383"/>
      <c r="AG226" s="383"/>
      <c r="AH226" s="383"/>
      <c r="AI226" s="383"/>
      <c r="AJ226" s="383"/>
      <c r="AK226" s="383"/>
      <c r="AL226" s="383"/>
      <c r="AM226" s="383"/>
      <c r="AN226" s="383"/>
      <c r="AO226" s="383"/>
      <c r="AP226" s="383"/>
      <c r="AQ226" s="383"/>
      <c r="AR226" s="383"/>
    </row>
    <row r="227" spans="2:44" s="639" customFormat="1" ht="12" customHeight="1">
      <c r="B227" s="708" t="s">
        <v>1445</v>
      </c>
      <c r="C227" s="708" t="s">
        <v>923</v>
      </c>
      <c r="D227" s="708" t="s">
        <v>1282</v>
      </c>
      <c r="E227" s="743" t="s">
        <v>924</v>
      </c>
      <c r="F227" s="743" t="s">
        <v>2786</v>
      </c>
      <c r="G227" s="744" t="s">
        <v>2087</v>
      </c>
      <c r="H227" s="745" t="s">
        <v>442</v>
      </c>
      <c r="I227" s="1235" t="s">
        <v>2772</v>
      </c>
      <c r="J227" s="732" t="s">
        <v>2290</v>
      </c>
      <c r="K227" s="710"/>
      <c r="L227" s="730"/>
      <c r="M227" s="731"/>
      <c r="N227" s="1194" t="s">
        <v>1889</v>
      </c>
      <c r="O227" s="1194" t="s">
        <v>1393</v>
      </c>
      <c r="P227" s="348"/>
      <c r="Q227" s="383"/>
      <c r="X227" s="383"/>
      <c r="Y227" s="383"/>
      <c r="Z227" s="383"/>
      <c r="AA227" s="383"/>
      <c r="AB227" s="383"/>
      <c r="AC227" s="383"/>
      <c r="AD227" s="383"/>
      <c r="AE227" s="383"/>
      <c r="AF227" s="383"/>
      <c r="AG227" s="383"/>
      <c r="AH227" s="383"/>
      <c r="AI227" s="383"/>
      <c r="AJ227" s="383"/>
      <c r="AK227" s="383"/>
      <c r="AL227" s="383"/>
      <c r="AM227" s="383"/>
      <c r="AN227" s="383"/>
      <c r="AO227" s="383"/>
      <c r="AP227" s="383"/>
      <c r="AQ227" s="383"/>
      <c r="AR227" s="383"/>
    </row>
    <row r="228" spans="2:44" s="639" customFormat="1" ht="12" customHeight="1">
      <c r="B228" s="708" t="s">
        <v>1446</v>
      </c>
      <c r="C228" s="708" t="s">
        <v>925</v>
      </c>
      <c r="D228" s="708" t="s">
        <v>1282</v>
      </c>
      <c r="E228" s="743" t="s">
        <v>1806</v>
      </c>
      <c r="F228" s="743" t="s">
        <v>2787</v>
      </c>
      <c r="G228" s="744" t="s">
        <v>2755</v>
      </c>
      <c r="H228" s="745" t="s">
        <v>443</v>
      </c>
      <c r="I228" s="1235" t="s">
        <v>2772</v>
      </c>
      <c r="J228" s="732" t="s">
        <v>2291</v>
      </c>
      <c r="K228" s="710"/>
      <c r="L228" s="730"/>
      <c r="M228" s="731"/>
      <c r="N228" s="1194" t="s">
        <v>1891</v>
      </c>
      <c r="O228" s="1194" t="s">
        <v>2136</v>
      </c>
      <c r="P228" s="1237"/>
      <c r="Q228" s="383"/>
      <c r="X228" s="383"/>
      <c r="Y228" s="383"/>
      <c r="Z228" s="383"/>
      <c r="AA228" s="383"/>
      <c r="AB228" s="383"/>
      <c r="AC228" s="383"/>
      <c r="AD228" s="383"/>
      <c r="AE228" s="383"/>
      <c r="AF228" s="383"/>
      <c r="AG228" s="383"/>
      <c r="AH228" s="383"/>
      <c r="AI228" s="383"/>
      <c r="AJ228" s="383"/>
      <c r="AK228" s="383"/>
      <c r="AL228" s="383"/>
      <c r="AM228" s="383"/>
      <c r="AN228" s="383"/>
      <c r="AO228" s="383"/>
      <c r="AP228" s="383"/>
      <c r="AQ228" s="383"/>
      <c r="AR228" s="383"/>
    </row>
    <row r="229" spans="2:44" s="639" customFormat="1" ht="12" customHeight="1">
      <c r="B229" s="708" t="s">
        <v>1447</v>
      </c>
      <c r="C229" s="708" t="s">
        <v>926</v>
      </c>
      <c r="D229" s="708" t="s">
        <v>1282</v>
      </c>
      <c r="E229" s="746" t="s">
        <v>1406</v>
      </c>
      <c r="F229" s="746" t="s">
        <v>2787</v>
      </c>
      <c r="G229" s="744" t="s">
        <v>1552</v>
      </c>
      <c r="H229" s="745" t="s">
        <v>443</v>
      </c>
      <c r="I229" s="1235" t="s">
        <v>2772</v>
      </c>
      <c r="J229" s="732" t="s">
        <v>2599</v>
      </c>
      <c r="K229" s="733"/>
      <c r="L229" s="730"/>
      <c r="M229" s="731"/>
      <c r="N229" s="1194" t="s">
        <v>873</v>
      </c>
      <c r="O229" s="1194" t="s">
        <v>2761</v>
      </c>
      <c r="P229" s="348"/>
      <c r="Q229" s="1236"/>
      <c r="X229" s="383"/>
      <c r="Y229" s="383"/>
      <c r="Z229" s="383"/>
      <c r="AA229" s="383"/>
      <c r="AB229" s="383"/>
      <c r="AC229" s="383"/>
      <c r="AD229" s="383"/>
      <c r="AE229" s="383"/>
      <c r="AF229" s="383"/>
      <c r="AG229" s="383"/>
      <c r="AH229" s="383"/>
      <c r="AI229" s="383"/>
      <c r="AJ229" s="383"/>
      <c r="AK229" s="383"/>
      <c r="AL229" s="383"/>
      <c r="AM229" s="383"/>
      <c r="AN229" s="383"/>
      <c r="AO229" s="383"/>
      <c r="AP229" s="383"/>
      <c r="AQ229" s="383"/>
      <c r="AR229" s="383"/>
    </row>
    <row r="230" spans="2:44" s="639" customFormat="1" ht="12" customHeight="1">
      <c r="B230" s="747"/>
      <c r="C230" s="708" t="s">
        <v>927</v>
      </c>
      <c r="D230" s="708" t="s">
        <v>1415</v>
      </c>
      <c r="E230" s="743" t="s">
        <v>928</v>
      </c>
      <c r="F230" s="743" t="s">
        <v>2786</v>
      </c>
      <c r="G230" s="744" t="s">
        <v>1416</v>
      </c>
      <c r="H230" s="745" t="s">
        <v>442</v>
      </c>
      <c r="I230" s="1235" t="s">
        <v>2772</v>
      </c>
      <c r="J230" s="732" t="s">
        <v>2601</v>
      </c>
      <c r="K230" s="733"/>
      <c r="L230" s="730"/>
      <c r="M230" s="731"/>
      <c r="N230" s="1194" t="s">
        <v>2292</v>
      </c>
      <c r="O230" s="1194" t="s">
        <v>2763</v>
      </c>
      <c r="P230" s="348"/>
      <c r="Q230" s="1236"/>
      <c r="X230" s="383"/>
      <c r="Y230" s="383"/>
      <c r="Z230" s="383"/>
      <c r="AA230" s="383"/>
      <c r="AB230" s="383"/>
      <c r="AC230" s="383"/>
      <c r="AD230" s="383"/>
      <c r="AE230" s="383"/>
      <c r="AF230" s="383"/>
      <c r="AG230" s="383"/>
      <c r="AH230" s="383"/>
      <c r="AI230" s="383"/>
      <c r="AJ230" s="383"/>
      <c r="AK230" s="383"/>
      <c r="AL230" s="383"/>
      <c r="AM230" s="383"/>
      <c r="AN230" s="383"/>
      <c r="AO230" s="383"/>
      <c r="AP230" s="383"/>
      <c r="AQ230" s="383"/>
      <c r="AR230" s="383"/>
    </row>
    <row r="231" spans="2:44" s="639" customFormat="1" ht="12" customHeight="1">
      <c r="B231" s="747"/>
      <c r="C231" s="708" t="s">
        <v>2382</v>
      </c>
      <c r="D231" s="708" t="s">
        <v>1282</v>
      </c>
      <c r="E231" s="743" t="s">
        <v>2383</v>
      </c>
      <c r="F231" s="743" t="s">
        <v>2786</v>
      </c>
      <c r="G231" s="744" t="s">
        <v>1417</v>
      </c>
      <c r="H231" s="745" t="s">
        <v>442</v>
      </c>
      <c r="I231" s="1235" t="s">
        <v>2772</v>
      </c>
      <c r="J231" s="732" t="s">
        <v>2603</v>
      </c>
      <c r="K231" s="733"/>
      <c r="L231" s="730"/>
      <c r="M231" s="731"/>
      <c r="N231" s="708" t="s">
        <v>2600</v>
      </c>
      <c r="O231" s="708" t="s">
        <v>1153</v>
      </c>
      <c r="P231" s="1238"/>
      <c r="Q231" s="1236"/>
      <c r="X231" s="383"/>
      <c r="Y231" s="383"/>
      <c r="Z231" s="383"/>
      <c r="AA231" s="383"/>
      <c r="AB231" s="383"/>
      <c r="AC231" s="383"/>
      <c r="AD231" s="383"/>
      <c r="AE231" s="383"/>
      <c r="AF231" s="383"/>
      <c r="AG231" s="383"/>
      <c r="AH231" s="383"/>
      <c r="AI231" s="383"/>
      <c r="AJ231" s="383"/>
      <c r="AK231" s="383"/>
      <c r="AL231" s="383"/>
      <c r="AM231" s="383"/>
      <c r="AN231" s="383"/>
      <c r="AO231" s="383"/>
      <c r="AP231" s="383"/>
      <c r="AQ231" s="383"/>
      <c r="AR231" s="383"/>
    </row>
    <row r="232" spans="2:44" s="639" customFormat="1" ht="12" customHeight="1">
      <c r="B232" s="747"/>
      <c r="C232" s="708" t="s">
        <v>2384</v>
      </c>
      <c r="D232" s="708" t="s">
        <v>1282</v>
      </c>
      <c r="E232" s="743" t="s">
        <v>694</v>
      </c>
      <c r="F232" s="743" t="s">
        <v>2786</v>
      </c>
      <c r="G232" s="744" t="s">
        <v>1418</v>
      </c>
      <c r="H232" s="745" t="s">
        <v>442</v>
      </c>
      <c r="I232" s="1235" t="s">
        <v>2772</v>
      </c>
      <c r="J232" s="732" t="s">
        <v>2605</v>
      </c>
      <c r="K232" s="733"/>
      <c r="L232" s="730"/>
      <c r="M232" s="731"/>
      <c r="N232" s="1194" t="s">
        <v>2735</v>
      </c>
      <c r="O232" s="1194" t="s">
        <v>337</v>
      </c>
      <c r="P232" s="348"/>
      <c r="Q232" s="1236"/>
      <c r="X232" s="383"/>
      <c r="Y232" s="383"/>
      <c r="Z232" s="383"/>
      <c r="AA232" s="383"/>
      <c r="AB232" s="383"/>
      <c r="AC232" s="383"/>
      <c r="AD232" s="383"/>
      <c r="AE232" s="383"/>
      <c r="AF232" s="383"/>
      <c r="AG232" s="383"/>
      <c r="AH232" s="383"/>
      <c r="AI232" s="383"/>
      <c r="AJ232" s="383"/>
      <c r="AK232" s="383"/>
      <c r="AL232" s="383"/>
      <c r="AM232" s="383"/>
      <c r="AN232" s="383"/>
      <c r="AO232" s="383"/>
      <c r="AP232" s="383"/>
      <c r="AQ232" s="383"/>
      <c r="AR232" s="383"/>
    </row>
    <row r="233" spans="2:44" s="639" customFormat="1" ht="12" customHeight="1">
      <c r="B233" s="747"/>
      <c r="C233" s="708" t="s">
        <v>695</v>
      </c>
      <c r="D233" s="708" t="s">
        <v>1391</v>
      </c>
      <c r="E233" s="743" t="s">
        <v>696</v>
      </c>
      <c r="F233" s="743" t="s">
        <v>2786</v>
      </c>
      <c r="G233" s="744" t="s">
        <v>1419</v>
      </c>
      <c r="H233" s="745" t="s">
        <v>442</v>
      </c>
      <c r="I233" s="1235" t="s">
        <v>2772</v>
      </c>
      <c r="J233" s="732" t="s">
        <v>2606</v>
      </c>
      <c r="K233" s="733"/>
      <c r="L233" s="730"/>
      <c r="M233" s="731"/>
      <c r="N233" s="1194" t="s">
        <v>2602</v>
      </c>
      <c r="O233" s="1194" t="s">
        <v>2046</v>
      </c>
      <c r="P233" s="348"/>
      <c r="Q233" s="1236"/>
      <c r="X233" s="383"/>
      <c r="Y233" s="383"/>
      <c r="Z233" s="383"/>
      <c r="AA233" s="383"/>
      <c r="AB233" s="383"/>
      <c r="AC233" s="383"/>
      <c r="AD233" s="383"/>
      <c r="AE233" s="383"/>
      <c r="AF233" s="383"/>
      <c r="AG233" s="383"/>
      <c r="AH233" s="383"/>
      <c r="AI233" s="383"/>
      <c r="AJ233" s="383"/>
      <c r="AK233" s="383"/>
      <c r="AL233" s="383"/>
      <c r="AM233" s="383"/>
      <c r="AN233" s="383"/>
      <c r="AO233" s="383"/>
      <c r="AP233" s="383"/>
      <c r="AQ233" s="383"/>
      <c r="AR233" s="383"/>
    </row>
    <row r="234" spans="2:44" s="639" customFormat="1" ht="12" customHeight="1">
      <c r="B234" s="747"/>
      <c r="C234" s="708" t="s">
        <v>697</v>
      </c>
      <c r="D234" s="708" t="s">
        <v>1415</v>
      </c>
      <c r="E234" s="746" t="s">
        <v>809</v>
      </c>
      <c r="F234" s="746" t="s">
        <v>2787</v>
      </c>
      <c r="G234" s="744" t="s">
        <v>2749</v>
      </c>
      <c r="H234" s="745" t="s">
        <v>443</v>
      </c>
      <c r="I234" s="1234" t="s">
        <v>1262</v>
      </c>
      <c r="J234" s="732" t="s">
        <v>2368</v>
      </c>
      <c r="K234" s="733"/>
      <c r="L234" s="730"/>
      <c r="M234" s="731"/>
      <c r="N234" s="1194" t="s">
        <v>2604</v>
      </c>
      <c r="O234" s="1194" t="s">
        <v>923</v>
      </c>
      <c r="P234" s="348"/>
      <c r="Q234" s="1236"/>
      <c r="X234" s="383"/>
      <c r="Y234" s="383"/>
      <c r="Z234" s="383"/>
      <c r="AA234" s="383"/>
      <c r="AB234" s="383"/>
      <c r="AC234" s="383"/>
      <c r="AD234" s="383"/>
      <c r="AE234" s="383"/>
      <c r="AF234" s="383"/>
      <c r="AG234" s="383"/>
      <c r="AH234" s="383"/>
      <c r="AI234" s="383"/>
      <c r="AJ234" s="383"/>
      <c r="AK234" s="383"/>
      <c r="AL234" s="383"/>
      <c r="AM234" s="383"/>
      <c r="AN234" s="383"/>
      <c r="AO234" s="383"/>
      <c r="AP234" s="383"/>
      <c r="AQ234" s="383"/>
      <c r="AR234" s="383"/>
    </row>
    <row r="235" spans="2:44" s="639" customFormat="1" ht="12" customHeight="1">
      <c r="B235" s="747"/>
      <c r="C235" s="708" t="s">
        <v>698</v>
      </c>
      <c r="D235" s="708" t="s">
        <v>1391</v>
      </c>
      <c r="E235" s="746" t="s">
        <v>2408</v>
      </c>
      <c r="F235" s="746" t="s">
        <v>2787</v>
      </c>
      <c r="G235" s="744" t="s">
        <v>1420</v>
      </c>
      <c r="H235" s="745" t="s">
        <v>443</v>
      </c>
      <c r="I235" s="1235" t="s">
        <v>1262</v>
      </c>
      <c r="J235" s="732" t="s">
        <v>750</v>
      </c>
      <c r="K235" s="733"/>
      <c r="L235" s="730"/>
      <c r="M235" s="731"/>
      <c r="N235" s="1194" t="s">
        <v>2607</v>
      </c>
      <c r="O235" s="1194" t="s">
        <v>166</v>
      </c>
      <c r="P235" s="348"/>
      <c r="Q235" s="1236"/>
      <c r="X235" s="383"/>
      <c r="Y235" s="383"/>
      <c r="Z235" s="383"/>
      <c r="AA235" s="383"/>
      <c r="AB235" s="383"/>
      <c r="AC235" s="383"/>
      <c r="AD235" s="383"/>
      <c r="AE235" s="383"/>
      <c r="AF235" s="383"/>
      <c r="AG235" s="383"/>
      <c r="AH235" s="383"/>
      <c r="AI235" s="383"/>
      <c r="AJ235" s="383"/>
      <c r="AK235" s="383"/>
      <c r="AL235" s="383"/>
      <c r="AM235" s="383"/>
      <c r="AN235" s="383"/>
      <c r="AO235" s="383"/>
      <c r="AP235" s="383"/>
      <c r="AQ235" s="383"/>
      <c r="AR235" s="383"/>
    </row>
    <row r="236" spans="2:44" s="639" customFormat="1" ht="12" customHeight="1">
      <c r="B236" s="747"/>
      <c r="C236" s="708" t="s">
        <v>699</v>
      </c>
      <c r="D236" s="708" t="s">
        <v>1391</v>
      </c>
      <c r="E236" s="746" t="s">
        <v>809</v>
      </c>
      <c r="F236" s="746" t="s">
        <v>2787</v>
      </c>
      <c r="G236" s="744" t="s">
        <v>2749</v>
      </c>
      <c r="H236" s="745" t="s">
        <v>443</v>
      </c>
      <c r="I236" s="1234" t="s">
        <v>1262</v>
      </c>
      <c r="J236" s="732" t="s">
        <v>752</v>
      </c>
      <c r="K236" s="733"/>
      <c r="L236" s="730"/>
      <c r="M236" s="731"/>
      <c r="N236" s="1194" t="s">
        <v>2369</v>
      </c>
      <c r="O236" s="1194" t="s">
        <v>695</v>
      </c>
      <c r="P236" s="348"/>
      <c r="Q236" s="1236"/>
      <c r="X236" s="383"/>
      <c r="Y236" s="383"/>
      <c r="Z236" s="383"/>
      <c r="AA236" s="383"/>
      <c r="AB236" s="383"/>
      <c r="AC236" s="383"/>
      <c r="AD236" s="383"/>
      <c r="AE236" s="383"/>
      <c r="AF236" s="383"/>
      <c r="AG236" s="383"/>
      <c r="AH236" s="383"/>
      <c r="AI236" s="383"/>
      <c r="AJ236" s="383"/>
      <c r="AK236" s="383"/>
      <c r="AL236" s="383"/>
      <c r="AM236" s="383"/>
      <c r="AN236" s="383"/>
      <c r="AO236" s="383"/>
      <c r="AP236" s="383"/>
      <c r="AQ236" s="383"/>
      <c r="AR236" s="383"/>
    </row>
    <row r="237" spans="2:44" s="639" customFormat="1" ht="12" customHeight="1">
      <c r="B237" s="747"/>
      <c r="C237" s="708" t="s">
        <v>700</v>
      </c>
      <c r="D237" s="708" t="s">
        <v>1391</v>
      </c>
      <c r="E237" s="746" t="s">
        <v>701</v>
      </c>
      <c r="F237" s="746" t="s">
        <v>2786</v>
      </c>
      <c r="G237" s="744" t="s">
        <v>1421</v>
      </c>
      <c r="H237" s="745" t="s">
        <v>442</v>
      </c>
      <c r="I237" s="1235" t="s">
        <v>2772</v>
      </c>
      <c r="J237" s="732" t="s">
        <v>754</v>
      </c>
      <c r="K237" s="733"/>
      <c r="L237" s="730"/>
      <c r="M237" s="731"/>
      <c r="N237" s="1194" t="s">
        <v>751</v>
      </c>
      <c r="O237" s="1194" t="s">
        <v>2640</v>
      </c>
      <c r="P237" s="348"/>
      <c r="Q237" s="1236"/>
      <c r="X237" s="383"/>
      <c r="Y237" s="383"/>
      <c r="Z237" s="383"/>
      <c r="AA237" s="383"/>
      <c r="AB237" s="383"/>
      <c r="AC237" s="383"/>
      <c r="AD237" s="383"/>
      <c r="AE237" s="383"/>
      <c r="AF237" s="383"/>
      <c r="AG237" s="383"/>
      <c r="AH237" s="383"/>
      <c r="AI237" s="383"/>
      <c r="AJ237" s="383"/>
      <c r="AK237" s="383"/>
      <c r="AL237" s="383"/>
      <c r="AM237" s="383"/>
      <c r="AN237" s="383"/>
      <c r="AO237" s="383"/>
      <c r="AP237" s="383"/>
      <c r="AQ237" s="383"/>
      <c r="AR237" s="383"/>
    </row>
    <row r="238" spans="2:44" s="639" customFormat="1" ht="12" customHeight="1">
      <c r="B238" s="747"/>
      <c r="C238" s="708" t="s">
        <v>1277</v>
      </c>
      <c r="D238" s="708" t="s">
        <v>1415</v>
      </c>
      <c r="E238" s="746" t="s">
        <v>809</v>
      </c>
      <c r="F238" s="746" t="s">
        <v>2787</v>
      </c>
      <c r="G238" s="744" t="s">
        <v>2749</v>
      </c>
      <c r="H238" s="745" t="s">
        <v>443</v>
      </c>
      <c r="I238" s="1234" t="s">
        <v>1262</v>
      </c>
      <c r="J238" s="732" t="s">
        <v>756</v>
      </c>
      <c r="K238" s="733"/>
      <c r="L238" s="730"/>
      <c r="M238" s="731"/>
      <c r="N238" s="1194" t="s">
        <v>753</v>
      </c>
      <c r="O238" s="1194" t="s">
        <v>1168</v>
      </c>
      <c r="P238" s="348"/>
      <c r="Q238" s="1236"/>
      <c r="X238" s="383"/>
      <c r="Y238" s="383"/>
      <c r="Z238" s="383"/>
      <c r="AA238" s="383"/>
      <c r="AB238" s="383"/>
      <c r="AC238" s="383"/>
      <c r="AD238" s="383"/>
      <c r="AE238" s="383"/>
      <c r="AF238" s="383"/>
      <c r="AG238" s="383"/>
      <c r="AH238" s="383"/>
      <c r="AI238" s="383"/>
      <c r="AJ238" s="383"/>
      <c r="AK238" s="383"/>
      <c r="AL238" s="383"/>
      <c r="AM238" s="383"/>
      <c r="AN238" s="383"/>
      <c r="AO238" s="383"/>
      <c r="AP238" s="383"/>
      <c r="AQ238" s="383"/>
      <c r="AR238" s="383"/>
    </row>
    <row r="239" spans="2:44" s="639" customFormat="1" ht="12" customHeight="1">
      <c r="B239" s="747"/>
      <c r="C239" s="708" t="s">
        <v>702</v>
      </c>
      <c r="D239" s="708" t="s">
        <v>1391</v>
      </c>
      <c r="E239" s="743" t="s">
        <v>703</v>
      </c>
      <c r="F239" s="743" t="s">
        <v>2786</v>
      </c>
      <c r="G239" s="744" t="s">
        <v>252</v>
      </c>
      <c r="H239" s="745" t="s">
        <v>442</v>
      </c>
      <c r="I239" s="1235" t="s">
        <v>2772</v>
      </c>
      <c r="J239" s="732" t="s">
        <v>2359</v>
      </c>
      <c r="K239" s="733"/>
      <c r="L239" s="730"/>
      <c r="M239" s="731"/>
      <c r="N239" s="708" t="s">
        <v>755</v>
      </c>
      <c r="O239" s="708" t="s">
        <v>2763</v>
      </c>
      <c r="P239" s="1238"/>
      <c r="Q239" s="1236"/>
      <c r="X239" s="383"/>
      <c r="Y239" s="383"/>
      <c r="Z239" s="383"/>
      <c r="AA239" s="383"/>
      <c r="AB239" s="383"/>
      <c r="AC239" s="383"/>
      <c r="AD239" s="383"/>
      <c r="AE239" s="383"/>
      <c r="AF239" s="383"/>
      <c r="AG239" s="383"/>
      <c r="AH239" s="383"/>
      <c r="AI239" s="383"/>
      <c r="AJ239" s="383"/>
      <c r="AK239" s="383"/>
      <c r="AL239" s="383"/>
      <c r="AM239" s="383"/>
      <c r="AN239" s="383"/>
      <c r="AO239" s="383"/>
      <c r="AP239" s="383"/>
      <c r="AQ239" s="383"/>
      <c r="AR239" s="383"/>
    </row>
    <row r="240" spans="2:44" s="639" customFormat="1" ht="12" customHeight="1">
      <c r="B240" s="747"/>
      <c r="C240" s="708" t="s">
        <v>704</v>
      </c>
      <c r="D240" s="708" t="s">
        <v>1415</v>
      </c>
      <c r="E240" s="746" t="s">
        <v>705</v>
      </c>
      <c r="F240" s="746" t="s">
        <v>2786</v>
      </c>
      <c r="G240" s="744" t="s">
        <v>253</v>
      </c>
      <c r="H240" s="745" t="s">
        <v>442</v>
      </c>
      <c r="I240" s="1235" t="s">
        <v>2772</v>
      </c>
      <c r="J240" s="732" t="s">
        <v>2360</v>
      </c>
      <c r="K240" s="733"/>
      <c r="L240" s="730"/>
      <c r="M240" s="731"/>
      <c r="N240" s="1194" t="s">
        <v>2736</v>
      </c>
      <c r="O240" s="1194" t="s">
        <v>2642</v>
      </c>
      <c r="P240" s="348"/>
      <c r="Q240" s="1236"/>
      <c r="X240" s="383"/>
      <c r="Y240" s="383"/>
      <c r="Z240" s="383"/>
      <c r="AA240" s="383"/>
      <c r="AB240" s="383"/>
      <c r="AC240" s="383"/>
      <c r="AD240" s="383"/>
      <c r="AE240" s="383"/>
      <c r="AF240" s="383"/>
      <c r="AG240" s="383"/>
      <c r="AH240" s="383"/>
      <c r="AI240" s="383"/>
      <c r="AJ240" s="383"/>
      <c r="AK240" s="383"/>
      <c r="AL240" s="383"/>
      <c r="AM240" s="383"/>
      <c r="AN240" s="383"/>
      <c r="AO240" s="383"/>
      <c r="AP240" s="383"/>
      <c r="AQ240" s="383"/>
      <c r="AR240" s="383"/>
    </row>
    <row r="241" spans="2:44" s="639" customFormat="1" ht="12" customHeight="1">
      <c r="B241" s="747"/>
      <c r="C241" s="708" t="s">
        <v>706</v>
      </c>
      <c r="D241" s="708" t="s">
        <v>1282</v>
      </c>
      <c r="E241" s="743" t="s">
        <v>12</v>
      </c>
      <c r="F241" s="743" t="s">
        <v>2787</v>
      </c>
      <c r="G241" s="744" t="s">
        <v>2754</v>
      </c>
      <c r="H241" s="745" t="s">
        <v>443</v>
      </c>
      <c r="I241" s="1235" t="s">
        <v>1262</v>
      </c>
      <c r="J241" s="732" t="s">
        <v>2362</v>
      </c>
      <c r="K241" s="733"/>
      <c r="L241" s="730"/>
      <c r="M241" s="731"/>
      <c r="N241" s="1194" t="s">
        <v>2361</v>
      </c>
      <c r="O241" s="1194" t="s">
        <v>1770</v>
      </c>
      <c r="P241" s="348"/>
      <c r="Q241" s="1236"/>
      <c r="X241" s="383"/>
      <c r="Y241" s="383"/>
      <c r="Z241" s="383"/>
      <c r="AA241" s="383"/>
      <c r="AB241" s="383"/>
      <c r="AC241" s="383"/>
      <c r="AD241" s="383"/>
      <c r="AE241" s="383"/>
      <c r="AF241" s="383"/>
      <c r="AG241" s="383"/>
      <c r="AH241" s="383"/>
      <c r="AI241" s="383"/>
      <c r="AJ241" s="383"/>
      <c r="AK241" s="383"/>
      <c r="AL241" s="383"/>
      <c r="AM241" s="383"/>
      <c r="AN241" s="383"/>
      <c r="AO241" s="383"/>
      <c r="AP241" s="383"/>
      <c r="AQ241" s="383"/>
      <c r="AR241" s="383"/>
    </row>
    <row r="242" spans="2:44" s="639" customFormat="1" ht="12" customHeight="1">
      <c r="B242" s="747"/>
      <c r="C242" s="708" t="s">
        <v>707</v>
      </c>
      <c r="D242" s="708" t="s">
        <v>1391</v>
      </c>
      <c r="E242" s="743" t="s">
        <v>708</v>
      </c>
      <c r="F242" s="743" t="s">
        <v>2786</v>
      </c>
      <c r="G242" s="744" t="s">
        <v>254</v>
      </c>
      <c r="H242" s="745" t="s">
        <v>442</v>
      </c>
      <c r="I242" s="1235" t="s">
        <v>2772</v>
      </c>
      <c r="J242" s="732" t="s">
        <v>724</v>
      </c>
      <c r="K242" s="733"/>
      <c r="L242" s="730"/>
      <c r="M242" s="731"/>
      <c r="N242" s="1194" t="s">
        <v>2363</v>
      </c>
      <c r="O242" s="1194" t="s">
        <v>2757</v>
      </c>
      <c r="P242" s="348"/>
      <c r="Q242" s="1236"/>
      <c r="X242" s="383"/>
      <c r="Y242" s="383"/>
      <c r="Z242" s="383"/>
      <c r="AA242" s="383"/>
      <c r="AB242" s="383"/>
      <c r="AC242" s="383"/>
      <c r="AD242" s="383"/>
      <c r="AE242" s="383"/>
      <c r="AF242" s="383"/>
      <c r="AG242" s="383"/>
      <c r="AH242" s="383"/>
      <c r="AI242" s="383"/>
      <c r="AJ242" s="383"/>
      <c r="AK242" s="383"/>
      <c r="AL242" s="383"/>
      <c r="AM242" s="383"/>
      <c r="AN242" s="383"/>
      <c r="AO242" s="383"/>
      <c r="AP242" s="383"/>
      <c r="AQ242" s="383"/>
      <c r="AR242" s="383"/>
    </row>
    <row r="243" spans="2:44" s="639" customFormat="1" ht="12" customHeight="1">
      <c r="B243" s="747"/>
      <c r="C243" s="708" t="s">
        <v>709</v>
      </c>
      <c r="D243" s="708" t="s">
        <v>1282</v>
      </c>
      <c r="E243" s="743" t="s">
        <v>710</v>
      </c>
      <c r="F243" s="743" t="s">
        <v>2786</v>
      </c>
      <c r="G243" s="744" t="s">
        <v>422</v>
      </c>
      <c r="H243" s="745" t="s">
        <v>442</v>
      </c>
      <c r="I243" s="1235" t="s">
        <v>2772</v>
      </c>
      <c r="J243" s="732" t="s">
        <v>837</v>
      </c>
      <c r="K243" s="733"/>
      <c r="L243" s="730"/>
      <c r="M243" s="731"/>
      <c r="N243" s="1194" t="s">
        <v>725</v>
      </c>
      <c r="O243" s="1194" t="s">
        <v>777</v>
      </c>
      <c r="P243" s="348"/>
      <c r="Q243" s="1236"/>
      <c r="X243" s="383"/>
      <c r="Y243" s="383"/>
      <c r="Z243" s="383"/>
      <c r="AA243" s="383"/>
      <c r="AB243" s="383"/>
      <c r="AC243" s="383"/>
      <c r="AD243" s="383"/>
      <c r="AE243" s="383"/>
      <c r="AF243" s="383"/>
      <c r="AG243" s="383"/>
      <c r="AH243" s="383"/>
      <c r="AI243" s="383"/>
      <c r="AJ243" s="383"/>
      <c r="AK243" s="383"/>
      <c r="AL243" s="383"/>
      <c r="AM243" s="383"/>
      <c r="AN243" s="383"/>
      <c r="AO243" s="383"/>
      <c r="AP243" s="383"/>
      <c r="AQ243" s="383"/>
      <c r="AR243" s="383"/>
    </row>
    <row r="244" spans="2:44" s="639" customFormat="1" ht="12" customHeight="1">
      <c r="B244" s="747"/>
      <c r="C244" s="708" t="s">
        <v>711</v>
      </c>
      <c r="D244" s="708" t="s">
        <v>1415</v>
      </c>
      <c r="E244" s="743" t="s">
        <v>712</v>
      </c>
      <c r="F244" s="743" t="s">
        <v>2786</v>
      </c>
      <c r="G244" s="744" t="s">
        <v>423</v>
      </c>
      <c r="H244" s="745" t="s">
        <v>442</v>
      </c>
      <c r="I244" s="1235" t="s">
        <v>2772</v>
      </c>
      <c r="J244" s="732" t="s">
        <v>2411</v>
      </c>
      <c r="K244" s="733"/>
      <c r="L244" s="730"/>
      <c r="M244" s="731"/>
      <c r="N244" s="1194" t="s">
        <v>2410</v>
      </c>
      <c r="O244" s="1194" t="s">
        <v>334</v>
      </c>
      <c r="P244" s="348"/>
      <c r="Q244" s="1236"/>
      <c r="X244" s="383"/>
      <c r="Y244" s="383"/>
      <c r="Z244" s="383"/>
      <c r="AA244" s="383"/>
      <c r="AB244" s="383"/>
      <c r="AC244" s="383"/>
      <c r="AD244" s="383"/>
      <c r="AE244" s="383"/>
      <c r="AF244" s="383"/>
      <c r="AG244" s="383"/>
      <c r="AH244" s="383"/>
      <c r="AI244" s="383"/>
      <c r="AJ244" s="383"/>
      <c r="AK244" s="383"/>
      <c r="AL244" s="383"/>
      <c r="AM244" s="383"/>
      <c r="AN244" s="383"/>
      <c r="AO244" s="383"/>
      <c r="AP244" s="383"/>
      <c r="AQ244" s="383"/>
      <c r="AR244" s="383"/>
    </row>
    <row r="245" spans="2:44" s="639" customFormat="1" ht="12" customHeight="1">
      <c r="B245" s="747"/>
      <c r="C245" s="708" t="s">
        <v>124</v>
      </c>
      <c r="D245" s="708" t="s">
        <v>1415</v>
      </c>
      <c r="E245" s="746" t="s">
        <v>809</v>
      </c>
      <c r="F245" s="746" t="s">
        <v>2787</v>
      </c>
      <c r="G245" s="744" t="s">
        <v>2749</v>
      </c>
      <c r="H245" s="745" t="s">
        <v>443</v>
      </c>
      <c r="I245" s="1234" t="s">
        <v>1262</v>
      </c>
      <c r="J245" s="732" t="s">
        <v>2441</v>
      </c>
      <c r="K245" s="733"/>
      <c r="L245" s="730"/>
      <c r="M245" s="731"/>
      <c r="N245" s="1194" t="s">
        <v>2473</v>
      </c>
      <c r="O245" s="1194" t="s">
        <v>927</v>
      </c>
      <c r="P245" s="348"/>
      <c r="Q245" s="1236"/>
      <c r="X245" s="383"/>
      <c r="Y245" s="383"/>
      <c r="Z245" s="383"/>
      <c r="AA245" s="383"/>
      <c r="AB245" s="383"/>
      <c r="AC245" s="383"/>
      <c r="AD245" s="383"/>
      <c r="AE245" s="383"/>
      <c r="AF245" s="383"/>
      <c r="AG245" s="383"/>
      <c r="AH245" s="383"/>
      <c r="AI245" s="383"/>
      <c r="AJ245" s="383"/>
      <c r="AK245" s="383"/>
      <c r="AL245" s="383"/>
      <c r="AM245" s="383"/>
      <c r="AN245" s="383"/>
      <c r="AO245" s="383"/>
      <c r="AP245" s="383"/>
      <c r="AQ245" s="383"/>
      <c r="AR245" s="383"/>
    </row>
    <row r="246" spans="2:44" s="639" customFormat="1" ht="12" customHeight="1">
      <c r="B246" s="747"/>
      <c r="C246" s="708" t="s">
        <v>125</v>
      </c>
      <c r="D246" s="708" t="s">
        <v>1391</v>
      </c>
      <c r="E246" s="743" t="s">
        <v>126</v>
      </c>
      <c r="F246" s="743" t="s">
        <v>2786</v>
      </c>
      <c r="G246" s="744" t="s">
        <v>424</v>
      </c>
      <c r="H246" s="745" t="s">
        <v>442</v>
      </c>
      <c r="I246" s="1235" t="s">
        <v>2772</v>
      </c>
      <c r="J246" s="732" t="s">
        <v>48</v>
      </c>
      <c r="K246" s="733"/>
      <c r="L246" s="730"/>
      <c r="M246" s="731"/>
      <c r="N246" s="1194" t="s">
        <v>49</v>
      </c>
      <c r="O246" s="1194" t="s">
        <v>341</v>
      </c>
      <c r="P246" s="348"/>
      <c r="Q246" s="1236"/>
      <c r="X246" s="383"/>
      <c r="Y246" s="383"/>
      <c r="Z246" s="383"/>
      <c r="AA246" s="383"/>
      <c r="AB246" s="383"/>
      <c r="AC246" s="383"/>
      <c r="AD246" s="383"/>
      <c r="AE246" s="383"/>
      <c r="AF246" s="383"/>
      <c r="AG246" s="383"/>
      <c r="AH246" s="383"/>
      <c r="AI246" s="383"/>
      <c r="AJ246" s="383"/>
      <c r="AK246" s="383"/>
      <c r="AL246" s="383"/>
      <c r="AM246" s="383"/>
      <c r="AN246" s="383"/>
      <c r="AO246" s="383"/>
      <c r="AP246" s="383"/>
      <c r="AQ246" s="383"/>
      <c r="AR246" s="383"/>
    </row>
    <row r="247" spans="2:44" s="639" customFormat="1" ht="12" customHeight="1">
      <c r="B247" s="747"/>
      <c r="C247" s="708" t="s">
        <v>329</v>
      </c>
      <c r="D247" s="708" t="s">
        <v>1391</v>
      </c>
      <c r="E247" s="743" t="s">
        <v>1292</v>
      </c>
      <c r="F247" s="743" t="s">
        <v>2787</v>
      </c>
      <c r="G247" s="744" t="s">
        <v>425</v>
      </c>
      <c r="H247" s="745" t="s">
        <v>443</v>
      </c>
      <c r="I247" s="1235" t="s">
        <v>1262</v>
      </c>
      <c r="J247" s="732" t="s">
        <v>669</v>
      </c>
      <c r="K247" s="733"/>
      <c r="L247" s="730"/>
      <c r="M247" s="731"/>
      <c r="N247" s="1194" t="s">
        <v>670</v>
      </c>
      <c r="O247" s="1194" t="s">
        <v>2765</v>
      </c>
      <c r="P247" s="348"/>
      <c r="Q247" s="1236"/>
      <c r="X247" s="383"/>
      <c r="Y247" s="383"/>
      <c r="Z247" s="383"/>
      <c r="AA247" s="383"/>
      <c r="AB247" s="383"/>
      <c r="AC247" s="383"/>
      <c r="AD247" s="383"/>
      <c r="AE247" s="383"/>
      <c r="AF247" s="383"/>
      <c r="AG247" s="383"/>
      <c r="AH247" s="383"/>
      <c r="AI247" s="383"/>
      <c r="AJ247" s="383"/>
      <c r="AK247" s="383"/>
      <c r="AL247" s="383"/>
      <c r="AM247" s="383"/>
      <c r="AN247" s="383"/>
      <c r="AO247" s="383"/>
      <c r="AP247" s="383"/>
      <c r="AQ247" s="383"/>
      <c r="AR247" s="383"/>
    </row>
    <row r="248" spans="2:44" s="639" customFormat="1" ht="12" customHeight="1">
      <c r="B248" s="747"/>
      <c r="C248" s="710" t="s">
        <v>330</v>
      </c>
      <c r="D248" s="708" t="s">
        <v>1415</v>
      </c>
      <c r="E248" s="743" t="s">
        <v>331</v>
      </c>
      <c r="F248" s="743" t="s">
        <v>2786</v>
      </c>
      <c r="G248" s="744" t="s">
        <v>426</v>
      </c>
      <c r="H248" s="745" t="s">
        <v>442</v>
      </c>
      <c r="I248" s="1235" t="s">
        <v>2772</v>
      </c>
      <c r="J248" s="732" t="s">
        <v>320</v>
      </c>
      <c r="K248" s="733"/>
      <c r="L248" s="730"/>
      <c r="M248" s="731"/>
      <c r="N248" s="1194" t="s">
        <v>321</v>
      </c>
      <c r="O248" s="1194" t="s">
        <v>332</v>
      </c>
      <c r="P248" s="348"/>
      <c r="Q248" s="1236"/>
      <c r="X248" s="383"/>
      <c r="Y248" s="383"/>
      <c r="Z248" s="383"/>
      <c r="AA248" s="383"/>
      <c r="AB248" s="383"/>
      <c r="AC248" s="383"/>
      <c r="AD248" s="383"/>
      <c r="AE248" s="383"/>
      <c r="AF248" s="383"/>
      <c r="AG248" s="383"/>
      <c r="AH248" s="383"/>
      <c r="AI248" s="383"/>
      <c r="AJ248" s="383"/>
      <c r="AK248" s="383"/>
      <c r="AL248" s="383"/>
      <c r="AM248" s="383"/>
      <c r="AN248" s="383"/>
      <c r="AO248" s="383"/>
      <c r="AP248" s="383"/>
      <c r="AQ248" s="383"/>
      <c r="AR248" s="383"/>
    </row>
    <row r="249" spans="2:44" s="639" customFormat="1" ht="12" customHeight="1">
      <c r="B249" s="747"/>
      <c r="C249" s="708" t="s">
        <v>332</v>
      </c>
      <c r="D249" s="708" t="s">
        <v>1391</v>
      </c>
      <c r="E249" s="746" t="s">
        <v>811</v>
      </c>
      <c r="F249" s="746" t="s">
        <v>2787</v>
      </c>
      <c r="G249" s="744" t="s">
        <v>427</v>
      </c>
      <c r="H249" s="745" t="s">
        <v>443</v>
      </c>
      <c r="I249" s="1235" t="s">
        <v>2772</v>
      </c>
      <c r="J249" s="732" t="s">
        <v>2515</v>
      </c>
      <c r="K249" s="733"/>
      <c r="L249" s="730"/>
      <c r="M249" s="731"/>
      <c r="N249" s="1194" t="s">
        <v>2516</v>
      </c>
      <c r="O249" s="1194" t="s">
        <v>204</v>
      </c>
      <c r="P249" s="348"/>
      <c r="Q249" s="1236"/>
      <c r="X249" s="383"/>
      <c r="Y249" s="383"/>
      <c r="Z249" s="383"/>
      <c r="AA249" s="383"/>
      <c r="AB249" s="383"/>
      <c r="AC249" s="383"/>
      <c r="AD249" s="383"/>
      <c r="AE249" s="383"/>
      <c r="AF249" s="383"/>
      <c r="AG249" s="383"/>
      <c r="AH249" s="383"/>
      <c r="AI249" s="383"/>
      <c r="AJ249" s="383"/>
      <c r="AK249" s="383"/>
      <c r="AL249" s="383"/>
      <c r="AM249" s="383"/>
      <c r="AN249" s="383"/>
      <c r="AO249" s="383"/>
      <c r="AP249" s="383"/>
      <c r="AQ249" s="383"/>
      <c r="AR249" s="383"/>
    </row>
    <row r="250" spans="2:44" s="639" customFormat="1" ht="12" customHeight="1">
      <c r="B250" s="747"/>
      <c r="C250" s="708" t="s">
        <v>333</v>
      </c>
      <c r="D250" s="708" t="s">
        <v>1415</v>
      </c>
      <c r="E250" s="746" t="s">
        <v>168</v>
      </c>
      <c r="F250" s="746" t="s">
        <v>2787</v>
      </c>
      <c r="G250" s="744" t="s">
        <v>1792</v>
      </c>
      <c r="H250" s="745" t="s">
        <v>443</v>
      </c>
      <c r="I250" s="1235" t="s">
        <v>2772</v>
      </c>
      <c r="J250" s="732" t="s">
        <v>2543</v>
      </c>
      <c r="K250" s="733"/>
      <c r="L250" s="730"/>
      <c r="M250" s="731"/>
      <c r="N250" s="1194" t="s">
        <v>2544</v>
      </c>
      <c r="O250" s="1194" t="s">
        <v>1769</v>
      </c>
      <c r="P250" s="348"/>
      <c r="Q250" s="1236"/>
      <c r="X250" s="383"/>
      <c r="Y250" s="383"/>
      <c r="Z250" s="383"/>
      <c r="AA250" s="383"/>
      <c r="AB250" s="383"/>
      <c r="AC250" s="383"/>
      <c r="AD250" s="383"/>
      <c r="AE250" s="383"/>
      <c r="AF250" s="383"/>
      <c r="AG250" s="383"/>
      <c r="AH250" s="383"/>
      <c r="AI250" s="383"/>
      <c r="AJ250" s="383"/>
      <c r="AK250" s="383"/>
      <c r="AL250" s="383"/>
      <c r="AM250" s="383"/>
      <c r="AN250" s="383"/>
      <c r="AO250" s="383"/>
      <c r="AP250" s="383"/>
      <c r="AQ250" s="383"/>
      <c r="AR250" s="383"/>
    </row>
    <row r="251" spans="2:44" s="639" customFormat="1" ht="12" customHeight="1">
      <c r="B251" s="747"/>
      <c r="C251" s="708" t="s">
        <v>334</v>
      </c>
      <c r="D251" s="708" t="s">
        <v>1415</v>
      </c>
      <c r="E251" s="743" t="s">
        <v>335</v>
      </c>
      <c r="F251" s="743" t="s">
        <v>2786</v>
      </c>
      <c r="G251" s="744" t="s">
        <v>428</v>
      </c>
      <c r="H251" s="745" t="s">
        <v>442</v>
      </c>
      <c r="I251" s="1235" t="s">
        <v>2772</v>
      </c>
      <c r="J251" s="732" t="s">
        <v>2545</v>
      </c>
      <c r="K251" s="733"/>
      <c r="L251" s="730"/>
      <c r="M251" s="731"/>
      <c r="N251" s="1194" t="s">
        <v>3234</v>
      </c>
      <c r="O251" s="1194" t="s">
        <v>664</v>
      </c>
      <c r="P251" s="348"/>
      <c r="Q251" s="1236"/>
      <c r="X251" s="383"/>
      <c r="Y251" s="383"/>
      <c r="Z251" s="383"/>
      <c r="AA251" s="383"/>
      <c r="AB251" s="383"/>
      <c r="AC251" s="383"/>
      <c r="AD251" s="383"/>
      <c r="AE251" s="383"/>
      <c r="AF251" s="383"/>
      <c r="AG251" s="383"/>
      <c r="AH251" s="383"/>
      <c r="AI251" s="383"/>
      <c r="AJ251" s="383"/>
      <c r="AK251" s="383"/>
      <c r="AL251" s="383"/>
      <c r="AM251" s="383"/>
      <c r="AN251" s="383"/>
      <c r="AO251" s="383"/>
      <c r="AP251" s="383"/>
      <c r="AQ251" s="383"/>
      <c r="AR251" s="383"/>
    </row>
    <row r="252" spans="2:44" s="639" customFormat="1" ht="12" customHeight="1">
      <c r="B252" s="747"/>
      <c r="C252" s="708" t="s">
        <v>336</v>
      </c>
      <c r="D252" s="708" t="s">
        <v>1415</v>
      </c>
      <c r="E252" s="746" t="s">
        <v>809</v>
      </c>
      <c r="F252" s="746" t="s">
        <v>2787</v>
      </c>
      <c r="G252" s="744" t="s">
        <v>2749</v>
      </c>
      <c r="H252" s="745" t="s">
        <v>443</v>
      </c>
      <c r="I252" s="1234" t="s">
        <v>1262</v>
      </c>
      <c r="J252" s="732" t="s">
        <v>2546</v>
      </c>
      <c r="K252" s="733"/>
      <c r="L252" s="730"/>
      <c r="M252" s="731"/>
      <c r="N252" s="1194" t="s">
        <v>665</v>
      </c>
      <c r="O252" s="1194" t="s">
        <v>1407</v>
      </c>
      <c r="P252" s="348"/>
      <c r="Q252" s="1236"/>
      <c r="X252" s="383"/>
      <c r="Y252" s="383"/>
      <c r="Z252" s="383"/>
      <c r="AA252" s="383"/>
      <c r="AB252" s="383"/>
      <c r="AC252" s="383"/>
      <c r="AD252" s="383"/>
      <c r="AE252" s="383"/>
      <c r="AF252" s="383"/>
      <c r="AG252" s="383"/>
      <c r="AH252" s="383"/>
      <c r="AI252" s="383"/>
      <c r="AJ252" s="383"/>
      <c r="AK252" s="383"/>
      <c r="AL252" s="383"/>
      <c r="AM252" s="383"/>
      <c r="AN252" s="383"/>
      <c r="AO252" s="383"/>
      <c r="AP252" s="383"/>
      <c r="AQ252" s="383"/>
      <c r="AR252" s="383"/>
    </row>
    <row r="253" spans="2:44" s="639" customFormat="1" ht="12" customHeight="1">
      <c r="B253" s="747"/>
      <c r="C253" s="708" t="s">
        <v>337</v>
      </c>
      <c r="D253" s="708" t="s">
        <v>1415</v>
      </c>
      <c r="E253" s="746" t="s">
        <v>809</v>
      </c>
      <c r="F253" s="746" t="s">
        <v>2787</v>
      </c>
      <c r="G253" s="744" t="s">
        <v>2749</v>
      </c>
      <c r="H253" s="745" t="s">
        <v>443</v>
      </c>
      <c r="I253" s="1234" t="s">
        <v>1262</v>
      </c>
      <c r="J253" s="732" t="s">
        <v>2507</v>
      </c>
      <c r="K253" s="733"/>
      <c r="L253" s="730"/>
      <c r="M253" s="731"/>
      <c r="N253" s="1194" t="s">
        <v>1404</v>
      </c>
      <c r="O253" s="1194" t="s">
        <v>697</v>
      </c>
      <c r="P253" s="348"/>
      <c r="Q253" s="1236"/>
      <c r="X253" s="383"/>
      <c r="Y253" s="383"/>
      <c r="Z253" s="383"/>
      <c r="AA253" s="383"/>
      <c r="AB253" s="383"/>
      <c r="AC253" s="383"/>
      <c r="AD253" s="383"/>
      <c r="AE253" s="383"/>
      <c r="AF253" s="383"/>
      <c r="AG253" s="383"/>
      <c r="AH253" s="383"/>
      <c r="AI253" s="383"/>
      <c r="AJ253" s="383"/>
      <c r="AK253" s="383"/>
      <c r="AL253" s="383"/>
      <c r="AM253" s="383"/>
      <c r="AN253" s="383"/>
      <c r="AO253" s="383"/>
      <c r="AP253" s="383"/>
      <c r="AQ253" s="383"/>
      <c r="AR253" s="383"/>
    </row>
    <row r="254" spans="2:44" s="639" customFormat="1" ht="12" customHeight="1">
      <c r="B254" s="747"/>
      <c r="C254" s="708" t="s">
        <v>338</v>
      </c>
      <c r="D254" s="708" t="s">
        <v>1415</v>
      </c>
      <c r="E254" s="746" t="s">
        <v>1819</v>
      </c>
      <c r="F254" s="746" t="s">
        <v>2787</v>
      </c>
      <c r="G254" s="744" t="s">
        <v>429</v>
      </c>
      <c r="H254" s="745" t="s">
        <v>443</v>
      </c>
      <c r="I254" s="1235" t="s">
        <v>1262</v>
      </c>
      <c r="J254" s="732" t="s">
        <v>11</v>
      </c>
      <c r="K254" s="733"/>
      <c r="L254" s="730"/>
      <c r="M254" s="731"/>
      <c r="N254" s="1194" t="s">
        <v>2508</v>
      </c>
      <c r="O254" s="1194" t="s">
        <v>2646</v>
      </c>
      <c r="P254" s="737"/>
      <c r="Q254" s="1236"/>
      <c r="X254" s="383"/>
      <c r="Y254" s="383"/>
      <c r="Z254" s="383"/>
      <c r="AA254" s="383"/>
      <c r="AB254" s="383"/>
      <c r="AC254" s="383"/>
      <c r="AD254" s="383"/>
      <c r="AE254" s="383"/>
      <c r="AF254" s="383"/>
      <c r="AG254" s="383"/>
      <c r="AH254" s="383"/>
      <c r="AI254" s="383"/>
      <c r="AJ254" s="383"/>
      <c r="AK254" s="383"/>
      <c r="AL254" s="383"/>
      <c r="AM254" s="383"/>
      <c r="AN254" s="383"/>
      <c r="AO254" s="383"/>
      <c r="AP254" s="383"/>
      <c r="AQ254" s="383"/>
      <c r="AR254" s="383"/>
    </row>
    <row r="255" spans="2:44" s="639" customFormat="1" ht="12" customHeight="1">
      <c r="B255" s="747"/>
      <c r="C255" s="708" t="s">
        <v>339</v>
      </c>
      <c r="D255" s="708" t="s">
        <v>1282</v>
      </c>
      <c r="E255" s="743" t="s">
        <v>340</v>
      </c>
      <c r="F255" s="743" t="s">
        <v>2786</v>
      </c>
      <c r="G255" s="744" t="s">
        <v>687</v>
      </c>
      <c r="H255" s="745" t="s">
        <v>442</v>
      </c>
      <c r="I255" s="1235" t="s">
        <v>2772</v>
      </c>
      <c r="J255" s="732" t="s">
        <v>13</v>
      </c>
      <c r="K255" s="733"/>
      <c r="L255" s="730"/>
      <c r="M255" s="731"/>
      <c r="N255" s="1194" t="s">
        <v>12</v>
      </c>
      <c r="O255" s="1194" t="s">
        <v>706</v>
      </c>
      <c r="P255" s="348"/>
      <c r="Q255" s="1236"/>
      <c r="X255" s="383"/>
      <c r="Y255" s="383"/>
      <c r="Z255" s="383"/>
      <c r="AA255" s="383"/>
      <c r="AB255" s="383"/>
      <c r="AC255" s="383"/>
      <c r="AD255" s="383"/>
      <c r="AE255" s="383"/>
      <c r="AF255" s="383"/>
      <c r="AG255" s="383"/>
      <c r="AH255" s="383"/>
      <c r="AI255" s="383"/>
      <c r="AJ255" s="383"/>
      <c r="AK255" s="383"/>
      <c r="AL255" s="383"/>
      <c r="AM255" s="383"/>
      <c r="AN255" s="383"/>
      <c r="AO255" s="383"/>
      <c r="AP255" s="383"/>
      <c r="AQ255" s="383"/>
      <c r="AR255" s="383"/>
    </row>
    <row r="256" spans="2:44" s="639" customFormat="1" ht="12" customHeight="1">
      <c r="B256" s="747"/>
      <c r="C256" s="708" t="s">
        <v>341</v>
      </c>
      <c r="D256" s="708" t="s">
        <v>1415</v>
      </c>
      <c r="E256" s="743" t="s">
        <v>342</v>
      </c>
      <c r="F256" s="743" t="s">
        <v>2786</v>
      </c>
      <c r="G256" s="744" t="s">
        <v>688</v>
      </c>
      <c r="H256" s="745" t="s">
        <v>442</v>
      </c>
      <c r="I256" s="1235" t="s">
        <v>2772</v>
      </c>
      <c r="J256" s="732" t="s">
        <v>59</v>
      </c>
      <c r="K256" s="733"/>
      <c r="L256" s="730"/>
      <c r="M256" s="731"/>
      <c r="N256" s="1194" t="s">
        <v>14</v>
      </c>
      <c r="O256" s="1194" t="s">
        <v>332</v>
      </c>
      <c r="P256" s="348"/>
      <c r="Q256" s="1236"/>
      <c r="X256" s="383"/>
      <c r="Y256" s="383"/>
      <c r="Z256" s="383"/>
      <c r="AA256" s="383"/>
      <c r="AB256" s="383"/>
      <c r="AC256" s="383"/>
      <c r="AD256" s="383"/>
      <c r="AE256" s="383"/>
      <c r="AF256" s="383"/>
      <c r="AG256" s="383"/>
      <c r="AH256" s="383"/>
      <c r="AI256" s="383"/>
      <c r="AJ256" s="383"/>
      <c r="AK256" s="383"/>
      <c r="AL256" s="383"/>
      <c r="AM256" s="383"/>
      <c r="AN256" s="383"/>
      <c r="AO256" s="383"/>
      <c r="AP256" s="383"/>
      <c r="AQ256" s="383"/>
      <c r="AR256" s="383"/>
    </row>
    <row r="257" spans="2:44" s="639" customFormat="1" ht="12" customHeight="1">
      <c r="B257" s="747"/>
      <c r="C257" s="708" t="s">
        <v>343</v>
      </c>
      <c r="D257" s="708" t="s">
        <v>1415</v>
      </c>
      <c r="E257" s="746" t="s">
        <v>809</v>
      </c>
      <c r="F257" s="746" t="s">
        <v>2787</v>
      </c>
      <c r="G257" s="744" t="s">
        <v>2749</v>
      </c>
      <c r="H257" s="745" t="s">
        <v>443</v>
      </c>
      <c r="I257" s="1234" t="s">
        <v>1262</v>
      </c>
      <c r="J257" s="732" t="s">
        <v>61</v>
      </c>
      <c r="K257" s="733"/>
      <c r="L257" s="730"/>
      <c r="M257" s="731"/>
      <c r="N257" s="1194" t="s">
        <v>60</v>
      </c>
      <c r="O257" s="1194" t="s">
        <v>2757</v>
      </c>
      <c r="P257" s="348"/>
      <c r="Q257" s="1236"/>
      <c r="X257" s="383"/>
      <c r="Y257" s="383"/>
      <c r="Z257" s="383"/>
      <c r="AA257" s="383"/>
      <c r="AB257" s="383"/>
      <c r="AC257" s="383"/>
      <c r="AD257" s="383"/>
      <c r="AE257" s="383"/>
      <c r="AF257" s="383"/>
      <c r="AG257" s="383"/>
      <c r="AH257" s="383"/>
      <c r="AI257" s="383"/>
      <c r="AJ257" s="383"/>
      <c r="AK257" s="383"/>
      <c r="AL257" s="383"/>
      <c r="AM257" s="383"/>
      <c r="AN257" s="383"/>
      <c r="AO257" s="383"/>
      <c r="AP257" s="383"/>
      <c r="AQ257" s="383"/>
      <c r="AR257" s="383"/>
    </row>
    <row r="258" spans="2:44" s="639" customFormat="1" ht="12" customHeight="1">
      <c r="B258" s="747"/>
      <c r="C258" s="708" t="s">
        <v>344</v>
      </c>
      <c r="D258" s="708" t="s">
        <v>1282</v>
      </c>
      <c r="E258" s="743" t="s">
        <v>345</v>
      </c>
      <c r="F258" s="743" t="s">
        <v>2786</v>
      </c>
      <c r="G258" s="744" t="s">
        <v>689</v>
      </c>
      <c r="H258" s="745" t="s">
        <v>442</v>
      </c>
      <c r="I258" s="1235" t="s">
        <v>2772</v>
      </c>
      <c r="J258" s="732" t="s">
        <v>63</v>
      </c>
      <c r="K258" s="733"/>
      <c r="L258" s="730"/>
      <c r="M258" s="731"/>
      <c r="N258" s="1194" t="s">
        <v>62</v>
      </c>
      <c r="O258" s="1194" t="s">
        <v>375</v>
      </c>
      <c r="P258" s="348"/>
      <c r="Q258" s="1236"/>
      <c r="X258" s="383"/>
      <c r="Y258" s="383"/>
      <c r="Z258" s="383"/>
      <c r="AA258" s="383"/>
      <c r="AB258" s="383"/>
      <c r="AC258" s="383"/>
      <c r="AD258" s="383"/>
      <c r="AE258" s="383"/>
      <c r="AF258" s="383"/>
      <c r="AG258" s="383"/>
      <c r="AH258" s="383"/>
      <c r="AI258" s="383"/>
      <c r="AJ258" s="383"/>
      <c r="AK258" s="383"/>
      <c r="AL258" s="383"/>
      <c r="AM258" s="383"/>
      <c r="AN258" s="383"/>
      <c r="AO258" s="383"/>
      <c r="AP258" s="383"/>
      <c r="AQ258" s="383"/>
      <c r="AR258" s="383"/>
    </row>
    <row r="259" spans="2:44" s="639" customFormat="1" ht="12" customHeight="1">
      <c r="B259" s="747"/>
      <c r="C259" s="708" t="s">
        <v>346</v>
      </c>
      <c r="D259" s="708" t="s">
        <v>1415</v>
      </c>
      <c r="E259" s="743" t="s">
        <v>347</v>
      </c>
      <c r="F259" s="743" t="s">
        <v>2786</v>
      </c>
      <c r="G259" s="744" t="s">
        <v>278</v>
      </c>
      <c r="H259" s="745" t="s">
        <v>442</v>
      </c>
      <c r="I259" s="1235" t="s">
        <v>2772</v>
      </c>
      <c r="J259" s="732" t="s">
        <v>369</v>
      </c>
      <c r="K259" s="733"/>
      <c r="L259" s="730"/>
      <c r="M259" s="731"/>
      <c r="N259" s="1194" t="s">
        <v>64</v>
      </c>
      <c r="O259" s="1194" t="s">
        <v>124</v>
      </c>
      <c r="P259" s="348"/>
      <c r="Q259" s="1236"/>
      <c r="X259" s="383"/>
      <c r="Y259" s="383"/>
      <c r="Z259" s="383"/>
      <c r="AA259" s="383"/>
      <c r="AB259" s="383"/>
      <c r="AC259" s="383"/>
      <c r="AD259" s="383"/>
      <c r="AE259" s="383"/>
      <c r="AF259" s="383"/>
      <c r="AG259" s="383"/>
      <c r="AH259" s="383"/>
      <c r="AI259" s="383"/>
      <c r="AJ259" s="383"/>
      <c r="AK259" s="383"/>
      <c r="AL259" s="383"/>
      <c r="AM259" s="383"/>
      <c r="AN259" s="383"/>
      <c r="AO259" s="383"/>
      <c r="AP259" s="383"/>
      <c r="AQ259" s="383"/>
      <c r="AR259" s="383"/>
    </row>
    <row r="260" spans="2:44" s="639" customFormat="1" ht="12" customHeight="1">
      <c r="B260" s="747"/>
      <c r="C260" s="708" t="s">
        <v>348</v>
      </c>
      <c r="D260" s="708" t="s">
        <v>1282</v>
      </c>
      <c r="E260" s="743" t="s">
        <v>349</v>
      </c>
      <c r="F260" s="743" t="s">
        <v>2786</v>
      </c>
      <c r="G260" s="744" t="s">
        <v>279</v>
      </c>
      <c r="H260" s="745" t="s">
        <v>442</v>
      </c>
      <c r="I260" s="1235" t="s">
        <v>2772</v>
      </c>
      <c r="J260" s="732" t="s">
        <v>371</v>
      </c>
      <c r="K260" s="733"/>
      <c r="L260" s="730"/>
      <c r="M260" s="731"/>
      <c r="N260" s="1194" t="s">
        <v>370</v>
      </c>
      <c r="O260" s="1194" t="s">
        <v>2318</v>
      </c>
      <c r="P260" s="348"/>
      <c r="Q260" s="1236"/>
      <c r="X260" s="383"/>
      <c r="Y260" s="383"/>
      <c r="Z260" s="383"/>
      <c r="AA260" s="383"/>
      <c r="AB260" s="383"/>
      <c r="AC260" s="383"/>
      <c r="AD260" s="383"/>
      <c r="AE260" s="383"/>
      <c r="AF260" s="383"/>
      <c r="AG260" s="383"/>
      <c r="AH260" s="383"/>
      <c r="AI260" s="383"/>
      <c r="AJ260" s="383"/>
      <c r="AK260" s="383"/>
      <c r="AL260" s="383"/>
      <c r="AM260" s="383"/>
      <c r="AN260" s="383"/>
      <c r="AO260" s="383"/>
      <c r="AP260" s="383"/>
      <c r="AQ260" s="383"/>
      <c r="AR260" s="383"/>
    </row>
    <row r="261" spans="2:44" s="639" customFormat="1" ht="12" customHeight="1">
      <c r="B261" s="747"/>
      <c r="C261" s="708" t="s">
        <v>350</v>
      </c>
      <c r="D261" s="708" t="s">
        <v>1282</v>
      </c>
      <c r="E261" s="743" t="s">
        <v>351</v>
      </c>
      <c r="F261" s="743" t="s">
        <v>2786</v>
      </c>
      <c r="G261" s="744" t="s">
        <v>280</v>
      </c>
      <c r="H261" s="745" t="s">
        <v>442</v>
      </c>
      <c r="I261" s="1235" t="s">
        <v>2772</v>
      </c>
      <c r="J261" s="732" t="s">
        <v>373</v>
      </c>
      <c r="K261" s="733"/>
      <c r="L261" s="730"/>
      <c r="M261" s="731"/>
      <c r="N261" s="1194" t="s">
        <v>372</v>
      </c>
      <c r="O261" s="1194" t="s">
        <v>1004</v>
      </c>
      <c r="P261" s="348"/>
      <c r="Q261" s="1236"/>
      <c r="X261" s="383"/>
      <c r="Y261" s="383"/>
      <c r="Z261" s="383"/>
      <c r="AA261" s="383"/>
      <c r="AB261" s="383"/>
      <c r="AC261" s="383"/>
      <c r="AD261" s="383"/>
      <c r="AE261" s="383"/>
      <c r="AF261" s="383"/>
      <c r="AG261" s="383"/>
      <c r="AH261" s="383"/>
      <c r="AI261" s="383"/>
      <c r="AJ261" s="383"/>
      <c r="AK261" s="383"/>
      <c r="AL261" s="383"/>
      <c r="AM261" s="383"/>
      <c r="AN261" s="383"/>
      <c r="AO261" s="383"/>
      <c r="AP261" s="383"/>
      <c r="AQ261" s="383"/>
      <c r="AR261" s="383"/>
    </row>
    <row r="262" spans="2:44" s="639" customFormat="1" ht="12" customHeight="1">
      <c r="B262" s="747"/>
      <c r="C262" s="708" t="s">
        <v>448</v>
      </c>
      <c r="D262" s="708" t="s">
        <v>1415</v>
      </c>
      <c r="E262" s="746" t="s">
        <v>1400</v>
      </c>
      <c r="F262" s="746" t="s">
        <v>2787</v>
      </c>
      <c r="G262" s="744" t="s">
        <v>2752</v>
      </c>
      <c r="H262" s="745" t="s">
        <v>443</v>
      </c>
      <c r="I262" s="1235" t="s">
        <v>2772</v>
      </c>
      <c r="J262" s="732" t="s">
        <v>2429</v>
      </c>
      <c r="K262" s="733"/>
      <c r="L262" s="730"/>
      <c r="M262" s="731"/>
      <c r="N262" s="1194" t="s">
        <v>374</v>
      </c>
      <c r="O262" s="1194" t="s">
        <v>1150</v>
      </c>
      <c r="P262" s="348"/>
      <c r="Q262" s="1236"/>
      <c r="X262" s="383"/>
      <c r="Y262" s="383"/>
      <c r="Z262" s="383"/>
      <c r="AA262" s="383"/>
      <c r="AB262" s="383"/>
      <c r="AC262" s="383"/>
      <c r="AD262" s="383"/>
      <c r="AE262" s="383"/>
      <c r="AF262" s="383"/>
      <c r="AG262" s="383"/>
      <c r="AH262" s="383"/>
      <c r="AI262" s="383"/>
      <c r="AJ262" s="383"/>
      <c r="AK262" s="383"/>
      <c r="AL262" s="383"/>
      <c r="AM262" s="383"/>
      <c r="AN262" s="383"/>
      <c r="AO262" s="383"/>
      <c r="AP262" s="383"/>
      <c r="AQ262" s="383"/>
      <c r="AR262" s="383"/>
    </row>
    <row r="263" spans="2:44" s="639" customFormat="1" ht="12" customHeight="1">
      <c r="B263" s="747"/>
      <c r="C263" s="708" t="s">
        <v>449</v>
      </c>
      <c r="D263" s="708" t="s">
        <v>1415</v>
      </c>
      <c r="E263" s="746" t="s">
        <v>812</v>
      </c>
      <c r="F263" s="746" t="s">
        <v>2787</v>
      </c>
      <c r="G263" s="744" t="s">
        <v>281</v>
      </c>
      <c r="H263" s="745" t="s">
        <v>443</v>
      </c>
      <c r="I263" s="1235" t="s">
        <v>2772</v>
      </c>
      <c r="J263" s="732" t="s">
        <v>2431</v>
      </c>
      <c r="K263" s="733"/>
      <c r="L263" s="730"/>
      <c r="M263" s="731"/>
      <c r="N263" s="1194" t="s">
        <v>666</v>
      </c>
      <c r="O263" s="1194" t="s">
        <v>1542</v>
      </c>
      <c r="P263" s="348"/>
      <c r="Q263" s="1236"/>
      <c r="X263" s="383"/>
      <c r="Y263" s="383"/>
      <c r="Z263" s="383"/>
      <c r="AA263" s="383"/>
      <c r="AB263" s="383"/>
      <c r="AC263" s="383"/>
      <c r="AD263" s="383"/>
      <c r="AE263" s="383"/>
      <c r="AF263" s="383"/>
      <c r="AG263" s="383"/>
      <c r="AH263" s="383"/>
      <c r="AI263" s="383"/>
      <c r="AJ263" s="383"/>
      <c r="AK263" s="383"/>
      <c r="AL263" s="383"/>
      <c r="AM263" s="383"/>
      <c r="AN263" s="383"/>
      <c r="AO263" s="383"/>
      <c r="AP263" s="383"/>
      <c r="AQ263" s="383"/>
      <c r="AR263" s="383"/>
    </row>
    <row r="264" spans="2:44" s="639" customFormat="1" ht="12" customHeight="1">
      <c r="B264" s="747"/>
      <c r="C264" s="708" t="s">
        <v>1541</v>
      </c>
      <c r="D264" s="708" t="s">
        <v>1282</v>
      </c>
      <c r="E264" s="743" t="s">
        <v>1806</v>
      </c>
      <c r="F264" s="743" t="s">
        <v>2787</v>
      </c>
      <c r="G264" s="744" t="s">
        <v>2755</v>
      </c>
      <c r="H264" s="745" t="s">
        <v>443</v>
      </c>
      <c r="I264" s="1235" t="s">
        <v>2772</v>
      </c>
      <c r="J264" s="732" t="s">
        <v>2432</v>
      </c>
      <c r="K264" s="733"/>
      <c r="L264" s="730"/>
      <c r="M264" s="731"/>
      <c r="N264" s="1194" t="s">
        <v>2430</v>
      </c>
      <c r="O264" s="1194" t="s">
        <v>709</v>
      </c>
      <c r="P264" s="348"/>
      <c r="Q264" s="1236"/>
      <c r="X264" s="383"/>
      <c r="Y264" s="383"/>
      <c r="Z264" s="383"/>
      <c r="AA264" s="383"/>
      <c r="AB264" s="383"/>
      <c r="AC264" s="383"/>
      <c r="AD264" s="383"/>
      <c r="AE264" s="383"/>
      <c r="AF264" s="383"/>
      <c r="AG264" s="383"/>
      <c r="AH264" s="383"/>
      <c r="AI264" s="383"/>
      <c r="AJ264" s="383"/>
      <c r="AK264" s="383"/>
      <c r="AL264" s="383"/>
      <c r="AM264" s="383"/>
      <c r="AN264" s="383"/>
      <c r="AO264" s="383"/>
      <c r="AP264" s="383"/>
      <c r="AQ264" s="383"/>
      <c r="AR264" s="383"/>
    </row>
    <row r="265" spans="2:44" s="639" customFormat="1" ht="12" customHeight="1">
      <c r="B265" s="747"/>
      <c r="C265" s="708" t="s">
        <v>1542</v>
      </c>
      <c r="D265" s="708" t="s">
        <v>1282</v>
      </c>
      <c r="E265" s="743" t="s">
        <v>1543</v>
      </c>
      <c r="F265" s="743" t="s">
        <v>2786</v>
      </c>
      <c r="G265" s="744" t="s">
        <v>282</v>
      </c>
      <c r="H265" s="745" t="s">
        <v>442</v>
      </c>
      <c r="I265" s="1235" t="s">
        <v>2772</v>
      </c>
      <c r="J265" s="732" t="s">
        <v>2433</v>
      </c>
      <c r="K265" s="733"/>
      <c r="L265" s="730"/>
      <c r="M265" s="731"/>
      <c r="N265" s="1194" t="s">
        <v>1412</v>
      </c>
      <c r="O265" s="1194" t="s">
        <v>707</v>
      </c>
      <c r="P265" s="348"/>
      <c r="Q265" s="1236"/>
      <c r="X265" s="383"/>
      <c r="Y265" s="383"/>
      <c r="Z265" s="383"/>
      <c r="AA265" s="383"/>
      <c r="AB265" s="383"/>
      <c r="AC265" s="383"/>
      <c r="AD265" s="383"/>
      <c r="AE265" s="383"/>
      <c r="AF265" s="383"/>
      <c r="AG265" s="383"/>
      <c r="AH265" s="383"/>
      <c r="AI265" s="383"/>
      <c r="AJ265" s="383"/>
      <c r="AK265" s="383"/>
      <c r="AL265" s="383"/>
      <c r="AM265" s="383"/>
      <c r="AN265" s="383"/>
      <c r="AO265" s="383"/>
      <c r="AP265" s="383"/>
      <c r="AQ265" s="383"/>
      <c r="AR265" s="383"/>
    </row>
    <row r="266" spans="2:44" s="639" customFormat="1" ht="12" customHeight="1">
      <c r="B266" s="747"/>
      <c r="C266" s="708" t="s">
        <v>1544</v>
      </c>
      <c r="D266" s="708" t="s">
        <v>1282</v>
      </c>
      <c r="E266" s="746" t="s">
        <v>1897</v>
      </c>
      <c r="F266" s="746" t="s">
        <v>2787</v>
      </c>
      <c r="G266" s="744" t="s">
        <v>1225</v>
      </c>
      <c r="H266" s="745" t="s">
        <v>443</v>
      </c>
      <c r="I266" s="1235" t="s">
        <v>2772</v>
      </c>
      <c r="J266" s="732" t="s">
        <v>1658</v>
      </c>
      <c r="K266" s="733"/>
      <c r="L266" s="730"/>
      <c r="M266" s="731"/>
      <c r="N266" s="1194" t="s">
        <v>3235</v>
      </c>
      <c r="O266" s="1194" t="s">
        <v>709</v>
      </c>
      <c r="P266" s="348"/>
      <c r="Q266" s="1236"/>
      <c r="X266" s="383"/>
      <c r="Y266" s="383"/>
      <c r="Z266" s="383"/>
      <c r="AA266" s="383"/>
      <c r="AB266" s="383"/>
      <c r="AC266" s="383"/>
      <c r="AD266" s="383"/>
      <c r="AE266" s="383"/>
      <c r="AF266" s="383"/>
      <c r="AG266" s="383"/>
      <c r="AH266" s="383"/>
      <c r="AI266" s="383"/>
      <c r="AJ266" s="383"/>
      <c r="AK266" s="383"/>
      <c r="AL266" s="383"/>
      <c r="AM266" s="383"/>
      <c r="AN266" s="383"/>
      <c r="AO266" s="383"/>
      <c r="AP266" s="383"/>
      <c r="AQ266" s="383"/>
      <c r="AR266" s="383"/>
    </row>
    <row r="267" spans="2:44" s="639" customFormat="1" ht="12" customHeight="1">
      <c r="B267" s="747"/>
      <c r="C267" s="708" t="s">
        <v>1545</v>
      </c>
      <c r="D267" s="708" t="s">
        <v>1282</v>
      </c>
      <c r="E267" s="743" t="s">
        <v>813</v>
      </c>
      <c r="F267" s="743" t="s">
        <v>2787</v>
      </c>
      <c r="G267" s="744" t="s">
        <v>283</v>
      </c>
      <c r="H267" s="745" t="s">
        <v>443</v>
      </c>
      <c r="I267" s="1235" t="s">
        <v>1262</v>
      </c>
      <c r="J267" s="732" t="s">
        <v>1660</v>
      </c>
      <c r="K267" s="733"/>
      <c r="L267" s="730"/>
      <c r="M267" s="731"/>
      <c r="N267" s="1194" t="s">
        <v>2434</v>
      </c>
      <c r="O267" s="1194" t="s">
        <v>107</v>
      </c>
      <c r="P267" s="348"/>
      <c r="Q267" s="1236"/>
      <c r="X267" s="383"/>
      <c r="Y267" s="383"/>
      <c r="Z267" s="383"/>
      <c r="AA267" s="383"/>
      <c r="AB267" s="383"/>
      <c r="AC267" s="383"/>
      <c r="AD267" s="383"/>
      <c r="AE267" s="383"/>
      <c r="AF267" s="383"/>
      <c r="AG267" s="383"/>
      <c r="AH267" s="383"/>
      <c r="AI267" s="383"/>
      <c r="AJ267" s="383"/>
      <c r="AK267" s="383"/>
      <c r="AL267" s="383"/>
      <c r="AM267" s="383"/>
      <c r="AN267" s="383"/>
      <c r="AO267" s="383"/>
      <c r="AP267" s="383"/>
      <c r="AQ267" s="383"/>
      <c r="AR267" s="383"/>
    </row>
    <row r="268" spans="2:44" s="639" customFormat="1" ht="12" customHeight="1">
      <c r="B268" s="747"/>
      <c r="C268" s="708" t="s">
        <v>1546</v>
      </c>
      <c r="D268" s="708" t="s">
        <v>1415</v>
      </c>
      <c r="E268" s="743" t="s">
        <v>1547</v>
      </c>
      <c r="F268" s="743" t="s">
        <v>2786</v>
      </c>
      <c r="G268" s="744" t="s">
        <v>2686</v>
      </c>
      <c r="H268" s="745" t="s">
        <v>442</v>
      </c>
      <c r="I268" s="1235" t="s">
        <v>2772</v>
      </c>
      <c r="J268" s="732" t="s">
        <v>1662</v>
      </c>
      <c r="K268" s="733"/>
      <c r="L268" s="730"/>
      <c r="M268" s="731"/>
      <c r="N268" s="1194" t="s">
        <v>1659</v>
      </c>
      <c r="O268" s="1194" t="s">
        <v>1735</v>
      </c>
      <c r="P268" s="348"/>
      <c r="Q268" s="1236"/>
      <c r="X268" s="383"/>
      <c r="Y268" s="383"/>
      <c r="Z268" s="383"/>
      <c r="AA268" s="383"/>
      <c r="AB268" s="383"/>
      <c r="AC268" s="383"/>
      <c r="AD268" s="383"/>
      <c r="AE268" s="383"/>
      <c r="AF268" s="383"/>
      <c r="AG268" s="383"/>
      <c r="AH268" s="383"/>
      <c r="AI268" s="383"/>
      <c r="AJ268" s="383"/>
      <c r="AK268" s="383"/>
      <c r="AL268" s="383"/>
      <c r="AM268" s="383"/>
      <c r="AN268" s="383"/>
      <c r="AO268" s="383"/>
      <c r="AP268" s="383"/>
      <c r="AQ268" s="383"/>
      <c r="AR268" s="383"/>
    </row>
    <row r="269" spans="2:44" s="639" customFormat="1" ht="12" customHeight="1">
      <c r="B269" s="747"/>
      <c r="C269" s="708" t="s">
        <v>1548</v>
      </c>
      <c r="D269" s="708" t="s">
        <v>1282</v>
      </c>
      <c r="E269" s="743" t="s">
        <v>1549</v>
      </c>
      <c r="F269" s="743" t="s">
        <v>2787</v>
      </c>
      <c r="G269" s="744" t="s">
        <v>734</v>
      </c>
      <c r="H269" s="745" t="s">
        <v>443</v>
      </c>
      <c r="I269" s="1235" t="s">
        <v>2772</v>
      </c>
      <c r="J269" s="732" t="s">
        <v>1664</v>
      </c>
      <c r="K269" s="733"/>
      <c r="L269" s="730"/>
      <c r="M269" s="731"/>
      <c r="N269" s="1194" t="s">
        <v>2737</v>
      </c>
      <c r="O269" s="1194" t="s">
        <v>664</v>
      </c>
      <c r="P269" s="348"/>
      <c r="Q269" s="1236"/>
      <c r="X269" s="383"/>
      <c r="Y269" s="383"/>
      <c r="Z269" s="383"/>
      <c r="AA269" s="383"/>
      <c r="AB269" s="383"/>
      <c r="AC269" s="383"/>
      <c r="AD269" s="383"/>
      <c r="AE269" s="383"/>
      <c r="AF269" s="383"/>
      <c r="AG269" s="383"/>
      <c r="AH269" s="383"/>
      <c r="AI269" s="383"/>
      <c r="AJ269" s="383"/>
      <c r="AK269" s="383"/>
      <c r="AL269" s="383"/>
      <c r="AM269" s="383"/>
      <c r="AN269" s="383"/>
      <c r="AO269" s="383"/>
      <c r="AP269" s="383"/>
      <c r="AQ269" s="383"/>
      <c r="AR269" s="383"/>
    </row>
    <row r="270" spans="2:44" s="639" customFormat="1" ht="12" customHeight="1">
      <c r="B270" s="747"/>
      <c r="C270" s="708" t="s">
        <v>182</v>
      </c>
      <c r="D270" s="708" t="s">
        <v>1282</v>
      </c>
      <c r="E270" s="743" t="s">
        <v>1806</v>
      </c>
      <c r="F270" s="743" t="s">
        <v>2787</v>
      </c>
      <c r="G270" s="744" t="s">
        <v>2755</v>
      </c>
      <c r="H270" s="745" t="s">
        <v>443</v>
      </c>
      <c r="I270" s="1235" t="s">
        <v>1262</v>
      </c>
      <c r="J270" s="732" t="s">
        <v>1666</v>
      </c>
      <c r="K270" s="733"/>
      <c r="L270" s="730"/>
      <c r="M270" s="731"/>
      <c r="N270" s="1194" t="s">
        <v>1661</v>
      </c>
      <c r="O270" s="1194" t="s">
        <v>700</v>
      </c>
      <c r="P270" s="348"/>
      <c r="Q270" s="1236"/>
      <c r="X270" s="383"/>
      <c r="Y270" s="383"/>
      <c r="Z270" s="383"/>
      <c r="AA270" s="383"/>
      <c r="AB270" s="383"/>
      <c r="AC270" s="383"/>
      <c r="AD270" s="383"/>
      <c r="AE270" s="383"/>
      <c r="AF270" s="383"/>
      <c r="AG270" s="383"/>
      <c r="AH270" s="383"/>
      <c r="AI270" s="383"/>
      <c r="AJ270" s="383"/>
      <c r="AK270" s="383"/>
      <c r="AL270" s="383"/>
      <c r="AM270" s="383"/>
      <c r="AN270" s="383"/>
      <c r="AO270" s="383"/>
      <c r="AP270" s="383"/>
      <c r="AQ270" s="383"/>
      <c r="AR270" s="383"/>
    </row>
    <row r="271" spans="2:44" s="639" customFormat="1" ht="12" customHeight="1">
      <c r="B271" s="747"/>
      <c r="C271" s="708" t="s">
        <v>183</v>
      </c>
      <c r="D271" s="708" t="s">
        <v>1391</v>
      </c>
      <c r="E271" s="746" t="s">
        <v>184</v>
      </c>
      <c r="F271" s="746" t="s">
        <v>2786</v>
      </c>
      <c r="G271" s="744" t="s">
        <v>735</v>
      </c>
      <c r="H271" s="745" t="s">
        <v>442</v>
      </c>
      <c r="I271" s="1235" t="s">
        <v>2772</v>
      </c>
      <c r="J271" s="732" t="s">
        <v>1856</v>
      </c>
      <c r="K271" s="733"/>
      <c r="L271" s="730"/>
      <c r="M271" s="731"/>
      <c r="N271" s="1194" t="s">
        <v>3236</v>
      </c>
      <c r="O271" s="1194" t="s">
        <v>2382</v>
      </c>
      <c r="P271" s="348"/>
      <c r="Q271" s="1236"/>
      <c r="X271" s="383"/>
      <c r="Y271" s="383"/>
      <c r="Z271" s="383"/>
      <c r="AA271" s="383"/>
      <c r="AB271" s="383"/>
      <c r="AC271" s="383"/>
      <c r="AD271" s="383"/>
      <c r="AE271" s="383"/>
      <c r="AF271" s="383"/>
      <c r="AG271" s="383"/>
      <c r="AH271" s="383"/>
      <c r="AI271" s="383"/>
      <c r="AJ271" s="383"/>
      <c r="AK271" s="383"/>
      <c r="AL271" s="383"/>
      <c r="AM271" s="383"/>
      <c r="AN271" s="383"/>
      <c r="AO271" s="383"/>
      <c r="AP271" s="383"/>
      <c r="AQ271" s="383"/>
      <c r="AR271" s="383"/>
    </row>
    <row r="272" spans="2:44" s="639" customFormat="1" ht="12" customHeight="1">
      <c r="B272" s="747"/>
      <c r="C272" s="708" t="s">
        <v>1400</v>
      </c>
      <c r="D272" s="708" t="s">
        <v>1415</v>
      </c>
      <c r="E272" s="743" t="s">
        <v>185</v>
      </c>
      <c r="F272" s="743" t="s">
        <v>2786</v>
      </c>
      <c r="G272" s="744" t="s">
        <v>736</v>
      </c>
      <c r="H272" s="745" t="s">
        <v>442</v>
      </c>
      <c r="I272" s="1235" t="s">
        <v>2772</v>
      </c>
      <c r="J272" s="732" t="s">
        <v>1858</v>
      </c>
      <c r="K272" s="733"/>
      <c r="L272" s="730"/>
      <c r="M272" s="731"/>
      <c r="N272" s="1194" t="s">
        <v>1663</v>
      </c>
      <c r="O272" s="1194" t="s">
        <v>171</v>
      </c>
      <c r="P272" s="348"/>
      <c r="Q272" s="1236"/>
      <c r="X272" s="383"/>
      <c r="Y272" s="383"/>
      <c r="Z272" s="383"/>
      <c r="AA272" s="383"/>
      <c r="AB272" s="383"/>
      <c r="AC272" s="383"/>
      <c r="AD272" s="383"/>
      <c r="AE272" s="383"/>
      <c r="AF272" s="383"/>
      <c r="AG272" s="383"/>
      <c r="AH272" s="383"/>
      <c r="AI272" s="383"/>
      <c r="AJ272" s="383"/>
      <c r="AK272" s="383"/>
      <c r="AL272" s="383"/>
      <c r="AM272" s="383"/>
      <c r="AN272" s="383"/>
      <c r="AO272" s="383"/>
      <c r="AP272" s="383"/>
      <c r="AQ272" s="383"/>
      <c r="AR272" s="383"/>
    </row>
    <row r="273" spans="2:44" s="639" customFormat="1" ht="12" customHeight="1">
      <c r="B273" s="747"/>
      <c r="C273" s="708" t="s">
        <v>186</v>
      </c>
      <c r="D273" s="708" t="s">
        <v>1415</v>
      </c>
      <c r="E273" s="743" t="s">
        <v>2173</v>
      </c>
      <c r="F273" s="743" t="s">
        <v>2787</v>
      </c>
      <c r="G273" s="744" t="s">
        <v>656</v>
      </c>
      <c r="H273" s="745" t="s">
        <v>443</v>
      </c>
      <c r="I273" s="1235" t="s">
        <v>2772</v>
      </c>
      <c r="J273" s="732" t="s">
        <v>1860</v>
      </c>
      <c r="K273" s="733"/>
      <c r="L273" s="730"/>
      <c r="M273" s="731"/>
      <c r="N273" s="1194" t="s">
        <v>1665</v>
      </c>
      <c r="O273" s="1194" t="s">
        <v>1393</v>
      </c>
      <c r="P273" s="348"/>
      <c r="Q273" s="1236"/>
      <c r="X273" s="383"/>
      <c r="Y273" s="383"/>
      <c r="Z273" s="383"/>
      <c r="AA273" s="383"/>
      <c r="AB273" s="383"/>
      <c r="AC273" s="383"/>
      <c r="AD273" s="383"/>
      <c r="AE273" s="383"/>
      <c r="AF273" s="383"/>
      <c r="AG273" s="383"/>
      <c r="AH273" s="383"/>
      <c r="AI273" s="383"/>
      <c r="AJ273" s="383"/>
      <c r="AK273" s="383"/>
      <c r="AL273" s="383"/>
      <c r="AM273" s="383"/>
      <c r="AN273" s="383"/>
      <c r="AO273" s="383"/>
      <c r="AP273" s="383"/>
      <c r="AQ273" s="383"/>
      <c r="AR273" s="383"/>
    </row>
    <row r="274" spans="2:44" s="639" customFormat="1" ht="12" customHeight="1">
      <c r="B274" s="747"/>
      <c r="C274" s="708" t="s">
        <v>375</v>
      </c>
      <c r="D274" s="708" t="s">
        <v>1415</v>
      </c>
      <c r="E274" s="746" t="s">
        <v>168</v>
      </c>
      <c r="F274" s="746" t="s">
        <v>2787</v>
      </c>
      <c r="G274" s="744" t="s">
        <v>1792</v>
      </c>
      <c r="H274" s="745" t="s">
        <v>443</v>
      </c>
      <c r="I274" s="1235" t="s">
        <v>2772</v>
      </c>
      <c r="J274" s="732" t="s">
        <v>1079</v>
      </c>
      <c r="K274" s="733"/>
      <c r="L274" s="730"/>
      <c r="M274" s="731"/>
      <c r="N274" s="1194" t="s">
        <v>1667</v>
      </c>
      <c r="O274" s="1194" t="s">
        <v>186</v>
      </c>
      <c r="P274" s="348"/>
      <c r="Q274" s="1236"/>
      <c r="X274" s="383"/>
      <c r="Y274" s="383"/>
      <c r="Z274" s="383"/>
      <c r="AA274" s="383"/>
      <c r="AB274" s="383"/>
      <c r="AC274" s="383"/>
      <c r="AD274" s="383"/>
      <c r="AE274" s="383"/>
      <c r="AF274" s="383"/>
      <c r="AG274" s="383"/>
      <c r="AH274" s="383"/>
      <c r="AI274" s="383"/>
      <c r="AJ274" s="383"/>
      <c r="AK274" s="383"/>
      <c r="AL274" s="383"/>
      <c r="AM274" s="383"/>
      <c r="AN274" s="383"/>
      <c r="AO274" s="383"/>
      <c r="AP274" s="383"/>
      <c r="AQ274" s="383"/>
      <c r="AR274" s="383"/>
    </row>
    <row r="275" spans="2:44" s="639" customFormat="1" ht="12" customHeight="1">
      <c r="B275" s="747"/>
      <c r="C275" s="708" t="s">
        <v>2001</v>
      </c>
      <c r="D275" s="708" t="s">
        <v>1415</v>
      </c>
      <c r="E275" s="746" t="s">
        <v>810</v>
      </c>
      <c r="F275" s="746" t="s">
        <v>2787</v>
      </c>
      <c r="G275" s="744" t="s">
        <v>2771</v>
      </c>
      <c r="H275" s="745" t="s">
        <v>443</v>
      </c>
      <c r="I275" s="1235" t="s">
        <v>2772</v>
      </c>
      <c r="J275" s="732" t="s">
        <v>1080</v>
      </c>
      <c r="K275" s="733"/>
      <c r="L275" s="730"/>
      <c r="M275" s="731"/>
      <c r="N275" s="1194" t="s">
        <v>1857</v>
      </c>
      <c r="O275" s="1194" t="s">
        <v>700</v>
      </c>
      <c r="P275" s="348"/>
      <c r="Q275" s="1236"/>
      <c r="X275" s="383"/>
      <c r="Y275" s="383"/>
      <c r="Z275" s="383"/>
      <c r="AA275" s="383"/>
      <c r="AB275" s="383"/>
      <c r="AC275" s="383"/>
      <c r="AD275" s="383"/>
      <c r="AE275" s="383"/>
      <c r="AF275" s="383"/>
      <c r="AG275" s="383"/>
      <c r="AH275" s="383"/>
      <c r="AI275" s="383"/>
      <c r="AJ275" s="383"/>
      <c r="AK275" s="383"/>
      <c r="AL275" s="383"/>
      <c r="AM275" s="383"/>
      <c r="AN275" s="383"/>
      <c r="AO275" s="383"/>
      <c r="AP275" s="383"/>
      <c r="AQ275" s="383"/>
      <c r="AR275" s="383"/>
    </row>
    <row r="276" spans="2:44" s="639" customFormat="1" ht="12" customHeight="1">
      <c r="B276" s="747"/>
      <c r="C276" s="708" t="s">
        <v>2002</v>
      </c>
      <c r="D276" s="708" t="s">
        <v>1282</v>
      </c>
      <c r="E276" s="743" t="s">
        <v>12</v>
      </c>
      <c r="F276" s="743" t="s">
        <v>2787</v>
      </c>
      <c r="G276" s="744" t="s">
        <v>2754</v>
      </c>
      <c r="H276" s="745" t="s">
        <v>443</v>
      </c>
      <c r="I276" s="1235" t="s">
        <v>2772</v>
      </c>
      <c r="J276" s="732" t="s">
        <v>249</v>
      </c>
      <c r="K276" s="733"/>
      <c r="L276" s="730"/>
      <c r="M276" s="731"/>
      <c r="N276" s="1194" t="s">
        <v>1859</v>
      </c>
      <c r="O276" s="1194" t="s">
        <v>777</v>
      </c>
      <c r="P276" s="348"/>
      <c r="Q276" s="1236"/>
      <c r="X276" s="383"/>
      <c r="Y276" s="383"/>
      <c r="Z276" s="383"/>
      <c r="AA276" s="383"/>
      <c r="AB276" s="383"/>
      <c r="AC276" s="383"/>
      <c r="AD276" s="383"/>
      <c r="AE276" s="383"/>
      <c r="AF276" s="383"/>
      <c r="AG276" s="383"/>
      <c r="AH276" s="383"/>
      <c r="AI276" s="383"/>
      <c r="AJ276" s="383"/>
      <c r="AK276" s="383"/>
      <c r="AL276" s="383"/>
      <c r="AM276" s="383"/>
      <c r="AN276" s="383"/>
      <c r="AO276" s="383"/>
      <c r="AP276" s="383"/>
      <c r="AQ276" s="383"/>
      <c r="AR276" s="383"/>
    </row>
    <row r="277" spans="2:44" s="639" customFormat="1" ht="12" customHeight="1">
      <c r="B277" s="747"/>
      <c r="C277" s="708" t="s">
        <v>2003</v>
      </c>
      <c r="D277" s="708" t="s">
        <v>1415</v>
      </c>
      <c r="E277" s="746" t="s">
        <v>814</v>
      </c>
      <c r="F277" s="746" t="s">
        <v>2787</v>
      </c>
      <c r="G277" s="744" t="s">
        <v>737</v>
      </c>
      <c r="H277" s="745" t="s">
        <v>443</v>
      </c>
      <c r="I277" s="1235" t="s">
        <v>2772</v>
      </c>
      <c r="J277" s="732" t="s">
        <v>251</v>
      </c>
      <c r="K277" s="733"/>
      <c r="L277" s="730"/>
      <c r="M277" s="731"/>
      <c r="N277" s="1194" t="s">
        <v>1078</v>
      </c>
      <c r="O277" s="1194" t="s">
        <v>1394</v>
      </c>
      <c r="P277" s="348"/>
      <c r="Q277" s="1236"/>
      <c r="X277" s="383"/>
      <c r="Y277" s="383"/>
      <c r="Z277" s="383"/>
      <c r="AA277" s="383"/>
      <c r="AB277" s="383"/>
      <c r="AC277" s="383"/>
      <c r="AD277" s="383"/>
      <c r="AE277" s="383"/>
      <c r="AF277" s="383"/>
      <c r="AG277" s="383"/>
      <c r="AH277" s="383"/>
      <c r="AI277" s="383"/>
      <c r="AJ277" s="383"/>
      <c r="AK277" s="383"/>
      <c r="AL277" s="383"/>
      <c r="AM277" s="383"/>
      <c r="AN277" s="383"/>
      <c r="AO277" s="383"/>
      <c r="AP277" s="383"/>
      <c r="AQ277" s="383"/>
      <c r="AR277" s="383"/>
    </row>
    <row r="278" spans="2:44" s="639" customFormat="1" ht="12" customHeight="1">
      <c r="B278" s="747"/>
      <c r="C278" s="708" t="s">
        <v>1733</v>
      </c>
      <c r="D278" s="708" t="s">
        <v>1282</v>
      </c>
      <c r="E278" s="743" t="s">
        <v>1734</v>
      </c>
      <c r="F278" s="743" t="s">
        <v>2786</v>
      </c>
      <c r="G278" s="744" t="s">
        <v>738</v>
      </c>
      <c r="H278" s="745" t="s">
        <v>442</v>
      </c>
      <c r="I278" s="1235" t="s">
        <v>2772</v>
      </c>
      <c r="J278" s="732" t="s">
        <v>1337</v>
      </c>
      <c r="K278" s="733"/>
      <c r="L278" s="730"/>
      <c r="M278" s="731"/>
      <c r="N278" s="1194" t="s">
        <v>1081</v>
      </c>
      <c r="O278" s="1194" t="s">
        <v>698</v>
      </c>
      <c r="P278" s="348"/>
      <c r="Q278" s="1236"/>
      <c r="X278" s="383"/>
      <c r="Y278" s="383"/>
      <c r="Z278" s="383"/>
      <c r="AA278" s="383"/>
      <c r="AB278" s="383"/>
      <c r="AC278" s="383"/>
      <c r="AD278" s="383"/>
      <c r="AE278" s="383"/>
      <c r="AF278" s="383"/>
      <c r="AG278" s="383"/>
      <c r="AH278" s="383"/>
      <c r="AI278" s="383"/>
      <c r="AJ278" s="383"/>
      <c r="AK278" s="383"/>
      <c r="AL278" s="383"/>
      <c r="AM278" s="383"/>
      <c r="AN278" s="383"/>
      <c r="AO278" s="383"/>
      <c r="AP278" s="383"/>
      <c r="AQ278" s="383"/>
      <c r="AR278" s="383"/>
    </row>
    <row r="279" spans="2:44" s="639" customFormat="1" ht="12" customHeight="1">
      <c r="B279" s="747"/>
      <c r="C279" s="708" t="s">
        <v>1735</v>
      </c>
      <c r="D279" s="708" t="s">
        <v>1282</v>
      </c>
      <c r="E279" s="743" t="s">
        <v>1736</v>
      </c>
      <c r="F279" s="743" t="s">
        <v>2786</v>
      </c>
      <c r="G279" s="744" t="s">
        <v>739</v>
      </c>
      <c r="H279" s="745" t="s">
        <v>442</v>
      </c>
      <c r="I279" s="1235" t="s">
        <v>2772</v>
      </c>
      <c r="J279" s="732" t="s">
        <v>2189</v>
      </c>
      <c r="K279" s="733"/>
      <c r="L279" s="730"/>
      <c r="M279" s="731"/>
      <c r="N279" s="1194" t="s">
        <v>250</v>
      </c>
      <c r="O279" s="1194" t="s">
        <v>2693</v>
      </c>
      <c r="P279" s="348"/>
      <c r="Q279" s="1236"/>
      <c r="X279" s="383"/>
      <c r="Y279" s="383"/>
      <c r="Z279" s="383"/>
      <c r="AA279" s="383"/>
      <c r="AB279" s="383"/>
      <c r="AC279" s="383"/>
      <c r="AD279" s="383"/>
      <c r="AE279" s="383"/>
      <c r="AF279" s="383"/>
      <c r="AG279" s="383"/>
      <c r="AH279" s="383"/>
      <c r="AI279" s="383"/>
      <c r="AJ279" s="383"/>
      <c r="AK279" s="383"/>
      <c r="AL279" s="383"/>
      <c r="AM279" s="383"/>
      <c r="AN279" s="383"/>
      <c r="AO279" s="383"/>
      <c r="AP279" s="383"/>
      <c r="AQ279" s="383"/>
      <c r="AR279" s="383"/>
    </row>
    <row r="280" spans="2:44" s="639" customFormat="1" ht="12" customHeight="1">
      <c r="B280" s="747"/>
      <c r="C280" s="708" t="s">
        <v>1737</v>
      </c>
      <c r="D280" s="708" t="s">
        <v>1415</v>
      </c>
      <c r="E280" s="746" t="s">
        <v>2172</v>
      </c>
      <c r="F280" s="746" t="s">
        <v>2787</v>
      </c>
      <c r="G280" s="744" t="s">
        <v>740</v>
      </c>
      <c r="H280" s="745" t="s">
        <v>443</v>
      </c>
      <c r="I280" s="1235" t="s">
        <v>2772</v>
      </c>
      <c r="J280" s="732" t="s">
        <v>2191</v>
      </c>
      <c r="K280" s="733"/>
      <c r="L280" s="730"/>
      <c r="M280" s="731"/>
      <c r="N280" s="1194" t="s">
        <v>3237</v>
      </c>
      <c r="O280" s="1194" t="s">
        <v>923</v>
      </c>
      <c r="P280" s="348"/>
      <c r="Q280" s="1236"/>
      <c r="X280" s="383"/>
      <c r="Y280" s="383"/>
      <c r="Z280" s="383"/>
      <c r="AA280" s="383"/>
      <c r="AB280" s="383"/>
      <c r="AC280" s="383"/>
      <c r="AD280" s="383"/>
      <c r="AE280" s="383"/>
      <c r="AF280" s="383"/>
      <c r="AG280" s="383"/>
      <c r="AH280" s="383"/>
      <c r="AI280" s="383"/>
      <c r="AJ280" s="383"/>
      <c r="AK280" s="383"/>
      <c r="AL280" s="383"/>
      <c r="AM280" s="383"/>
      <c r="AN280" s="383"/>
      <c r="AO280" s="383"/>
      <c r="AP280" s="383"/>
      <c r="AQ280" s="383"/>
      <c r="AR280" s="383"/>
    </row>
    <row r="281" spans="2:44" s="639" customFormat="1" ht="12" customHeight="1">
      <c r="B281" s="747"/>
      <c r="C281" s="708" t="s">
        <v>191</v>
      </c>
      <c r="D281" s="708" t="s">
        <v>1282</v>
      </c>
      <c r="E281" s="743" t="s">
        <v>192</v>
      </c>
      <c r="F281" s="743" t="s">
        <v>2786</v>
      </c>
      <c r="G281" s="744" t="s">
        <v>741</v>
      </c>
      <c r="H281" s="745" t="s">
        <v>442</v>
      </c>
      <c r="I281" s="1235" t="s">
        <v>2772</v>
      </c>
      <c r="J281" s="732" t="s">
        <v>2193</v>
      </c>
      <c r="K281" s="733"/>
      <c r="L281" s="730"/>
      <c r="M281" s="731"/>
      <c r="N281" s="708" t="s">
        <v>1872</v>
      </c>
      <c r="O281" s="708" t="s">
        <v>1156</v>
      </c>
      <c r="P281" s="1238"/>
      <c r="Q281" s="1236"/>
      <c r="X281" s="383"/>
      <c r="Y281" s="383"/>
      <c r="Z281" s="383"/>
      <c r="AA281" s="383"/>
      <c r="AB281" s="383"/>
      <c r="AC281" s="383"/>
      <c r="AD281" s="383"/>
      <c r="AE281" s="383"/>
      <c r="AF281" s="383"/>
      <c r="AG281" s="383"/>
      <c r="AH281" s="383"/>
      <c r="AI281" s="383"/>
      <c r="AJ281" s="383"/>
      <c r="AK281" s="383"/>
      <c r="AL281" s="383"/>
      <c r="AM281" s="383"/>
      <c r="AN281" s="383"/>
      <c r="AO281" s="383"/>
      <c r="AP281" s="383"/>
      <c r="AQ281" s="383"/>
      <c r="AR281" s="383"/>
    </row>
    <row r="282" spans="2:44" s="639" customFormat="1" ht="12" customHeight="1">
      <c r="B282" s="747"/>
      <c r="C282" s="708" t="s">
        <v>2757</v>
      </c>
      <c r="D282" s="708" t="s">
        <v>1415</v>
      </c>
      <c r="E282" s="746" t="s">
        <v>2758</v>
      </c>
      <c r="F282" s="746" t="s">
        <v>2786</v>
      </c>
      <c r="G282" s="744" t="s">
        <v>742</v>
      </c>
      <c r="H282" s="745" t="s">
        <v>442</v>
      </c>
      <c r="I282" s="1235" t="s">
        <v>2772</v>
      </c>
      <c r="J282" s="732" t="s">
        <v>2195</v>
      </c>
      <c r="K282" s="733"/>
      <c r="L282" s="730"/>
      <c r="M282" s="731"/>
      <c r="N282" s="1194" t="s">
        <v>2190</v>
      </c>
      <c r="O282" s="1194" t="s">
        <v>338</v>
      </c>
      <c r="P282" s="348"/>
      <c r="Q282" s="1236"/>
      <c r="X282" s="383"/>
      <c r="Y282" s="383"/>
      <c r="Z282" s="383"/>
      <c r="AA282" s="383"/>
      <c r="AB282" s="383"/>
      <c r="AC282" s="383"/>
      <c r="AD282" s="383"/>
      <c r="AE282" s="383"/>
      <c r="AF282" s="383"/>
      <c r="AG282" s="383"/>
      <c r="AH282" s="383"/>
      <c r="AI282" s="383"/>
      <c r="AJ282" s="383"/>
      <c r="AK282" s="383"/>
      <c r="AL282" s="383"/>
      <c r="AM282" s="383"/>
      <c r="AN282" s="383"/>
      <c r="AO282" s="383"/>
      <c r="AP282" s="383"/>
      <c r="AQ282" s="383"/>
      <c r="AR282" s="383"/>
    </row>
    <row r="283" spans="2:44" s="639" customFormat="1" ht="12" customHeight="1">
      <c r="B283" s="747"/>
      <c r="C283" s="708" t="s">
        <v>2759</v>
      </c>
      <c r="D283" s="708" t="s">
        <v>1391</v>
      </c>
      <c r="E283" s="743" t="s">
        <v>2760</v>
      </c>
      <c r="F283" s="743" t="s">
        <v>2787</v>
      </c>
      <c r="G283" s="744" t="s">
        <v>2078</v>
      </c>
      <c r="H283" s="745" t="s">
        <v>443</v>
      </c>
      <c r="I283" s="1235" t="s">
        <v>2772</v>
      </c>
      <c r="J283" s="732" t="s">
        <v>2197</v>
      </c>
      <c r="K283" s="733"/>
      <c r="L283" s="730"/>
      <c r="M283" s="731"/>
      <c r="N283" s="1194" t="s">
        <v>2192</v>
      </c>
      <c r="O283" s="1194" t="s">
        <v>336</v>
      </c>
      <c r="P283" s="348"/>
      <c r="Q283" s="1236"/>
      <c r="X283" s="383"/>
      <c r="Y283" s="383"/>
      <c r="Z283" s="383"/>
      <c r="AA283" s="383"/>
      <c r="AB283" s="383"/>
      <c r="AC283" s="383"/>
      <c r="AD283" s="383"/>
      <c r="AE283" s="383"/>
      <c r="AF283" s="383"/>
      <c r="AG283" s="383"/>
      <c r="AH283" s="383"/>
      <c r="AI283" s="383"/>
      <c r="AJ283" s="383"/>
      <c r="AK283" s="383"/>
      <c r="AL283" s="383"/>
      <c r="AM283" s="383"/>
      <c r="AN283" s="383"/>
      <c r="AO283" s="383"/>
      <c r="AP283" s="383"/>
      <c r="AQ283" s="383"/>
      <c r="AR283" s="383"/>
    </row>
    <row r="284" spans="2:44" s="639" customFormat="1" ht="12" customHeight="1">
      <c r="B284" s="747"/>
      <c r="C284" s="708" t="s">
        <v>2761</v>
      </c>
      <c r="D284" s="708" t="s">
        <v>1415</v>
      </c>
      <c r="E284" s="746" t="s">
        <v>168</v>
      </c>
      <c r="F284" s="746" t="s">
        <v>2787</v>
      </c>
      <c r="G284" s="744" t="s">
        <v>1792</v>
      </c>
      <c r="H284" s="745" t="s">
        <v>443</v>
      </c>
      <c r="I284" s="1235" t="s">
        <v>1262</v>
      </c>
      <c r="J284" s="732" t="s">
        <v>2199</v>
      </c>
      <c r="K284" s="733"/>
      <c r="L284" s="730"/>
      <c r="M284" s="731"/>
      <c r="N284" s="1194" t="s">
        <v>2194</v>
      </c>
      <c r="O284" s="1194" t="s">
        <v>664</v>
      </c>
      <c r="P284" s="348"/>
      <c r="Q284" s="1236"/>
      <c r="X284" s="383"/>
      <c r="Y284" s="383"/>
      <c r="Z284" s="383"/>
      <c r="AA284" s="383"/>
      <c r="AB284" s="383"/>
      <c r="AC284" s="383"/>
      <c r="AD284" s="383"/>
      <c r="AE284" s="383"/>
      <c r="AF284" s="383"/>
      <c r="AG284" s="383"/>
      <c r="AH284" s="383"/>
      <c r="AI284" s="383"/>
      <c r="AJ284" s="383"/>
      <c r="AK284" s="383"/>
      <c r="AL284" s="383"/>
      <c r="AM284" s="383"/>
      <c r="AN284" s="383"/>
      <c r="AO284" s="383"/>
      <c r="AP284" s="383"/>
      <c r="AQ284" s="383"/>
      <c r="AR284" s="383"/>
    </row>
    <row r="285" spans="2:44" s="639" customFormat="1" ht="12" customHeight="1">
      <c r="B285" s="747"/>
      <c r="C285" s="708" t="s">
        <v>2762</v>
      </c>
      <c r="D285" s="708" t="s">
        <v>1415</v>
      </c>
      <c r="E285" s="746" t="s">
        <v>809</v>
      </c>
      <c r="F285" s="746" t="s">
        <v>2787</v>
      </c>
      <c r="G285" s="744" t="s">
        <v>2749</v>
      </c>
      <c r="H285" s="745" t="s">
        <v>443</v>
      </c>
      <c r="I285" s="1234" t="s">
        <v>1262</v>
      </c>
      <c r="J285" s="732" t="s">
        <v>715</v>
      </c>
      <c r="K285" s="733"/>
      <c r="L285" s="730"/>
      <c r="M285" s="731"/>
      <c r="N285" s="1194" t="s">
        <v>2196</v>
      </c>
      <c r="O285" s="1194" t="s">
        <v>2759</v>
      </c>
      <c r="P285" s="348"/>
      <c r="Q285" s="1236"/>
      <c r="X285" s="383"/>
      <c r="Y285" s="383"/>
      <c r="Z285" s="383"/>
      <c r="AA285" s="383"/>
      <c r="AB285" s="383"/>
      <c r="AC285" s="383"/>
      <c r="AD285" s="383"/>
      <c r="AE285" s="383"/>
      <c r="AF285" s="383"/>
      <c r="AG285" s="383"/>
      <c r="AH285" s="383"/>
      <c r="AI285" s="383"/>
      <c r="AJ285" s="383"/>
      <c r="AK285" s="383"/>
      <c r="AL285" s="383"/>
      <c r="AM285" s="383"/>
      <c r="AN285" s="383"/>
      <c r="AO285" s="383"/>
      <c r="AP285" s="383"/>
      <c r="AQ285" s="383"/>
      <c r="AR285" s="383"/>
    </row>
    <row r="286" spans="2:44" s="639" customFormat="1" ht="12" customHeight="1">
      <c r="B286" s="747"/>
      <c r="C286" s="708" t="s">
        <v>2763</v>
      </c>
      <c r="D286" s="708" t="s">
        <v>1415</v>
      </c>
      <c r="E286" s="743" t="s">
        <v>2173</v>
      </c>
      <c r="F286" s="743" t="s">
        <v>2787</v>
      </c>
      <c r="G286" s="744" t="s">
        <v>656</v>
      </c>
      <c r="H286" s="745" t="s">
        <v>443</v>
      </c>
      <c r="I286" s="1235" t="s">
        <v>2772</v>
      </c>
      <c r="J286" s="732" t="s">
        <v>2470</v>
      </c>
      <c r="K286" s="733"/>
      <c r="L286" s="730"/>
      <c r="M286" s="731"/>
      <c r="N286" s="1194" t="s">
        <v>729</v>
      </c>
      <c r="O286" s="1194" t="s">
        <v>1277</v>
      </c>
      <c r="P286" s="348"/>
      <c r="Q286" s="1236"/>
      <c r="X286" s="383"/>
      <c r="Y286" s="383"/>
      <c r="Z286" s="383"/>
      <c r="AA286" s="383"/>
      <c r="AB286" s="383"/>
      <c r="AC286" s="383"/>
      <c r="AD286" s="383"/>
      <c r="AE286" s="383"/>
      <c r="AF286" s="383"/>
      <c r="AG286" s="383"/>
      <c r="AH286" s="383"/>
      <c r="AI286" s="383"/>
      <c r="AJ286" s="383"/>
      <c r="AK286" s="383"/>
      <c r="AL286" s="383"/>
      <c r="AM286" s="383"/>
      <c r="AN286" s="383"/>
      <c r="AO286" s="383"/>
      <c r="AP286" s="383"/>
      <c r="AQ286" s="383"/>
      <c r="AR286" s="383"/>
    </row>
    <row r="287" spans="2:44" s="639" customFormat="1" ht="12" customHeight="1">
      <c r="B287" s="747"/>
      <c r="C287" s="708" t="s">
        <v>2764</v>
      </c>
      <c r="D287" s="708" t="s">
        <v>1415</v>
      </c>
      <c r="E287" s="743" t="s">
        <v>2173</v>
      </c>
      <c r="F287" s="743" t="s">
        <v>2787</v>
      </c>
      <c r="G287" s="744" t="s">
        <v>656</v>
      </c>
      <c r="H287" s="745" t="s">
        <v>443</v>
      </c>
      <c r="I287" s="1235" t="s">
        <v>2772</v>
      </c>
      <c r="J287" s="732" t="s">
        <v>2471</v>
      </c>
      <c r="K287" s="733"/>
      <c r="L287" s="730"/>
      <c r="M287" s="731"/>
      <c r="N287" s="1194" t="s">
        <v>2738</v>
      </c>
      <c r="O287" s="1194" t="s">
        <v>2135</v>
      </c>
      <c r="P287" s="348"/>
      <c r="Q287" s="1236"/>
      <c r="X287" s="383"/>
      <c r="Y287" s="383"/>
      <c r="Z287" s="383"/>
      <c r="AA287" s="383"/>
      <c r="AB287" s="383"/>
      <c r="AC287" s="383"/>
      <c r="AD287" s="383"/>
      <c r="AE287" s="383"/>
      <c r="AF287" s="383"/>
      <c r="AG287" s="383"/>
      <c r="AH287" s="383"/>
      <c r="AI287" s="383"/>
      <c r="AJ287" s="383"/>
      <c r="AK287" s="383"/>
      <c r="AL287" s="383"/>
      <c r="AM287" s="383"/>
      <c r="AN287" s="383"/>
      <c r="AO287" s="383"/>
      <c r="AP287" s="383"/>
      <c r="AQ287" s="383"/>
      <c r="AR287" s="383"/>
    </row>
    <row r="288" spans="2:44" s="639" customFormat="1" ht="12" customHeight="1">
      <c r="B288" s="747"/>
      <c r="C288" s="708" t="s">
        <v>2765</v>
      </c>
      <c r="D288" s="708" t="s">
        <v>1391</v>
      </c>
      <c r="E288" s="746" t="s">
        <v>809</v>
      </c>
      <c r="F288" s="746" t="s">
        <v>2787</v>
      </c>
      <c r="G288" s="744" t="s">
        <v>2749</v>
      </c>
      <c r="H288" s="745" t="s">
        <v>443</v>
      </c>
      <c r="I288" s="1234" t="s">
        <v>1262</v>
      </c>
      <c r="J288" s="732" t="s">
        <v>1318</v>
      </c>
      <c r="K288" s="733"/>
      <c r="L288" s="730"/>
      <c r="M288" s="731"/>
      <c r="N288" s="1194" t="s">
        <v>2198</v>
      </c>
      <c r="O288" s="1194" t="s">
        <v>207</v>
      </c>
      <c r="P288" s="348"/>
      <c r="Q288" s="1236"/>
      <c r="X288" s="383"/>
      <c r="Y288" s="383"/>
      <c r="Z288" s="383"/>
      <c r="AA288" s="383"/>
      <c r="AB288" s="383"/>
      <c r="AC288" s="383"/>
      <c r="AD288" s="383"/>
      <c r="AE288" s="383"/>
      <c r="AF288" s="383"/>
      <c r="AG288" s="383"/>
      <c r="AH288" s="383"/>
      <c r="AI288" s="383"/>
      <c r="AJ288" s="383"/>
      <c r="AK288" s="383"/>
      <c r="AL288" s="383"/>
      <c r="AM288" s="383"/>
      <c r="AN288" s="383"/>
      <c r="AO288" s="383"/>
      <c r="AP288" s="383"/>
      <c r="AQ288" s="383"/>
      <c r="AR288" s="383"/>
    </row>
    <row r="289" spans="2:44" s="639" customFormat="1" ht="12" customHeight="1">
      <c r="B289" s="747"/>
      <c r="C289" s="708" t="s">
        <v>1150</v>
      </c>
      <c r="D289" s="708" t="s">
        <v>1415</v>
      </c>
      <c r="E289" s="746" t="s">
        <v>1151</v>
      </c>
      <c r="F289" s="746" t="s">
        <v>2786</v>
      </c>
      <c r="G289" s="744" t="s">
        <v>2079</v>
      </c>
      <c r="H289" s="745" t="s">
        <v>442</v>
      </c>
      <c r="I289" s="1235" t="s">
        <v>2772</v>
      </c>
      <c r="J289" s="732" t="s">
        <v>1320</v>
      </c>
      <c r="K289" s="733"/>
      <c r="L289" s="730"/>
      <c r="M289" s="731"/>
      <c r="N289" s="1194" t="s">
        <v>3238</v>
      </c>
      <c r="O289" s="1194" t="s">
        <v>702</v>
      </c>
      <c r="P289" s="348"/>
      <c r="Q289" s="1236"/>
      <c r="X289" s="383"/>
      <c r="Y289" s="383"/>
      <c r="Z289" s="383"/>
      <c r="AA289" s="383"/>
      <c r="AB289" s="383"/>
      <c r="AC289" s="383"/>
      <c r="AD289" s="383"/>
      <c r="AE289" s="383"/>
      <c r="AF289" s="383"/>
      <c r="AG289" s="383"/>
      <c r="AH289" s="383"/>
      <c r="AI289" s="383"/>
      <c r="AJ289" s="383"/>
      <c r="AK289" s="383"/>
      <c r="AL289" s="383"/>
      <c r="AM289" s="383"/>
      <c r="AN289" s="383"/>
      <c r="AO289" s="383"/>
      <c r="AP289" s="383"/>
      <c r="AQ289" s="383"/>
      <c r="AR289" s="383"/>
    </row>
    <row r="290" spans="2:44" s="639" customFormat="1" ht="12" customHeight="1">
      <c r="B290" s="747"/>
      <c r="C290" s="708" t="s">
        <v>1152</v>
      </c>
      <c r="D290" s="708" t="s">
        <v>1391</v>
      </c>
      <c r="E290" s="746" t="s">
        <v>809</v>
      </c>
      <c r="F290" s="746" t="s">
        <v>2787</v>
      </c>
      <c r="G290" s="744" t="s">
        <v>2749</v>
      </c>
      <c r="H290" s="745" t="s">
        <v>443</v>
      </c>
      <c r="I290" s="1234" t="s">
        <v>1262</v>
      </c>
      <c r="J290" s="732" t="s">
        <v>1322</v>
      </c>
      <c r="K290" s="733"/>
      <c r="L290" s="730"/>
      <c r="M290" s="731"/>
      <c r="N290" s="1194" t="s">
        <v>2200</v>
      </c>
      <c r="O290" s="1194" t="s">
        <v>207</v>
      </c>
      <c r="P290" s="348"/>
      <c r="Q290" s="1236"/>
      <c r="X290" s="383"/>
      <c r="Y290" s="383"/>
      <c r="Z290" s="383"/>
      <c r="AA290" s="383"/>
      <c r="AB290" s="383"/>
      <c r="AC290" s="383"/>
      <c r="AD290" s="383"/>
      <c r="AE290" s="383"/>
      <c r="AF290" s="383"/>
      <c r="AG290" s="383"/>
      <c r="AH290" s="383"/>
      <c r="AI290" s="383"/>
      <c r="AJ290" s="383"/>
      <c r="AK290" s="383"/>
      <c r="AL290" s="383"/>
      <c r="AM290" s="383"/>
      <c r="AN290" s="383"/>
      <c r="AO290" s="383"/>
      <c r="AP290" s="383"/>
      <c r="AQ290" s="383"/>
      <c r="AR290" s="383"/>
    </row>
    <row r="291" spans="2:44" s="639" customFormat="1" ht="12" customHeight="1">
      <c r="B291" s="747"/>
      <c r="C291" s="708" t="s">
        <v>1153</v>
      </c>
      <c r="D291" s="708" t="s">
        <v>1282</v>
      </c>
      <c r="E291" s="743" t="s">
        <v>1154</v>
      </c>
      <c r="F291" s="743" t="s">
        <v>2786</v>
      </c>
      <c r="G291" s="744" t="s">
        <v>2080</v>
      </c>
      <c r="H291" s="745" t="s">
        <v>442</v>
      </c>
      <c r="I291" s="1235" t="s">
        <v>2772</v>
      </c>
      <c r="J291" s="732" t="s">
        <v>1323</v>
      </c>
      <c r="K291" s="733"/>
      <c r="L291" s="730"/>
      <c r="M291" s="731"/>
      <c r="N291" s="1194" t="s">
        <v>716</v>
      </c>
      <c r="O291" s="1194" t="s">
        <v>2135</v>
      </c>
      <c r="P291" s="348"/>
      <c r="Q291" s="1236"/>
      <c r="X291" s="383"/>
      <c r="Y291" s="383"/>
      <c r="Z291" s="383"/>
      <c r="AA291" s="383"/>
      <c r="AB291" s="383"/>
      <c r="AC291" s="383"/>
      <c r="AD291" s="383"/>
      <c r="AE291" s="383"/>
      <c r="AF291" s="383"/>
      <c r="AG291" s="383"/>
      <c r="AH291" s="383"/>
      <c r="AI291" s="383"/>
      <c r="AJ291" s="383"/>
      <c r="AK291" s="383"/>
      <c r="AL291" s="383"/>
      <c r="AM291" s="383"/>
      <c r="AN291" s="383"/>
      <c r="AO291" s="383"/>
      <c r="AP291" s="383"/>
      <c r="AQ291" s="383"/>
      <c r="AR291" s="383"/>
    </row>
    <row r="292" spans="2:44" s="639" customFormat="1" ht="12" customHeight="1">
      <c r="B292" s="747"/>
      <c r="C292" s="708" t="s">
        <v>1155</v>
      </c>
      <c r="D292" s="708" t="s">
        <v>1415</v>
      </c>
      <c r="E292" s="746" t="s">
        <v>809</v>
      </c>
      <c r="F292" s="746" t="s">
        <v>2787</v>
      </c>
      <c r="G292" s="744" t="s">
        <v>2749</v>
      </c>
      <c r="H292" s="745" t="s">
        <v>443</v>
      </c>
      <c r="I292" s="1234" t="s">
        <v>1262</v>
      </c>
      <c r="J292" s="732" t="s">
        <v>1325</v>
      </c>
      <c r="K292" s="733"/>
      <c r="L292" s="730"/>
      <c r="M292" s="731"/>
      <c r="N292" s="1194" t="s">
        <v>2472</v>
      </c>
      <c r="O292" s="1194" t="s">
        <v>125</v>
      </c>
      <c r="P292" s="348"/>
      <c r="Q292" s="383"/>
      <c r="X292" s="383"/>
      <c r="Y292" s="383"/>
      <c r="Z292" s="383"/>
      <c r="AA292" s="383"/>
      <c r="AB292" s="383"/>
      <c r="AC292" s="383"/>
      <c r="AD292" s="383"/>
      <c r="AE292" s="383"/>
      <c r="AF292" s="383"/>
      <c r="AG292" s="383"/>
      <c r="AH292" s="383"/>
      <c r="AI292" s="383"/>
      <c r="AJ292" s="383"/>
      <c r="AK292" s="383"/>
      <c r="AL292" s="383"/>
      <c r="AM292" s="383"/>
      <c r="AN292" s="383"/>
      <c r="AO292" s="383"/>
      <c r="AP292" s="383"/>
      <c r="AQ292" s="383"/>
      <c r="AR292" s="383"/>
    </row>
    <row r="293" spans="2:44" s="639" customFormat="1" ht="12" customHeight="1">
      <c r="B293" s="747"/>
      <c r="C293" s="708" t="s">
        <v>1156</v>
      </c>
      <c r="D293" s="708" t="s">
        <v>1391</v>
      </c>
      <c r="E293" s="743" t="s">
        <v>1157</v>
      </c>
      <c r="F293" s="743" t="s">
        <v>2786</v>
      </c>
      <c r="G293" s="744" t="s">
        <v>2081</v>
      </c>
      <c r="H293" s="745" t="s">
        <v>442</v>
      </c>
      <c r="I293" s="1235" t="s">
        <v>2772</v>
      </c>
      <c r="J293" s="732" t="s">
        <v>2653</v>
      </c>
      <c r="K293" s="733"/>
      <c r="L293" s="730"/>
      <c r="M293" s="731"/>
      <c r="N293" s="1194" t="s">
        <v>1319</v>
      </c>
      <c r="O293" s="1194" t="s">
        <v>664</v>
      </c>
      <c r="P293" s="348"/>
      <c r="Q293" s="1236"/>
      <c r="X293" s="383"/>
      <c r="Y293" s="383"/>
      <c r="Z293" s="383"/>
      <c r="AA293" s="383"/>
      <c r="AB293" s="383"/>
      <c r="AC293" s="383"/>
      <c r="AD293" s="383"/>
      <c r="AE293" s="383"/>
      <c r="AF293" s="383"/>
      <c r="AG293" s="383"/>
      <c r="AH293" s="383"/>
      <c r="AI293" s="383"/>
      <c r="AJ293" s="383"/>
      <c r="AK293" s="383"/>
      <c r="AL293" s="383"/>
      <c r="AM293" s="383"/>
      <c r="AN293" s="383"/>
      <c r="AO293" s="383"/>
      <c r="AP293" s="383"/>
      <c r="AQ293" s="383"/>
      <c r="AR293" s="383"/>
    </row>
    <row r="294" spans="2:44" s="639" customFormat="1" ht="12" customHeight="1">
      <c r="B294" s="747"/>
      <c r="C294" s="708" t="s">
        <v>1158</v>
      </c>
      <c r="D294" s="708" t="s">
        <v>1282</v>
      </c>
      <c r="E294" s="746" t="s">
        <v>1159</v>
      </c>
      <c r="F294" s="746" t="s">
        <v>2786</v>
      </c>
      <c r="G294" s="744" t="s">
        <v>2082</v>
      </c>
      <c r="H294" s="745" t="s">
        <v>442</v>
      </c>
      <c r="I294" s="1235" t="s">
        <v>2772</v>
      </c>
      <c r="J294" s="732" t="s">
        <v>85</v>
      </c>
      <c r="K294" s="733"/>
      <c r="L294" s="730"/>
      <c r="M294" s="731"/>
      <c r="N294" s="1194" t="s">
        <v>1321</v>
      </c>
      <c r="O294" s="1194" t="s">
        <v>2384</v>
      </c>
      <c r="P294" s="348"/>
      <c r="Q294" s="1236"/>
      <c r="X294" s="383"/>
      <c r="Y294" s="383"/>
      <c r="Z294" s="383"/>
      <c r="AA294" s="383"/>
      <c r="AB294" s="383"/>
      <c r="AC294" s="383"/>
      <c r="AD294" s="383"/>
      <c r="AE294" s="383"/>
      <c r="AF294" s="383"/>
      <c r="AG294" s="383"/>
      <c r="AH294" s="383"/>
      <c r="AI294" s="383"/>
      <c r="AJ294" s="383"/>
      <c r="AK294" s="383"/>
      <c r="AL294" s="383"/>
      <c r="AM294" s="383"/>
      <c r="AN294" s="383"/>
      <c r="AO294" s="383"/>
      <c r="AP294" s="383"/>
      <c r="AQ294" s="383"/>
      <c r="AR294" s="383"/>
    </row>
    <row r="295" spans="2:44" s="639" customFormat="1" ht="12" customHeight="1">
      <c r="B295" s="747"/>
      <c r="C295" s="708" t="s">
        <v>1160</v>
      </c>
      <c r="D295" s="708" t="s">
        <v>1415</v>
      </c>
      <c r="E295" s="746" t="s">
        <v>1161</v>
      </c>
      <c r="F295" s="746" t="s">
        <v>2786</v>
      </c>
      <c r="G295" s="744" t="s">
        <v>2083</v>
      </c>
      <c r="H295" s="745" t="s">
        <v>442</v>
      </c>
      <c r="I295" s="1235" t="s">
        <v>2772</v>
      </c>
      <c r="J295" s="732" t="s">
        <v>86</v>
      </c>
      <c r="K295" s="733"/>
      <c r="L295" s="730"/>
      <c r="M295" s="731"/>
      <c r="N295" s="1194" t="s">
        <v>2642</v>
      </c>
      <c r="O295" s="1194" t="s">
        <v>1164</v>
      </c>
      <c r="P295" s="348"/>
      <c r="Q295" s="1236"/>
      <c r="X295" s="383"/>
      <c r="Y295" s="383"/>
      <c r="Z295" s="383"/>
      <c r="AA295" s="383"/>
      <c r="AB295" s="383"/>
      <c r="AC295" s="383"/>
      <c r="AD295" s="383"/>
      <c r="AE295" s="383"/>
      <c r="AF295" s="383"/>
      <c r="AG295" s="383"/>
      <c r="AH295" s="383"/>
      <c r="AI295" s="383"/>
      <c r="AJ295" s="383"/>
      <c r="AK295" s="383"/>
      <c r="AL295" s="383"/>
      <c r="AM295" s="383"/>
      <c r="AN295" s="383"/>
      <c r="AO295" s="383"/>
      <c r="AP295" s="383"/>
      <c r="AQ295" s="383"/>
      <c r="AR295" s="383"/>
    </row>
    <row r="296" spans="2:44" s="639" customFormat="1" ht="12" customHeight="1">
      <c r="B296" s="747"/>
      <c r="C296" s="708" t="s">
        <v>1162</v>
      </c>
      <c r="D296" s="708" t="s">
        <v>1282</v>
      </c>
      <c r="E296" s="743" t="s">
        <v>1163</v>
      </c>
      <c r="F296" s="743" t="s">
        <v>2786</v>
      </c>
      <c r="G296" s="744" t="s">
        <v>1899</v>
      </c>
      <c r="H296" s="745" t="s">
        <v>442</v>
      </c>
      <c r="I296" s="1235" t="s">
        <v>2772</v>
      </c>
      <c r="J296" s="732" t="s">
        <v>87</v>
      </c>
      <c r="K296" s="733"/>
      <c r="L296" s="730"/>
      <c r="M296" s="731"/>
      <c r="N296" s="1194" t="s">
        <v>1324</v>
      </c>
      <c r="O296" s="1194" t="s">
        <v>329</v>
      </c>
      <c r="P296" s="1237"/>
      <c r="Q296" s="383"/>
      <c r="X296" s="383"/>
      <c r="Y296" s="383"/>
      <c r="Z296" s="383"/>
      <c r="AA296" s="383"/>
      <c r="AB296" s="383"/>
      <c r="AC296" s="383"/>
      <c r="AD296" s="383"/>
      <c r="AE296" s="383"/>
      <c r="AF296" s="383"/>
      <c r="AG296" s="383"/>
      <c r="AH296" s="383"/>
      <c r="AI296" s="383"/>
      <c r="AJ296" s="383"/>
      <c r="AK296" s="383"/>
      <c r="AL296" s="383"/>
      <c r="AM296" s="383"/>
      <c r="AN296" s="383"/>
      <c r="AO296" s="383"/>
      <c r="AP296" s="383"/>
      <c r="AQ296" s="383"/>
      <c r="AR296" s="383"/>
    </row>
    <row r="297" spans="2:44" s="639" customFormat="1" ht="12" customHeight="1">
      <c r="B297" s="747"/>
      <c r="C297" s="708" t="s">
        <v>1164</v>
      </c>
      <c r="D297" s="708" t="s">
        <v>1391</v>
      </c>
      <c r="E297" s="743" t="s">
        <v>1165</v>
      </c>
      <c r="F297" s="743" t="s">
        <v>2786</v>
      </c>
      <c r="G297" s="744" t="s">
        <v>1900</v>
      </c>
      <c r="H297" s="745" t="s">
        <v>442</v>
      </c>
      <c r="I297" s="1235" t="s">
        <v>2772</v>
      </c>
      <c r="J297" s="732" t="s">
        <v>89</v>
      </c>
      <c r="K297" s="733"/>
      <c r="L297" s="730"/>
      <c r="M297" s="731"/>
      <c r="N297" s="1194" t="s">
        <v>2652</v>
      </c>
      <c r="O297" s="1194" t="s">
        <v>117</v>
      </c>
      <c r="P297" s="348"/>
      <c r="Q297" s="1236"/>
      <c r="X297" s="383"/>
      <c r="Y297" s="383"/>
      <c r="Z297" s="383"/>
      <c r="AA297" s="383"/>
      <c r="AB297" s="383"/>
      <c r="AC297" s="383"/>
      <c r="AD297" s="383"/>
      <c r="AE297" s="383"/>
      <c r="AF297" s="383"/>
      <c r="AG297" s="383"/>
      <c r="AH297" s="383"/>
      <c r="AI297" s="383"/>
      <c r="AJ297" s="383"/>
      <c r="AK297" s="383"/>
      <c r="AL297" s="383"/>
      <c r="AM297" s="383"/>
      <c r="AN297" s="383"/>
      <c r="AO297" s="383"/>
      <c r="AP297" s="383"/>
      <c r="AQ297" s="383"/>
      <c r="AR297" s="383"/>
    </row>
    <row r="298" spans="2:44" s="639" customFormat="1" ht="12" customHeight="1">
      <c r="B298" s="747"/>
      <c r="C298" s="708" t="s">
        <v>1166</v>
      </c>
      <c r="D298" s="708" t="s">
        <v>1282</v>
      </c>
      <c r="E298" s="743" t="s">
        <v>1167</v>
      </c>
      <c r="F298" s="743" t="s">
        <v>2786</v>
      </c>
      <c r="G298" s="744" t="s">
        <v>1901</v>
      </c>
      <c r="H298" s="745" t="s">
        <v>442</v>
      </c>
      <c r="I298" s="1235" t="s">
        <v>2772</v>
      </c>
      <c r="J298" s="732" t="s">
        <v>1298</v>
      </c>
      <c r="K298" s="733"/>
      <c r="L298" s="730"/>
      <c r="M298" s="731"/>
      <c r="N298" s="1194" t="s">
        <v>84</v>
      </c>
      <c r="O298" s="1194" t="s">
        <v>204</v>
      </c>
      <c r="P298" s="348"/>
      <c r="Q298" s="1236"/>
      <c r="X298" s="383"/>
      <c r="Y298" s="383"/>
      <c r="Z298" s="383"/>
      <c r="AA298" s="383"/>
      <c r="AB298" s="383"/>
      <c r="AC298" s="383"/>
      <c r="AD298" s="383"/>
      <c r="AE298" s="383"/>
      <c r="AF298" s="383"/>
      <c r="AG298" s="383"/>
      <c r="AH298" s="383"/>
      <c r="AI298" s="383"/>
      <c r="AJ298" s="383"/>
      <c r="AK298" s="383"/>
      <c r="AL298" s="383"/>
      <c r="AM298" s="383"/>
      <c r="AN298" s="383"/>
      <c r="AO298" s="383"/>
      <c r="AP298" s="383"/>
      <c r="AQ298" s="383"/>
      <c r="AR298" s="383"/>
    </row>
    <row r="299" spans="2:44" s="639" customFormat="1" ht="12" customHeight="1">
      <c r="B299" s="747"/>
      <c r="C299" s="708" t="s">
        <v>1168</v>
      </c>
      <c r="D299" s="708" t="s">
        <v>1415</v>
      </c>
      <c r="E299" s="746" t="s">
        <v>810</v>
      </c>
      <c r="F299" s="746" t="s">
        <v>2787</v>
      </c>
      <c r="G299" s="744" t="s">
        <v>2771</v>
      </c>
      <c r="H299" s="745" t="s">
        <v>443</v>
      </c>
      <c r="I299" s="1235" t="s">
        <v>1262</v>
      </c>
      <c r="J299" s="732" t="s">
        <v>1300</v>
      </c>
      <c r="K299" s="733"/>
      <c r="L299" s="730"/>
      <c r="M299" s="731"/>
      <c r="N299" s="1194" t="s">
        <v>88</v>
      </c>
      <c r="O299" s="1194" t="s">
        <v>2316</v>
      </c>
      <c r="P299" s="348"/>
      <c r="Q299" s="1236"/>
      <c r="X299" s="383"/>
      <c r="Y299" s="383"/>
      <c r="Z299" s="383"/>
      <c r="AA299" s="383"/>
      <c r="AB299" s="383"/>
      <c r="AC299" s="383"/>
      <c r="AD299" s="383"/>
      <c r="AE299" s="383"/>
      <c r="AF299" s="383"/>
      <c r="AG299" s="383"/>
      <c r="AH299" s="383"/>
      <c r="AI299" s="383"/>
      <c r="AJ299" s="383"/>
      <c r="AK299" s="383"/>
      <c r="AL299" s="383"/>
      <c r="AM299" s="383"/>
      <c r="AN299" s="383"/>
      <c r="AO299" s="383"/>
      <c r="AP299" s="383"/>
      <c r="AQ299" s="383"/>
      <c r="AR299" s="383"/>
    </row>
    <row r="300" spans="2:44" s="639" customFormat="1" ht="12" customHeight="1">
      <c r="B300" s="747"/>
      <c r="C300" s="708" t="s">
        <v>1169</v>
      </c>
      <c r="D300" s="708" t="s">
        <v>1415</v>
      </c>
      <c r="E300" s="746" t="s">
        <v>809</v>
      </c>
      <c r="F300" s="746" t="s">
        <v>2787</v>
      </c>
      <c r="G300" s="744" t="s">
        <v>2749</v>
      </c>
      <c r="H300" s="745" t="s">
        <v>443</v>
      </c>
      <c r="I300" s="1234" t="s">
        <v>1262</v>
      </c>
      <c r="J300" s="732" t="s">
        <v>1302</v>
      </c>
      <c r="K300" s="733"/>
      <c r="L300" s="730"/>
      <c r="M300" s="731"/>
      <c r="N300" s="1194" t="s">
        <v>90</v>
      </c>
      <c r="O300" s="1194" t="s">
        <v>1401</v>
      </c>
      <c r="P300" s="1237"/>
      <c r="Q300" s="383"/>
      <c r="X300" s="383"/>
      <c r="Y300" s="383"/>
      <c r="Z300" s="383"/>
      <c r="AA300" s="383"/>
      <c r="AB300" s="383"/>
      <c r="AC300" s="383"/>
      <c r="AD300" s="383"/>
      <c r="AE300" s="383"/>
      <c r="AF300" s="383"/>
      <c r="AG300" s="383"/>
      <c r="AH300" s="383"/>
      <c r="AI300" s="383"/>
      <c r="AJ300" s="383"/>
      <c r="AK300" s="383"/>
      <c r="AL300" s="383"/>
      <c r="AM300" s="383"/>
      <c r="AN300" s="383"/>
      <c r="AO300" s="383"/>
      <c r="AP300" s="383"/>
      <c r="AQ300" s="383"/>
      <c r="AR300" s="383"/>
    </row>
    <row r="301" spans="2:44" s="639" customFormat="1" ht="12" customHeight="1">
      <c r="B301" s="747"/>
      <c r="C301" s="708" t="s">
        <v>1170</v>
      </c>
      <c r="D301" s="708" t="s">
        <v>1415</v>
      </c>
      <c r="E301" s="743" t="s">
        <v>2300</v>
      </c>
      <c r="F301" s="743" t="s">
        <v>2786</v>
      </c>
      <c r="G301" s="744" t="s">
        <v>1902</v>
      </c>
      <c r="H301" s="745" t="s">
        <v>442</v>
      </c>
      <c r="I301" s="1235" t="s">
        <v>2772</v>
      </c>
      <c r="J301" s="732" t="s">
        <v>1304</v>
      </c>
      <c r="K301" s="733"/>
      <c r="L301" s="730"/>
      <c r="M301" s="731"/>
      <c r="N301" s="1194" t="s">
        <v>1299</v>
      </c>
      <c r="O301" s="1194" t="s">
        <v>2076</v>
      </c>
      <c r="P301" s="348"/>
      <c r="Q301" s="1236"/>
      <c r="X301" s="383"/>
      <c r="Y301" s="383"/>
      <c r="Z301" s="383"/>
      <c r="AA301" s="383"/>
      <c r="AB301" s="383"/>
      <c r="AC301" s="383"/>
      <c r="AD301" s="383"/>
      <c r="AE301" s="383"/>
      <c r="AF301" s="383"/>
      <c r="AG301" s="383"/>
      <c r="AH301" s="383"/>
      <c r="AI301" s="383"/>
      <c r="AJ301" s="383"/>
      <c r="AK301" s="383"/>
      <c r="AL301" s="383"/>
      <c r="AM301" s="383"/>
      <c r="AN301" s="383"/>
      <c r="AO301" s="383"/>
      <c r="AP301" s="383"/>
      <c r="AQ301" s="383"/>
      <c r="AR301" s="383"/>
    </row>
    <row r="302" spans="2:44" s="639" customFormat="1" ht="12" customHeight="1">
      <c r="B302" s="747"/>
      <c r="C302" s="708" t="s">
        <v>2301</v>
      </c>
      <c r="D302" s="708" t="s">
        <v>1282</v>
      </c>
      <c r="E302" s="743" t="s">
        <v>2302</v>
      </c>
      <c r="F302" s="743" t="s">
        <v>2786</v>
      </c>
      <c r="G302" s="744" t="s">
        <v>1903</v>
      </c>
      <c r="H302" s="745" t="s">
        <v>442</v>
      </c>
      <c r="I302" s="1235" t="s">
        <v>2772</v>
      </c>
      <c r="J302" s="732" t="s">
        <v>1306</v>
      </c>
      <c r="K302" s="733"/>
      <c r="L302" s="730"/>
      <c r="M302" s="731"/>
      <c r="N302" s="1194" t="s">
        <v>1301</v>
      </c>
      <c r="O302" s="1194" t="s">
        <v>186</v>
      </c>
      <c r="P302" s="348"/>
      <c r="Q302" s="1236"/>
      <c r="X302" s="383"/>
      <c r="Y302" s="383"/>
      <c r="Z302" s="383"/>
      <c r="AA302" s="383"/>
      <c r="AB302" s="383"/>
      <c r="AC302" s="383"/>
      <c r="AD302" s="383"/>
      <c r="AE302" s="383"/>
      <c r="AF302" s="383"/>
      <c r="AG302" s="383"/>
      <c r="AH302" s="383"/>
      <c r="AI302" s="383"/>
      <c r="AJ302" s="383"/>
      <c r="AK302" s="383"/>
      <c r="AL302" s="383"/>
      <c r="AM302" s="383"/>
      <c r="AN302" s="383"/>
      <c r="AO302" s="383"/>
      <c r="AP302" s="383"/>
      <c r="AQ302" s="383"/>
      <c r="AR302" s="383"/>
    </row>
    <row r="303" spans="2:44" s="639" customFormat="1" ht="12" customHeight="1">
      <c r="B303" s="747"/>
      <c r="C303" s="708" t="s">
        <v>1708</v>
      </c>
      <c r="D303" s="708" t="s">
        <v>1708</v>
      </c>
      <c r="E303" s="731" t="s">
        <v>1708</v>
      </c>
      <c r="F303" s="743"/>
      <c r="G303" s="744"/>
      <c r="H303" s="745"/>
      <c r="I303" s="1235" t="s">
        <v>3039</v>
      </c>
      <c r="J303" s="732" t="s">
        <v>1308</v>
      </c>
      <c r="K303" s="733"/>
      <c r="L303" s="730"/>
      <c r="M303" s="731"/>
      <c r="N303" s="1194" t="s">
        <v>1303</v>
      </c>
      <c r="O303" s="1194" t="s">
        <v>1166</v>
      </c>
      <c r="P303" s="348"/>
      <c r="Q303" s="383"/>
      <c r="X303" s="383"/>
      <c r="Y303" s="383"/>
      <c r="Z303" s="383"/>
      <c r="AA303" s="383"/>
      <c r="AB303" s="383"/>
      <c r="AC303" s="383"/>
      <c r="AD303" s="383"/>
      <c r="AE303" s="383"/>
      <c r="AF303" s="383"/>
      <c r="AG303" s="383"/>
      <c r="AH303" s="383"/>
      <c r="AI303" s="383"/>
      <c r="AJ303" s="383"/>
      <c r="AK303" s="383"/>
      <c r="AL303" s="383"/>
      <c r="AM303" s="383"/>
      <c r="AN303" s="383"/>
      <c r="AO303" s="383"/>
      <c r="AP303" s="383"/>
      <c r="AQ303" s="383"/>
      <c r="AR303" s="383"/>
    </row>
    <row r="304" spans="2:44" s="639" customFormat="1" ht="12" customHeight="1">
      <c r="B304" s="747"/>
      <c r="C304" s="708" t="s">
        <v>2303</v>
      </c>
      <c r="D304" s="708" t="s">
        <v>1282</v>
      </c>
      <c r="E304" s="746" t="s">
        <v>2304</v>
      </c>
      <c r="F304" s="743" t="s">
        <v>2786</v>
      </c>
      <c r="G304" s="744" t="s">
        <v>478</v>
      </c>
      <c r="H304" s="745" t="s">
        <v>442</v>
      </c>
      <c r="I304" s="1235" t="s">
        <v>2772</v>
      </c>
      <c r="J304" s="732" t="s">
        <v>941</v>
      </c>
      <c r="K304" s="733"/>
      <c r="L304" s="730"/>
      <c r="M304" s="731"/>
      <c r="N304" s="708" t="s">
        <v>1305</v>
      </c>
      <c r="O304" s="708" t="s">
        <v>1277</v>
      </c>
      <c r="P304" s="1238"/>
      <c r="Q304" s="383"/>
      <c r="X304" s="383"/>
      <c r="Y304" s="383"/>
      <c r="Z304" s="383"/>
      <c r="AA304" s="383"/>
      <c r="AB304" s="383"/>
      <c r="AC304" s="383"/>
      <c r="AD304" s="383"/>
      <c r="AE304" s="383"/>
      <c r="AF304" s="383"/>
      <c r="AG304" s="383"/>
      <c r="AH304" s="383"/>
      <c r="AI304" s="383"/>
      <c r="AJ304" s="383"/>
      <c r="AK304" s="383"/>
      <c r="AL304" s="383"/>
      <c r="AM304" s="383"/>
      <c r="AN304" s="383"/>
      <c r="AO304" s="383"/>
      <c r="AP304" s="383"/>
      <c r="AQ304" s="383"/>
      <c r="AR304" s="383"/>
    </row>
    <row r="305" spans="2:44" s="639" customFormat="1" ht="12" customHeight="1">
      <c r="B305" s="747"/>
      <c r="C305" s="708" t="s">
        <v>2305</v>
      </c>
      <c r="D305" s="708" t="s">
        <v>1415</v>
      </c>
      <c r="E305" s="746" t="s">
        <v>809</v>
      </c>
      <c r="F305" s="746" t="s">
        <v>2787</v>
      </c>
      <c r="G305" s="744" t="s">
        <v>2749</v>
      </c>
      <c r="H305" s="745" t="s">
        <v>443</v>
      </c>
      <c r="I305" s="1234" t="s">
        <v>1262</v>
      </c>
      <c r="J305" s="732" t="s">
        <v>942</v>
      </c>
      <c r="K305" s="733"/>
      <c r="L305" s="730"/>
      <c r="M305" s="731"/>
      <c r="N305" s="1194" t="s">
        <v>1307</v>
      </c>
      <c r="O305" s="1194" t="s">
        <v>2316</v>
      </c>
      <c r="P305" s="348"/>
      <c r="Q305" s="1236"/>
      <c r="X305" s="383"/>
      <c r="Y305" s="383"/>
      <c r="Z305" s="383"/>
      <c r="AA305" s="383"/>
      <c r="AB305" s="383"/>
      <c r="AC305" s="383"/>
      <c r="AD305" s="383"/>
      <c r="AE305" s="383"/>
      <c r="AF305" s="383"/>
      <c r="AG305" s="383"/>
      <c r="AH305" s="383"/>
      <c r="AI305" s="383"/>
      <c r="AJ305" s="383"/>
      <c r="AK305" s="383"/>
      <c r="AL305" s="383"/>
      <c r="AM305" s="383"/>
      <c r="AN305" s="383"/>
      <c r="AO305" s="383"/>
      <c r="AP305" s="383"/>
      <c r="AQ305" s="383"/>
      <c r="AR305" s="383"/>
    </row>
    <row r="306" spans="2:44" s="639" customFormat="1" ht="12" customHeight="1">
      <c r="B306" s="747"/>
      <c r="C306" s="708" t="s">
        <v>2306</v>
      </c>
      <c r="D306" s="708" t="s">
        <v>1391</v>
      </c>
      <c r="E306" s="746" t="s">
        <v>2307</v>
      </c>
      <c r="F306" s="746" t="s">
        <v>2786</v>
      </c>
      <c r="G306" s="744" t="s">
        <v>232</v>
      </c>
      <c r="H306" s="745" t="s">
        <v>442</v>
      </c>
      <c r="I306" s="1235" t="s">
        <v>2772</v>
      </c>
      <c r="J306" s="732" t="s">
        <v>944</v>
      </c>
      <c r="K306" s="733"/>
      <c r="L306" s="730"/>
      <c r="M306" s="731"/>
      <c r="N306" s="1194" t="s">
        <v>2648</v>
      </c>
      <c r="O306" s="1194" t="s">
        <v>1733</v>
      </c>
      <c r="P306" s="348"/>
      <c r="Q306" s="1236"/>
      <c r="X306" s="383"/>
      <c r="Y306" s="383"/>
      <c r="Z306" s="383"/>
      <c r="AA306" s="383"/>
      <c r="AB306" s="383"/>
      <c r="AC306" s="383"/>
      <c r="AD306" s="383"/>
      <c r="AE306" s="383"/>
      <c r="AF306" s="383"/>
      <c r="AG306" s="383"/>
      <c r="AH306" s="383"/>
      <c r="AI306" s="383"/>
      <c r="AJ306" s="383"/>
      <c r="AK306" s="383"/>
      <c r="AL306" s="383"/>
      <c r="AM306" s="383"/>
      <c r="AN306" s="383"/>
      <c r="AO306" s="383"/>
      <c r="AP306" s="383"/>
      <c r="AQ306" s="383"/>
      <c r="AR306" s="383"/>
    </row>
    <row r="307" spans="2:44" s="639" customFormat="1" ht="12" customHeight="1">
      <c r="B307" s="747"/>
      <c r="C307" s="708" t="s">
        <v>2308</v>
      </c>
      <c r="D307" s="708" t="s">
        <v>1282</v>
      </c>
      <c r="E307" s="743" t="s">
        <v>2309</v>
      </c>
      <c r="F307" s="746" t="s">
        <v>2786</v>
      </c>
      <c r="G307" s="744" t="s">
        <v>1508</v>
      </c>
      <c r="H307" s="745" t="s">
        <v>442</v>
      </c>
      <c r="I307" s="1235" t="s">
        <v>2772</v>
      </c>
      <c r="J307" s="732" t="s">
        <v>946</v>
      </c>
      <c r="K307" s="733"/>
      <c r="L307" s="730"/>
      <c r="M307" s="731"/>
      <c r="N307" s="1194" t="s">
        <v>168</v>
      </c>
      <c r="O307" s="1194" t="s">
        <v>2761</v>
      </c>
      <c r="P307" s="348"/>
      <c r="Q307" s="1236"/>
      <c r="X307" s="383"/>
      <c r="Y307" s="383"/>
      <c r="Z307" s="383"/>
      <c r="AA307" s="383"/>
      <c r="AB307" s="383"/>
      <c r="AC307" s="383"/>
      <c r="AD307" s="383"/>
      <c r="AE307" s="383"/>
      <c r="AF307" s="383"/>
      <c r="AG307" s="383"/>
      <c r="AH307" s="383"/>
      <c r="AI307" s="383"/>
      <c r="AJ307" s="383"/>
      <c r="AK307" s="383"/>
      <c r="AL307" s="383"/>
      <c r="AM307" s="383"/>
      <c r="AN307" s="383"/>
      <c r="AO307" s="383"/>
      <c r="AP307" s="383"/>
      <c r="AQ307" s="383"/>
      <c r="AR307" s="383"/>
    </row>
    <row r="308" spans="2:44" s="639" customFormat="1" ht="12" customHeight="1">
      <c r="B308" s="747"/>
      <c r="C308" s="708" t="s">
        <v>2310</v>
      </c>
      <c r="D308" s="708" t="s">
        <v>1282</v>
      </c>
      <c r="E308" s="743" t="s">
        <v>2311</v>
      </c>
      <c r="F308" s="743" t="s">
        <v>2786</v>
      </c>
      <c r="G308" s="744" t="s">
        <v>1509</v>
      </c>
      <c r="H308" s="745" t="s">
        <v>442</v>
      </c>
      <c r="I308" s="1235" t="s">
        <v>2772</v>
      </c>
      <c r="J308" s="732" t="s">
        <v>2269</v>
      </c>
      <c r="K308" s="733"/>
      <c r="L308" s="730"/>
      <c r="M308" s="731"/>
      <c r="N308" s="1194" t="s">
        <v>943</v>
      </c>
      <c r="O308" s="1194" t="s">
        <v>186</v>
      </c>
      <c r="P308" s="1237"/>
      <c r="Q308" s="383"/>
      <c r="X308" s="383"/>
      <c r="Y308" s="383"/>
      <c r="Z308" s="383"/>
      <c r="AA308" s="383"/>
      <c r="AB308" s="383"/>
      <c r="AC308" s="383"/>
      <c r="AD308" s="383"/>
      <c r="AE308" s="383"/>
      <c r="AF308" s="383"/>
      <c r="AG308" s="383"/>
      <c r="AH308" s="383"/>
      <c r="AI308" s="383"/>
      <c r="AJ308" s="383"/>
      <c r="AK308" s="383"/>
      <c r="AL308" s="383"/>
      <c r="AM308" s="383"/>
      <c r="AN308" s="383"/>
      <c r="AO308" s="383"/>
      <c r="AP308" s="383"/>
      <c r="AQ308" s="383"/>
      <c r="AR308" s="383"/>
    </row>
    <row r="309" spans="2:44" s="639" customFormat="1" ht="12" customHeight="1">
      <c r="B309" s="747"/>
      <c r="C309" s="708" t="s">
        <v>2312</v>
      </c>
      <c r="D309" s="708" t="s">
        <v>1415</v>
      </c>
      <c r="E309" s="743" t="s">
        <v>2313</v>
      </c>
      <c r="F309" s="743" t="s">
        <v>2786</v>
      </c>
      <c r="G309" s="744" t="s">
        <v>1510</v>
      </c>
      <c r="H309" s="745" t="s">
        <v>442</v>
      </c>
      <c r="I309" s="1235" t="s">
        <v>2772</v>
      </c>
      <c r="J309" s="732" t="s">
        <v>2270</v>
      </c>
      <c r="K309" s="733"/>
      <c r="L309" s="730"/>
      <c r="M309" s="731"/>
      <c r="N309" s="1194" t="s">
        <v>945</v>
      </c>
      <c r="O309" s="1194" t="s">
        <v>341</v>
      </c>
      <c r="P309" s="348"/>
      <c r="Q309" s="1236"/>
      <c r="X309" s="383"/>
      <c r="Y309" s="383"/>
      <c r="Z309" s="383"/>
      <c r="AA309" s="383"/>
      <c r="AB309" s="383"/>
      <c r="AC309" s="383"/>
      <c r="AD309" s="383"/>
      <c r="AE309" s="383"/>
      <c r="AF309" s="383"/>
      <c r="AG309" s="383"/>
      <c r="AH309" s="383"/>
      <c r="AI309" s="383"/>
      <c r="AJ309" s="383"/>
      <c r="AK309" s="383"/>
      <c r="AL309" s="383"/>
      <c r="AM309" s="383"/>
      <c r="AN309" s="383"/>
      <c r="AO309" s="383"/>
      <c r="AP309" s="383"/>
      <c r="AQ309" s="383"/>
      <c r="AR309" s="383"/>
    </row>
    <row r="310" spans="2:44" s="639" customFormat="1" ht="12" customHeight="1">
      <c r="B310" s="747"/>
      <c r="C310" s="708" t="s">
        <v>2314</v>
      </c>
      <c r="D310" s="708" t="s">
        <v>1415</v>
      </c>
      <c r="E310" s="743" t="s">
        <v>2315</v>
      </c>
      <c r="F310" s="743" t="s">
        <v>2786</v>
      </c>
      <c r="G310" s="744" t="s">
        <v>2140</v>
      </c>
      <c r="H310" s="745" t="s">
        <v>442</v>
      </c>
      <c r="I310" s="1235" t="s">
        <v>2772</v>
      </c>
      <c r="J310" s="732" t="s">
        <v>2185</v>
      </c>
      <c r="K310" s="733"/>
      <c r="L310" s="730"/>
      <c r="M310" s="731"/>
      <c r="N310" s="708" t="s">
        <v>947</v>
      </c>
      <c r="O310" s="708" t="s">
        <v>1155</v>
      </c>
      <c r="P310" s="1238"/>
      <c r="Q310" s="1236"/>
      <c r="X310" s="383"/>
      <c r="Y310" s="383"/>
      <c r="Z310" s="383"/>
      <c r="AA310" s="383"/>
      <c r="AB310" s="383"/>
      <c r="AC310" s="383"/>
      <c r="AD310" s="383"/>
      <c r="AE310" s="383"/>
      <c r="AF310" s="383"/>
      <c r="AG310" s="383"/>
      <c r="AH310" s="383"/>
      <c r="AI310" s="383"/>
      <c r="AJ310" s="383"/>
      <c r="AK310" s="383"/>
      <c r="AL310" s="383"/>
      <c r="AM310" s="383"/>
      <c r="AN310" s="383"/>
      <c r="AO310" s="383"/>
      <c r="AP310" s="383"/>
      <c r="AQ310" s="383"/>
      <c r="AR310" s="383"/>
    </row>
    <row r="311" spans="2:44" s="639" customFormat="1" ht="12" customHeight="1">
      <c r="B311" s="747"/>
      <c r="C311" s="708" t="s">
        <v>2316</v>
      </c>
      <c r="D311" s="708" t="s">
        <v>1282</v>
      </c>
      <c r="E311" s="743" t="s">
        <v>2317</v>
      </c>
      <c r="F311" s="743" t="s">
        <v>2786</v>
      </c>
      <c r="G311" s="744" t="s">
        <v>2141</v>
      </c>
      <c r="H311" s="745" t="s">
        <v>442</v>
      </c>
      <c r="I311" s="1235" t="s">
        <v>2772</v>
      </c>
      <c r="J311" s="732" t="s">
        <v>2187</v>
      </c>
      <c r="K311" s="733"/>
      <c r="L311" s="730"/>
      <c r="M311" s="731"/>
      <c r="N311" s="1194" t="s">
        <v>2739</v>
      </c>
      <c r="O311" s="1194" t="s">
        <v>2642</v>
      </c>
      <c r="P311" s="348"/>
      <c r="Q311" s="383"/>
      <c r="X311" s="383"/>
      <c r="Y311" s="383"/>
      <c r="Z311" s="383"/>
      <c r="AA311" s="383"/>
      <c r="AB311" s="383"/>
      <c r="AC311" s="383"/>
      <c r="AD311" s="383"/>
      <c r="AE311" s="383"/>
      <c r="AF311" s="383"/>
      <c r="AG311" s="383"/>
      <c r="AH311" s="383"/>
      <c r="AI311" s="383"/>
      <c r="AJ311" s="383"/>
      <c r="AK311" s="383"/>
      <c r="AL311" s="383"/>
      <c r="AM311" s="383"/>
      <c r="AN311" s="383"/>
      <c r="AO311" s="383"/>
      <c r="AP311" s="383"/>
      <c r="AQ311" s="383"/>
      <c r="AR311" s="383"/>
    </row>
    <row r="312" spans="2:44" s="639" customFormat="1" ht="12" customHeight="1">
      <c r="B312" s="747"/>
      <c r="C312" s="708" t="s">
        <v>2318</v>
      </c>
      <c r="D312" s="708" t="s">
        <v>1415</v>
      </c>
      <c r="E312" s="743" t="s">
        <v>919</v>
      </c>
      <c r="F312" s="743" t="s">
        <v>2786</v>
      </c>
      <c r="G312" s="744" t="s">
        <v>2142</v>
      </c>
      <c r="H312" s="745" t="s">
        <v>442</v>
      </c>
      <c r="I312" s="1235" t="s">
        <v>2772</v>
      </c>
      <c r="J312" s="732" t="s">
        <v>633</v>
      </c>
      <c r="K312" s="733"/>
      <c r="L312" s="730"/>
      <c r="M312" s="731"/>
      <c r="N312" s="1194" t="s">
        <v>2271</v>
      </c>
      <c r="O312" s="1194" t="s">
        <v>1169</v>
      </c>
      <c r="P312" s="348"/>
      <c r="Q312" s="1236"/>
      <c r="X312" s="383"/>
      <c r="Y312" s="383"/>
      <c r="Z312" s="383"/>
      <c r="AA312" s="383"/>
      <c r="AB312" s="383"/>
      <c r="AC312" s="383"/>
      <c r="AD312" s="383"/>
      <c r="AE312" s="383"/>
      <c r="AF312" s="383"/>
      <c r="AG312" s="383"/>
      <c r="AH312" s="383"/>
      <c r="AI312" s="383"/>
      <c r="AJ312" s="383"/>
      <c r="AK312" s="383"/>
      <c r="AL312" s="383"/>
      <c r="AM312" s="383"/>
      <c r="AN312" s="383"/>
      <c r="AO312" s="383"/>
      <c r="AP312" s="383"/>
      <c r="AQ312" s="383"/>
      <c r="AR312" s="383"/>
    </row>
    <row r="313" spans="2:44" s="639" customFormat="1" ht="12" customHeight="1">
      <c r="B313" s="747"/>
      <c r="C313" s="708" t="s">
        <v>920</v>
      </c>
      <c r="D313" s="708" t="s">
        <v>1282</v>
      </c>
      <c r="E313" s="743" t="s">
        <v>921</v>
      </c>
      <c r="F313" s="743" t="s">
        <v>2786</v>
      </c>
      <c r="G313" s="744" t="s">
        <v>2143</v>
      </c>
      <c r="H313" s="745" t="s">
        <v>442</v>
      </c>
      <c r="I313" s="1235" t="s">
        <v>2772</v>
      </c>
      <c r="J313" s="732" t="s">
        <v>634</v>
      </c>
      <c r="K313" s="733"/>
      <c r="L313" s="730"/>
      <c r="M313" s="731"/>
      <c r="N313" s="1194" t="s">
        <v>2186</v>
      </c>
      <c r="O313" s="1194" t="s">
        <v>1770</v>
      </c>
      <c r="P313" s="348"/>
      <c r="Q313" s="1236"/>
      <c r="X313" s="383"/>
      <c r="Y313" s="383"/>
      <c r="Z313" s="383"/>
      <c r="AA313" s="383"/>
      <c r="AB313" s="383"/>
      <c r="AC313" s="383"/>
      <c r="AD313" s="383"/>
      <c r="AE313" s="383"/>
      <c r="AF313" s="383"/>
      <c r="AG313" s="383"/>
      <c r="AH313" s="383"/>
      <c r="AI313" s="383"/>
      <c r="AJ313" s="383"/>
      <c r="AK313" s="383"/>
      <c r="AL313" s="383"/>
      <c r="AM313" s="383"/>
      <c r="AN313" s="383"/>
      <c r="AO313" s="383"/>
      <c r="AP313" s="383"/>
      <c r="AQ313" s="383"/>
      <c r="AR313" s="383"/>
    </row>
    <row r="314" spans="2:44" s="639" customFormat="1" ht="12" customHeight="1">
      <c r="B314" s="747"/>
      <c r="C314" s="708" t="s">
        <v>1769</v>
      </c>
      <c r="D314" s="708" t="s">
        <v>1282</v>
      </c>
      <c r="E314" s="746" t="s">
        <v>1897</v>
      </c>
      <c r="F314" s="743" t="s">
        <v>2787</v>
      </c>
      <c r="G314" s="744" t="s">
        <v>1225</v>
      </c>
      <c r="H314" s="745" t="s">
        <v>443</v>
      </c>
      <c r="I314" s="1235" t="s">
        <v>2772</v>
      </c>
      <c r="J314" s="732" t="s">
        <v>636</v>
      </c>
      <c r="K314" s="733"/>
      <c r="L314" s="730"/>
      <c r="M314" s="731"/>
      <c r="N314" s="1194" t="s">
        <v>2188</v>
      </c>
      <c r="O314" s="1194" t="s">
        <v>2697</v>
      </c>
      <c r="P314" s="348"/>
      <c r="Q314" s="1236"/>
      <c r="X314" s="383"/>
      <c r="Y314" s="383"/>
      <c r="Z314" s="383"/>
      <c r="AA314" s="383"/>
      <c r="AB314" s="383"/>
      <c r="AC314" s="383"/>
      <c r="AD314" s="383"/>
      <c r="AE314" s="383"/>
      <c r="AF314" s="383"/>
      <c r="AG314" s="383"/>
      <c r="AH314" s="383"/>
      <c r="AI314" s="383"/>
      <c r="AJ314" s="383"/>
      <c r="AK314" s="383"/>
      <c r="AL314" s="383"/>
      <c r="AM314" s="383"/>
      <c r="AN314" s="383"/>
      <c r="AO314" s="383"/>
      <c r="AP314" s="383"/>
      <c r="AQ314" s="383"/>
      <c r="AR314" s="383"/>
    </row>
    <row r="315" spans="2:44" s="639" customFormat="1" ht="12" customHeight="1">
      <c r="B315" s="747"/>
      <c r="C315" s="708" t="s">
        <v>1770</v>
      </c>
      <c r="D315" s="708" t="s">
        <v>1282</v>
      </c>
      <c r="E315" s="746" t="s">
        <v>1771</v>
      </c>
      <c r="F315" s="746" t="s">
        <v>2786</v>
      </c>
      <c r="G315" s="744" t="s">
        <v>2144</v>
      </c>
      <c r="H315" s="745" t="s">
        <v>442</v>
      </c>
      <c r="I315" s="1235" t="s">
        <v>2772</v>
      </c>
      <c r="J315" s="732" t="s">
        <v>638</v>
      </c>
      <c r="K315" s="733"/>
      <c r="L315" s="730"/>
      <c r="M315" s="731"/>
      <c r="N315" s="1194" t="s">
        <v>874</v>
      </c>
      <c r="O315" s="1194" t="s">
        <v>336</v>
      </c>
      <c r="P315" s="348"/>
      <c r="Q315" s="383"/>
      <c r="X315" s="383"/>
      <c r="Y315" s="383"/>
      <c r="Z315" s="383"/>
      <c r="AA315" s="383"/>
      <c r="AB315" s="383"/>
      <c r="AC315" s="383"/>
      <c r="AD315" s="383"/>
      <c r="AE315" s="383"/>
      <c r="AF315" s="383"/>
      <c r="AG315" s="383"/>
      <c r="AH315" s="383"/>
      <c r="AI315" s="383"/>
      <c r="AJ315" s="383"/>
      <c r="AK315" s="383"/>
      <c r="AL315" s="383"/>
      <c r="AM315" s="383"/>
      <c r="AN315" s="383"/>
      <c r="AO315" s="383"/>
      <c r="AP315" s="383"/>
      <c r="AQ315" s="383"/>
      <c r="AR315" s="383"/>
    </row>
    <row r="316" spans="2:44" s="639" customFormat="1" ht="12" customHeight="1">
      <c r="B316" s="747"/>
      <c r="C316" s="708" t="s">
        <v>1772</v>
      </c>
      <c r="D316" s="708" t="s">
        <v>1282</v>
      </c>
      <c r="E316" s="746" t="s">
        <v>2034</v>
      </c>
      <c r="F316" s="746" t="s">
        <v>2786</v>
      </c>
      <c r="G316" s="744" t="s">
        <v>1230</v>
      </c>
      <c r="H316" s="745" t="s">
        <v>442</v>
      </c>
      <c r="I316" s="1235" t="s">
        <v>2772</v>
      </c>
      <c r="J316" s="732" t="s">
        <v>639</v>
      </c>
      <c r="K316" s="733"/>
      <c r="L316" s="730"/>
      <c r="M316" s="731"/>
      <c r="N316" s="1194" t="s">
        <v>635</v>
      </c>
      <c r="O316" s="1194" t="s">
        <v>125</v>
      </c>
      <c r="P316" s="1237"/>
      <c r="Q316" s="1236"/>
      <c r="X316" s="383"/>
      <c r="Y316" s="383"/>
      <c r="Z316" s="383"/>
      <c r="AA316" s="383"/>
      <c r="AB316" s="383"/>
      <c r="AC316" s="383"/>
      <c r="AD316" s="383"/>
      <c r="AE316" s="383"/>
      <c r="AF316" s="383"/>
      <c r="AG316" s="383"/>
      <c r="AH316" s="383"/>
      <c r="AI316" s="383"/>
      <c r="AJ316" s="383"/>
      <c r="AK316" s="383"/>
      <c r="AL316" s="383"/>
      <c r="AM316" s="383"/>
      <c r="AN316" s="383"/>
      <c r="AO316" s="383"/>
      <c r="AP316" s="383"/>
      <c r="AQ316" s="383"/>
      <c r="AR316" s="383"/>
    </row>
    <row r="317" spans="2:44" s="639" customFormat="1" ht="12" customHeight="1">
      <c r="B317" s="747"/>
      <c r="C317" s="708" t="s">
        <v>2035</v>
      </c>
      <c r="D317" s="708" t="s">
        <v>1282</v>
      </c>
      <c r="E317" s="746" t="s">
        <v>2036</v>
      </c>
      <c r="F317" s="746" t="s">
        <v>2786</v>
      </c>
      <c r="G317" s="744" t="s">
        <v>1231</v>
      </c>
      <c r="H317" s="745" t="s">
        <v>442</v>
      </c>
      <c r="I317" s="1235" t="s">
        <v>2772</v>
      </c>
      <c r="J317" s="732" t="s">
        <v>640</v>
      </c>
      <c r="K317" s="733"/>
      <c r="L317" s="730"/>
      <c r="M317" s="731"/>
      <c r="N317" s="1194" t="s">
        <v>2740</v>
      </c>
      <c r="O317" s="1194" t="s">
        <v>1407</v>
      </c>
      <c r="P317" s="348"/>
      <c r="Q317" s="1236"/>
      <c r="X317" s="383"/>
      <c r="Y317" s="383"/>
      <c r="Z317" s="383"/>
      <c r="AA317" s="383"/>
      <c r="AB317" s="383"/>
      <c r="AC317" s="383"/>
      <c r="AD317" s="383"/>
      <c r="AE317" s="383"/>
      <c r="AF317" s="383"/>
      <c r="AG317" s="383"/>
      <c r="AH317" s="383"/>
      <c r="AI317" s="383"/>
      <c r="AJ317" s="383"/>
      <c r="AK317" s="383"/>
      <c r="AL317" s="383"/>
      <c r="AM317" s="383"/>
      <c r="AN317" s="383"/>
      <c r="AO317" s="383"/>
      <c r="AP317" s="383"/>
      <c r="AQ317" s="383"/>
      <c r="AR317" s="383"/>
    </row>
    <row r="318" spans="2:44" s="639" customFormat="1" ht="12" customHeight="1">
      <c r="B318" s="747"/>
      <c r="C318" s="708" t="s">
        <v>2037</v>
      </c>
      <c r="D318" s="708" t="s">
        <v>1391</v>
      </c>
      <c r="E318" s="746" t="s">
        <v>2038</v>
      </c>
      <c r="F318" s="746" t="s">
        <v>2786</v>
      </c>
      <c r="G318" s="744" t="s">
        <v>1232</v>
      </c>
      <c r="H318" s="745" t="s">
        <v>442</v>
      </c>
      <c r="I318" s="1235" t="s">
        <v>2772</v>
      </c>
      <c r="J318" s="732" t="s">
        <v>642</v>
      </c>
      <c r="K318" s="733"/>
      <c r="L318" s="730"/>
      <c r="M318" s="731"/>
      <c r="N318" s="1194" t="s">
        <v>637</v>
      </c>
      <c r="O318" s="1194" t="s">
        <v>2762</v>
      </c>
      <c r="P318" s="348"/>
      <c r="Q318" s="1236"/>
      <c r="X318" s="383"/>
      <c r="Y318" s="383"/>
      <c r="Z318" s="383"/>
      <c r="AA318" s="383"/>
      <c r="AB318" s="383"/>
      <c r="AC318" s="383"/>
      <c r="AD318" s="383"/>
      <c r="AE318" s="383"/>
      <c r="AF318" s="383"/>
      <c r="AG318" s="383"/>
      <c r="AH318" s="383"/>
      <c r="AI318" s="383"/>
      <c r="AJ318" s="383"/>
      <c r="AK318" s="383"/>
      <c r="AL318" s="383"/>
      <c r="AM318" s="383"/>
      <c r="AN318" s="383"/>
      <c r="AO318" s="383"/>
      <c r="AP318" s="383"/>
      <c r="AQ318" s="383"/>
      <c r="AR318" s="383"/>
    </row>
    <row r="319" spans="2:44" s="639" customFormat="1" ht="12" customHeight="1">
      <c r="B319" s="747"/>
      <c r="C319" s="708" t="s">
        <v>2039</v>
      </c>
      <c r="D319" s="708" t="s">
        <v>1282</v>
      </c>
      <c r="E319" s="746" t="s">
        <v>2040</v>
      </c>
      <c r="F319" s="746" t="s">
        <v>2786</v>
      </c>
      <c r="G319" s="744" t="s">
        <v>1233</v>
      </c>
      <c r="H319" s="745" t="s">
        <v>442</v>
      </c>
      <c r="I319" s="1235" t="s">
        <v>2772</v>
      </c>
      <c r="J319" s="732" t="s">
        <v>644</v>
      </c>
      <c r="K319" s="733"/>
      <c r="L319" s="730"/>
      <c r="M319" s="731"/>
      <c r="N319" s="1194" t="s">
        <v>2696</v>
      </c>
      <c r="O319" s="1194" t="s">
        <v>2764</v>
      </c>
      <c r="P319" s="348"/>
      <c r="Q319" s="1236"/>
      <c r="X319" s="383"/>
      <c r="Y319" s="383"/>
      <c r="Z319" s="383"/>
      <c r="AA319" s="383"/>
      <c r="AB319" s="383"/>
      <c r="AC319" s="383"/>
      <c r="AD319" s="383"/>
      <c r="AE319" s="383"/>
      <c r="AF319" s="383"/>
      <c r="AG319" s="383"/>
      <c r="AH319" s="383"/>
      <c r="AI319" s="383"/>
      <c r="AJ319" s="383"/>
      <c r="AK319" s="383"/>
      <c r="AL319" s="383"/>
      <c r="AM319" s="383"/>
      <c r="AN319" s="383"/>
      <c r="AO319" s="383"/>
      <c r="AP319" s="383"/>
      <c r="AQ319" s="383"/>
      <c r="AR319" s="383"/>
    </row>
    <row r="320" spans="2:44" s="639" customFormat="1" ht="12" customHeight="1">
      <c r="B320" s="747"/>
      <c r="C320" s="708" t="s">
        <v>2041</v>
      </c>
      <c r="D320" s="708" t="s">
        <v>1415</v>
      </c>
      <c r="E320" s="743" t="s">
        <v>2042</v>
      </c>
      <c r="F320" s="746" t="s">
        <v>2786</v>
      </c>
      <c r="G320" s="744" t="s">
        <v>1234</v>
      </c>
      <c r="H320" s="745" t="s">
        <v>442</v>
      </c>
      <c r="I320" s="1235" t="s">
        <v>2772</v>
      </c>
      <c r="J320" s="732" t="s">
        <v>575</v>
      </c>
      <c r="K320" s="733"/>
      <c r="L320" s="730"/>
      <c r="M320" s="731"/>
      <c r="N320" s="1194" t="s">
        <v>641</v>
      </c>
      <c r="O320" s="1194" t="s">
        <v>2314</v>
      </c>
      <c r="P320" s="348"/>
      <c r="Q320" s="1236"/>
      <c r="X320" s="383"/>
      <c r="Y320" s="383"/>
      <c r="Z320" s="383"/>
      <c r="AA320" s="383"/>
      <c r="AB320" s="383"/>
      <c r="AC320" s="383"/>
      <c r="AD320" s="383"/>
      <c r="AE320" s="383"/>
      <c r="AF320" s="383"/>
      <c r="AG320" s="383"/>
      <c r="AH320" s="383"/>
      <c r="AI320" s="383"/>
      <c r="AJ320" s="383"/>
      <c r="AK320" s="383"/>
      <c r="AL320" s="383"/>
      <c r="AM320" s="383"/>
      <c r="AN320" s="383"/>
      <c r="AO320" s="383"/>
      <c r="AP320" s="383"/>
      <c r="AQ320" s="383"/>
      <c r="AR320" s="383"/>
    </row>
    <row r="321" spans="2:44" s="639" customFormat="1" ht="12" customHeight="1">
      <c r="B321" s="747"/>
      <c r="C321" s="708" t="s">
        <v>2043</v>
      </c>
      <c r="D321" s="708" t="s">
        <v>1282</v>
      </c>
      <c r="E321" s="746" t="s">
        <v>2044</v>
      </c>
      <c r="F321" s="743" t="s">
        <v>2786</v>
      </c>
      <c r="G321" s="744" t="s">
        <v>1235</v>
      </c>
      <c r="H321" s="745" t="s">
        <v>442</v>
      </c>
      <c r="I321" s="1235" t="s">
        <v>2772</v>
      </c>
      <c r="J321" s="732" t="s">
        <v>1220</v>
      </c>
      <c r="K321" s="733"/>
      <c r="L321" s="730"/>
      <c r="M321" s="731"/>
      <c r="N321" s="1194" t="s">
        <v>3239</v>
      </c>
      <c r="O321" s="1194" t="s">
        <v>1160</v>
      </c>
      <c r="P321" s="348"/>
      <c r="Q321" s="1236"/>
      <c r="X321" s="383"/>
      <c r="Y321" s="383"/>
      <c r="Z321" s="383"/>
      <c r="AA321" s="383"/>
      <c r="AB321" s="383"/>
      <c r="AC321" s="383"/>
      <c r="AD321" s="383"/>
      <c r="AE321" s="383"/>
      <c r="AF321" s="383"/>
      <c r="AG321" s="383"/>
      <c r="AH321" s="383"/>
      <c r="AI321" s="383"/>
      <c r="AJ321" s="383"/>
      <c r="AK321" s="383"/>
      <c r="AL321" s="383"/>
      <c r="AM321" s="383"/>
      <c r="AN321" s="383"/>
      <c r="AO321" s="383"/>
      <c r="AP321" s="383"/>
      <c r="AQ321" s="383"/>
      <c r="AR321" s="383"/>
    </row>
    <row r="322" spans="2:44" s="639" customFormat="1" ht="12" customHeight="1">
      <c r="B322" s="747"/>
      <c r="C322" s="708" t="s">
        <v>2045</v>
      </c>
      <c r="D322" s="708" t="s">
        <v>1415</v>
      </c>
      <c r="E322" s="746" t="s">
        <v>1400</v>
      </c>
      <c r="F322" s="746" t="s">
        <v>2787</v>
      </c>
      <c r="G322" s="744" t="s">
        <v>2752</v>
      </c>
      <c r="H322" s="745" t="s">
        <v>443</v>
      </c>
      <c r="I322" s="1235" t="s">
        <v>2772</v>
      </c>
      <c r="J322" s="732" t="s">
        <v>791</v>
      </c>
      <c r="K322" s="733"/>
      <c r="L322" s="730"/>
      <c r="M322" s="731"/>
      <c r="N322" s="1194" t="s">
        <v>643</v>
      </c>
      <c r="O322" s="1194" t="s">
        <v>1737</v>
      </c>
      <c r="P322" s="348"/>
      <c r="Q322" s="1236"/>
      <c r="X322" s="383"/>
      <c r="Y322" s="383"/>
      <c r="Z322" s="383"/>
      <c r="AA322" s="383"/>
      <c r="AB322" s="383"/>
      <c r="AC322" s="383"/>
      <c r="AD322" s="383"/>
      <c r="AE322" s="383"/>
      <c r="AF322" s="383"/>
      <c r="AG322" s="383"/>
      <c r="AH322" s="383"/>
      <c r="AI322" s="383"/>
      <c r="AJ322" s="383"/>
      <c r="AK322" s="383"/>
      <c r="AL322" s="383"/>
      <c r="AM322" s="383"/>
      <c r="AN322" s="383"/>
      <c r="AO322" s="383"/>
      <c r="AP322" s="383"/>
      <c r="AQ322" s="383"/>
      <c r="AR322" s="383"/>
    </row>
    <row r="323" spans="2:44" s="639" customFormat="1" ht="12" customHeight="1">
      <c r="B323" s="747"/>
      <c r="C323" s="708" t="s">
        <v>2046</v>
      </c>
      <c r="D323" s="708" t="s">
        <v>1391</v>
      </c>
      <c r="E323" s="746" t="s">
        <v>2047</v>
      </c>
      <c r="F323" s="746" t="s">
        <v>2786</v>
      </c>
      <c r="G323" s="744" t="s">
        <v>1236</v>
      </c>
      <c r="H323" s="745" t="s">
        <v>442</v>
      </c>
      <c r="I323" s="1235" t="s">
        <v>2772</v>
      </c>
      <c r="J323" s="732" t="s">
        <v>38</v>
      </c>
      <c r="K323" s="733"/>
      <c r="L323" s="730"/>
      <c r="M323" s="731"/>
      <c r="N323" s="1194" t="s">
        <v>574</v>
      </c>
      <c r="O323" s="1194" t="s">
        <v>699</v>
      </c>
      <c r="P323" s="348"/>
      <c r="Q323" s="1236"/>
      <c r="X323" s="383"/>
      <c r="Y323" s="383"/>
      <c r="Z323" s="383"/>
      <c r="AA323" s="383"/>
      <c r="AB323" s="383"/>
      <c r="AC323" s="383"/>
      <c r="AD323" s="383"/>
      <c r="AE323" s="383"/>
      <c r="AF323" s="383"/>
      <c r="AG323" s="383"/>
      <c r="AH323" s="383"/>
      <c r="AI323" s="383"/>
      <c r="AJ323" s="383"/>
      <c r="AK323" s="383"/>
      <c r="AL323" s="383"/>
      <c r="AM323" s="383"/>
      <c r="AN323" s="383"/>
      <c r="AO323" s="383"/>
      <c r="AP323" s="383"/>
      <c r="AQ323" s="383"/>
      <c r="AR323" s="383"/>
    </row>
    <row r="324" spans="2:44" s="639" customFormat="1" ht="12" customHeight="1">
      <c r="B324" s="747"/>
      <c r="C324" s="708" t="s">
        <v>2133</v>
      </c>
      <c r="D324" s="708" t="s">
        <v>1415</v>
      </c>
      <c r="E324" s="743" t="s">
        <v>2134</v>
      </c>
      <c r="F324" s="746" t="s">
        <v>2786</v>
      </c>
      <c r="G324" s="744" t="s">
        <v>1237</v>
      </c>
      <c r="H324" s="745" t="s">
        <v>442</v>
      </c>
      <c r="I324" s="1235" t="s">
        <v>2772</v>
      </c>
      <c r="J324" s="732" t="s">
        <v>2091</v>
      </c>
      <c r="K324" s="733"/>
      <c r="L324" s="730"/>
      <c r="M324" s="731"/>
      <c r="N324" s="1194" t="s">
        <v>576</v>
      </c>
      <c r="O324" s="1194" t="s">
        <v>167</v>
      </c>
      <c r="P324" s="348"/>
      <c r="Q324" s="1236"/>
      <c r="X324" s="383"/>
      <c r="Y324" s="383"/>
      <c r="Z324" s="383"/>
      <c r="AA324" s="383"/>
      <c r="AB324" s="383"/>
      <c r="AC324" s="383"/>
      <c r="AD324" s="383"/>
      <c r="AE324" s="383"/>
      <c r="AF324" s="383"/>
      <c r="AG324" s="383"/>
      <c r="AH324" s="383"/>
      <c r="AI324" s="383"/>
      <c r="AJ324" s="383"/>
      <c r="AK324" s="383"/>
      <c r="AL324" s="383"/>
      <c r="AM324" s="383"/>
      <c r="AN324" s="383"/>
      <c r="AO324" s="383"/>
      <c r="AP324" s="383"/>
      <c r="AQ324" s="383"/>
      <c r="AR324" s="383"/>
    </row>
    <row r="325" spans="2:44" s="639" customFormat="1" ht="12" customHeight="1">
      <c r="B325" s="747"/>
      <c r="C325" s="708" t="s">
        <v>2135</v>
      </c>
      <c r="D325" s="708" t="s">
        <v>1391</v>
      </c>
      <c r="E325" s="746" t="s">
        <v>1619</v>
      </c>
      <c r="F325" s="743" t="s">
        <v>2787</v>
      </c>
      <c r="G325" s="744" t="s">
        <v>1790</v>
      </c>
      <c r="H325" s="745" t="s">
        <v>443</v>
      </c>
      <c r="I325" s="1235" t="s">
        <v>2772</v>
      </c>
      <c r="J325" s="732" t="s">
        <v>2093</v>
      </c>
      <c r="K325" s="733"/>
      <c r="L325" s="730"/>
      <c r="M325" s="731"/>
      <c r="N325" s="1194" t="s">
        <v>790</v>
      </c>
      <c r="O325" s="1194" t="s">
        <v>1166</v>
      </c>
      <c r="P325" s="348"/>
      <c r="Q325" s="1236"/>
      <c r="X325" s="383"/>
      <c r="Y325" s="383"/>
      <c r="Z325" s="383"/>
      <c r="AA325" s="383"/>
      <c r="AB325" s="383"/>
      <c r="AC325" s="383"/>
      <c r="AD325" s="383"/>
      <c r="AE325" s="383"/>
      <c r="AF325" s="383"/>
      <c r="AG325" s="383"/>
      <c r="AH325" s="383"/>
      <c r="AI325" s="383"/>
      <c r="AJ325" s="383"/>
      <c r="AK325" s="383"/>
      <c r="AL325" s="383"/>
      <c r="AM325" s="383"/>
      <c r="AN325" s="383"/>
      <c r="AO325" s="383"/>
      <c r="AP325" s="383"/>
      <c r="AQ325" s="383"/>
      <c r="AR325" s="383"/>
    </row>
    <row r="326" spans="2:44" s="639" customFormat="1" ht="12" customHeight="1">
      <c r="B326" s="747"/>
      <c r="C326" s="708" t="s">
        <v>2136</v>
      </c>
      <c r="D326" s="708" t="s">
        <v>1415</v>
      </c>
      <c r="E326" s="746" t="s">
        <v>809</v>
      </c>
      <c r="F326" s="746" t="s">
        <v>2787</v>
      </c>
      <c r="G326" s="744" t="s">
        <v>2749</v>
      </c>
      <c r="H326" s="745" t="s">
        <v>443</v>
      </c>
      <c r="I326" s="1234" t="s">
        <v>1262</v>
      </c>
      <c r="J326" s="732" t="s">
        <v>352</v>
      </c>
      <c r="K326" s="733"/>
      <c r="L326" s="730"/>
      <c r="M326" s="731"/>
      <c r="N326" s="1194" t="s">
        <v>792</v>
      </c>
      <c r="O326" s="1194" t="s">
        <v>124</v>
      </c>
      <c r="P326" s="348"/>
      <c r="Q326" s="1236"/>
      <c r="X326" s="383"/>
      <c r="Y326" s="383"/>
      <c r="Z326" s="383"/>
      <c r="AA326" s="383"/>
      <c r="AB326" s="383"/>
      <c r="AC326" s="383"/>
      <c r="AD326" s="383"/>
      <c r="AE326" s="383"/>
      <c r="AF326" s="383"/>
      <c r="AG326" s="383"/>
      <c r="AH326" s="383"/>
      <c r="AI326" s="383"/>
      <c r="AJ326" s="383"/>
      <c r="AK326" s="383"/>
      <c r="AL326" s="383"/>
      <c r="AM326" s="383"/>
      <c r="AN326" s="383"/>
      <c r="AO326" s="383"/>
      <c r="AP326" s="383"/>
      <c r="AQ326" s="383"/>
      <c r="AR326" s="383"/>
    </row>
    <row r="327" spans="2:44" s="639" customFormat="1" ht="12" customHeight="1">
      <c r="B327" s="747"/>
      <c r="C327" s="708" t="s">
        <v>2137</v>
      </c>
      <c r="D327" s="708" t="s">
        <v>1282</v>
      </c>
      <c r="E327" s="746" t="s">
        <v>106</v>
      </c>
      <c r="F327" s="746" t="s">
        <v>2786</v>
      </c>
      <c r="G327" s="744" t="s">
        <v>1238</v>
      </c>
      <c r="H327" s="745" t="s">
        <v>442</v>
      </c>
      <c r="I327" s="1235" t="s">
        <v>2772</v>
      </c>
      <c r="J327" s="732" t="s">
        <v>354</v>
      </c>
      <c r="K327" s="733"/>
      <c r="L327" s="730"/>
      <c r="M327" s="731"/>
      <c r="N327" s="1194" t="s">
        <v>39</v>
      </c>
      <c r="O327" s="1194" t="s">
        <v>183</v>
      </c>
      <c r="P327" s="348"/>
      <c r="Q327" s="1236"/>
      <c r="X327" s="383"/>
      <c r="Y327" s="383"/>
      <c r="Z327" s="383"/>
      <c r="AA327" s="383"/>
      <c r="AB327" s="383"/>
      <c r="AC327" s="383"/>
      <c r="AD327" s="383"/>
      <c r="AE327" s="383"/>
      <c r="AF327" s="383"/>
      <c r="AG327" s="383"/>
      <c r="AH327" s="383"/>
      <c r="AI327" s="383"/>
      <c r="AJ327" s="383"/>
      <c r="AK327" s="383"/>
      <c r="AL327" s="383"/>
      <c r="AM327" s="383"/>
      <c r="AN327" s="383"/>
      <c r="AO327" s="383"/>
      <c r="AP327" s="383"/>
      <c r="AQ327" s="383"/>
      <c r="AR327" s="383"/>
    </row>
    <row r="328" spans="2:44" s="639" customFormat="1" ht="12" customHeight="1">
      <c r="B328" s="747"/>
      <c r="C328" s="708" t="s">
        <v>107</v>
      </c>
      <c r="D328" s="708" t="s">
        <v>1415</v>
      </c>
      <c r="E328" s="746" t="s">
        <v>108</v>
      </c>
      <c r="F328" s="746" t="s">
        <v>2786</v>
      </c>
      <c r="G328" s="744" t="s">
        <v>1239</v>
      </c>
      <c r="H328" s="745" t="s">
        <v>442</v>
      </c>
      <c r="I328" s="1235" t="s">
        <v>2772</v>
      </c>
      <c r="J328" s="732" t="s">
        <v>356</v>
      </c>
      <c r="K328" s="733"/>
      <c r="L328" s="730"/>
      <c r="M328" s="731"/>
      <c r="N328" s="1194" t="s">
        <v>2092</v>
      </c>
      <c r="O328" s="1194" t="s">
        <v>2384</v>
      </c>
      <c r="P328" s="348"/>
      <c r="Q328" s="1236"/>
      <c r="X328" s="383"/>
      <c r="Y328" s="383"/>
      <c r="Z328" s="383"/>
      <c r="AA328" s="383"/>
      <c r="AB328" s="383"/>
      <c r="AC328" s="383"/>
      <c r="AD328" s="383"/>
      <c r="AE328" s="383"/>
      <c r="AF328" s="383"/>
      <c r="AG328" s="383"/>
      <c r="AH328" s="383"/>
      <c r="AI328" s="383"/>
      <c r="AJ328" s="383"/>
      <c r="AK328" s="383"/>
      <c r="AL328" s="383"/>
      <c r="AM328" s="383"/>
      <c r="AN328" s="383"/>
      <c r="AO328" s="383"/>
      <c r="AP328" s="383"/>
      <c r="AQ328" s="383"/>
      <c r="AR328" s="383"/>
    </row>
    <row r="329" spans="2:44" s="639" customFormat="1" ht="12" customHeight="1">
      <c r="B329" s="747"/>
      <c r="C329" s="708" t="s">
        <v>109</v>
      </c>
      <c r="D329" s="708" t="s">
        <v>1282</v>
      </c>
      <c r="E329" s="746" t="s">
        <v>110</v>
      </c>
      <c r="F329" s="746" t="s">
        <v>2786</v>
      </c>
      <c r="G329" s="744" t="s">
        <v>1240</v>
      </c>
      <c r="H329" s="745" t="s">
        <v>442</v>
      </c>
      <c r="I329" s="1235" t="s">
        <v>2772</v>
      </c>
      <c r="J329" s="732" t="s">
        <v>358</v>
      </c>
      <c r="K329" s="733"/>
      <c r="L329" s="730"/>
      <c r="M329" s="731"/>
      <c r="N329" s="1194" t="s">
        <v>2094</v>
      </c>
      <c r="O329" s="1194" t="s">
        <v>2765</v>
      </c>
      <c r="P329" s="348"/>
      <c r="Q329" s="1236"/>
      <c r="X329" s="383"/>
      <c r="Y329" s="383"/>
      <c r="Z329" s="383"/>
      <c r="AA329" s="383"/>
      <c r="AB329" s="383"/>
      <c r="AC329" s="383"/>
      <c r="AD329" s="383"/>
      <c r="AE329" s="383"/>
      <c r="AF329" s="383"/>
      <c r="AG329" s="383"/>
      <c r="AH329" s="383"/>
      <c r="AI329" s="383"/>
      <c r="AJ329" s="383"/>
      <c r="AK329" s="383"/>
      <c r="AL329" s="383"/>
      <c r="AM329" s="383"/>
      <c r="AN329" s="383"/>
      <c r="AO329" s="383"/>
      <c r="AP329" s="383"/>
      <c r="AQ329" s="383"/>
      <c r="AR329" s="383"/>
    </row>
    <row r="330" spans="2:44" s="639" customFormat="1" ht="12" customHeight="1">
      <c r="B330" s="747"/>
      <c r="C330" s="708" t="s">
        <v>111</v>
      </c>
      <c r="D330" s="708" t="s">
        <v>1282</v>
      </c>
      <c r="E330" s="746" t="s">
        <v>112</v>
      </c>
      <c r="F330" s="746" t="s">
        <v>2786</v>
      </c>
      <c r="G330" s="744" t="s">
        <v>1241</v>
      </c>
      <c r="H330" s="745" t="s">
        <v>442</v>
      </c>
      <c r="I330" s="1235" t="s">
        <v>2772</v>
      </c>
      <c r="J330" s="732" t="s">
        <v>360</v>
      </c>
      <c r="K330" s="733"/>
      <c r="L330" s="730"/>
      <c r="M330" s="731"/>
      <c r="N330" s="1194" t="s">
        <v>353</v>
      </c>
      <c r="O330" s="1194" t="s">
        <v>2076</v>
      </c>
      <c r="P330" s="348"/>
      <c r="Q330" s="1236"/>
      <c r="X330" s="383"/>
      <c r="Y330" s="383"/>
      <c r="Z330" s="383"/>
      <c r="AA330" s="383"/>
      <c r="AB330" s="383"/>
      <c r="AC330" s="383"/>
      <c r="AD330" s="383"/>
      <c r="AE330" s="383"/>
      <c r="AF330" s="383"/>
      <c r="AG330" s="383"/>
      <c r="AH330" s="383"/>
      <c r="AI330" s="383"/>
      <c r="AJ330" s="383"/>
      <c r="AK330" s="383"/>
      <c r="AL330" s="383"/>
      <c r="AM330" s="383"/>
      <c r="AN330" s="383"/>
      <c r="AO330" s="383"/>
      <c r="AP330" s="383"/>
      <c r="AQ330" s="383"/>
      <c r="AR330" s="383"/>
    </row>
    <row r="331" spans="2:44" s="639" customFormat="1" ht="12" customHeight="1">
      <c r="B331" s="747"/>
      <c r="C331" s="708" t="s">
        <v>113</v>
      </c>
      <c r="D331" s="708" t="s">
        <v>1282</v>
      </c>
      <c r="E331" s="746" t="s">
        <v>114</v>
      </c>
      <c r="F331" s="746" t="s">
        <v>2786</v>
      </c>
      <c r="G331" s="744" t="s">
        <v>1242</v>
      </c>
      <c r="H331" s="745" t="s">
        <v>442</v>
      </c>
      <c r="I331" s="1235" t="s">
        <v>2772</v>
      </c>
      <c r="J331" s="732" t="s">
        <v>362</v>
      </c>
      <c r="K331" s="733"/>
      <c r="L331" s="730"/>
      <c r="M331" s="731"/>
      <c r="N331" s="1194" t="s">
        <v>355</v>
      </c>
      <c r="O331" s="1194" t="s">
        <v>923</v>
      </c>
      <c r="P331" s="348"/>
      <c r="Q331" s="1236"/>
      <c r="X331" s="383"/>
      <c r="Y331" s="383"/>
      <c r="Z331" s="383"/>
      <c r="AA331" s="383"/>
      <c r="AB331" s="383"/>
      <c r="AC331" s="383"/>
      <c r="AD331" s="383"/>
      <c r="AE331" s="383"/>
      <c r="AF331" s="383"/>
      <c r="AG331" s="383"/>
      <c r="AH331" s="383"/>
      <c r="AI331" s="383"/>
      <c r="AJ331" s="383"/>
      <c r="AK331" s="383"/>
      <c r="AL331" s="383"/>
      <c r="AM331" s="383"/>
      <c r="AN331" s="383"/>
      <c r="AO331" s="383"/>
      <c r="AP331" s="383"/>
      <c r="AQ331" s="383"/>
      <c r="AR331" s="383"/>
    </row>
    <row r="332" spans="2:44" s="639" customFormat="1" ht="12" customHeight="1">
      <c r="B332" s="747"/>
      <c r="C332" s="708" t="s">
        <v>115</v>
      </c>
      <c r="D332" s="708" t="s">
        <v>1282</v>
      </c>
      <c r="E332" s="746" t="s">
        <v>116</v>
      </c>
      <c r="F332" s="746" t="s">
        <v>2786</v>
      </c>
      <c r="G332" s="744" t="s">
        <v>2503</v>
      </c>
      <c r="H332" s="745" t="s">
        <v>442</v>
      </c>
      <c r="I332" s="1235" t="s">
        <v>2772</v>
      </c>
      <c r="J332" s="732" t="s">
        <v>2066</v>
      </c>
      <c r="K332" s="733"/>
      <c r="L332" s="730"/>
      <c r="M332" s="731"/>
      <c r="N332" s="1194" t="s">
        <v>357</v>
      </c>
      <c r="O332" s="1194" t="s">
        <v>186</v>
      </c>
      <c r="P332" s="348"/>
      <c r="Q332" s="1236"/>
      <c r="X332" s="383"/>
      <c r="Y332" s="383"/>
      <c r="Z332" s="383"/>
      <c r="AA332" s="383"/>
      <c r="AB332" s="383"/>
      <c r="AC332" s="383"/>
      <c r="AD332" s="383"/>
      <c r="AE332" s="383"/>
      <c r="AF332" s="383"/>
      <c r="AG332" s="383"/>
      <c r="AH332" s="383"/>
      <c r="AI332" s="383"/>
      <c r="AJ332" s="383"/>
      <c r="AK332" s="383"/>
      <c r="AL332" s="383"/>
      <c r="AM332" s="383"/>
      <c r="AN332" s="383"/>
      <c r="AO332" s="383"/>
      <c r="AP332" s="383"/>
      <c r="AQ332" s="383"/>
      <c r="AR332" s="383"/>
    </row>
    <row r="333" spans="2:44" s="639" customFormat="1" ht="12" customHeight="1">
      <c r="B333" s="747"/>
      <c r="C333" s="708" t="s">
        <v>117</v>
      </c>
      <c r="D333" s="708" t="s">
        <v>1391</v>
      </c>
      <c r="E333" s="746" t="s">
        <v>118</v>
      </c>
      <c r="F333" s="746" t="s">
        <v>2786</v>
      </c>
      <c r="G333" s="744" t="s">
        <v>2504</v>
      </c>
      <c r="H333" s="745" t="s">
        <v>442</v>
      </c>
      <c r="I333" s="1235" t="s">
        <v>2772</v>
      </c>
      <c r="J333" s="732" t="s">
        <v>2068</v>
      </c>
      <c r="K333" s="733"/>
      <c r="L333" s="730"/>
      <c r="M333" s="731"/>
      <c r="N333" s="1194" t="s">
        <v>359</v>
      </c>
      <c r="O333" s="1194" t="s">
        <v>2550</v>
      </c>
      <c r="P333" s="348"/>
      <c r="Q333" s="1236"/>
      <c r="X333" s="383"/>
      <c r="Y333" s="383"/>
      <c r="Z333" s="383"/>
      <c r="AA333" s="383"/>
      <c r="AB333" s="383"/>
      <c r="AC333" s="383"/>
      <c r="AD333" s="383"/>
      <c r="AE333" s="383"/>
      <c r="AF333" s="383"/>
      <c r="AG333" s="383"/>
      <c r="AH333" s="383"/>
      <c r="AI333" s="383"/>
      <c r="AJ333" s="383"/>
      <c r="AK333" s="383"/>
      <c r="AL333" s="383"/>
      <c r="AM333" s="383"/>
      <c r="AN333" s="383"/>
      <c r="AO333" s="383"/>
      <c r="AP333" s="383"/>
      <c r="AQ333" s="383"/>
      <c r="AR333" s="383"/>
    </row>
    <row r="334" spans="2:44" s="639" customFormat="1" ht="12" customHeight="1">
      <c r="B334" s="747"/>
      <c r="C334" s="708" t="s">
        <v>2076</v>
      </c>
      <c r="D334" s="708" t="s">
        <v>1391</v>
      </c>
      <c r="E334" s="743" t="s">
        <v>353</v>
      </c>
      <c r="F334" s="746" t="s">
        <v>2787</v>
      </c>
      <c r="G334" s="744" t="s">
        <v>2505</v>
      </c>
      <c r="H334" s="745" t="s">
        <v>443</v>
      </c>
      <c r="I334" s="1235" t="s">
        <v>1262</v>
      </c>
      <c r="J334" s="732" t="s">
        <v>2285</v>
      </c>
      <c r="K334" s="733"/>
      <c r="L334" s="730"/>
      <c r="M334" s="731"/>
      <c r="N334" s="708" t="s">
        <v>361</v>
      </c>
      <c r="O334" s="708" t="s">
        <v>2002</v>
      </c>
      <c r="P334" s="1238"/>
      <c r="Q334" s="1236"/>
      <c r="X334" s="383"/>
      <c r="Y334" s="383"/>
      <c r="Z334" s="383"/>
      <c r="AA334" s="383"/>
      <c r="AB334" s="383"/>
      <c r="AC334" s="383"/>
      <c r="AD334" s="383"/>
      <c r="AE334" s="383"/>
      <c r="AF334" s="383"/>
      <c r="AG334" s="383"/>
      <c r="AH334" s="383"/>
      <c r="AI334" s="383"/>
      <c r="AJ334" s="383"/>
      <c r="AK334" s="383"/>
      <c r="AL334" s="383"/>
      <c r="AM334" s="383"/>
      <c r="AN334" s="383"/>
      <c r="AO334" s="383"/>
      <c r="AP334" s="383"/>
      <c r="AQ334" s="383"/>
      <c r="AR334" s="383"/>
    </row>
    <row r="335" spans="2:44" s="639" customFormat="1" ht="12" customHeight="1">
      <c r="B335" s="747"/>
      <c r="C335" s="708" t="s">
        <v>2077</v>
      </c>
      <c r="D335" s="708" t="s">
        <v>1282</v>
      </c>
      <c r="E335" s="746" t="s">
        <v>2547</v>
      </c>
      <c r="F335" s="743" t="s">
        <v>2786</v>
      </c>
      <c r="G335" s="744" t="s">
        <v>2506</v>
      </c>
      <c r="H335" s="745" t="s">
        <v>442</v>
      </c>
      <c r="I335" s="1235" t="s">
        <v>2772</v>
      </c>
      <c r="J335" s="732" t="s">
        <v>160</v>
      </c>
      <c r="K335" s="733"/>
      <c r="L335" s="730"/>
      <c r="M335" s="731"/>
      <c r="N335" s="1194" t="s">
        <v>363</v>
      </c>
      <c r="O335" s="1194" t="s">
        <v>182</v>
      </c>
      <c r="P335" s="348"/>
      <c r="Q335" s="1236"/>
      <c r="X335" s="383"/>
      <c r="Y335" s="383"/>
      <c r="Z335" s="383"/>
      <c r="AA335" s="383"/>
      <c r="AB335" s="383"/>
      <c r="AC335" s="383"/>
      <c r="AD335" s="383"/>
      <c r="AE335" s="383"/>
      <c r="AF335" s="383"/>
      <c r="AG335" s="383"/>
      <c r="AH335" s="383"/>
      <c r="AI335" s="383"/>
      <c r="AJ335" s="383"/>
      <c r="AK335" s="383"/>
      <c r="AL335" s="383"/>
      <c r="AM335" s="383"/>
      <c r="AN335" s="383"/>
      <c r="AO335" s="383"/>
      <c r="AP335" s="383"/>
      <c r="AQ335" s="383"/>
      <c r="AR335" s="383"/>
    </row>
    <row r="336" spans="2:44" s="639" customFormat="1" ht="12" customHeight="1">
      <c r="B336" s="747"/>
      <c r="C336" s="708" t="s">
        <v>2548</v>
      </c>
      <c r="D336" s="708" t="s">
        <v>1415</v>
      </c>
      <c r="E336" s="746" t="s">
        <v>2549</v>
      </c>
      <c r="F336" s="746" t="s">
        <v>2786</v>
      </c>
      <c r="G336" s="744" t="s">
        <v>440</v>
      </c>
      <c r="H336" s="745" t="s">
        <v>442</v>
      </c>
      <c r="I336" s="1235" t="s">
        <v>2772</v>
      </c>
      <c r="J336" s="732" t="s">
        <v>161</v>
      </c>
      <c r="K336" s="733"/>
      <c r="L336" s="730"/>
      <c r="M336" s="731"/>
      <c r="N336" s="1194" t="s">
        <v>2067</v>
      </c>
      <c r="O336" s="1194" t="s">
        <v>109</v>
      </c>
      <c r="P336" s="348"/>
      <c r="Q336" s="1236"/>
      <c r="R336" s="708"/>
      <c r="S336" s="708"/>
      <c r="X336" s="383"/>
      <c r="Y336" s="383"/>
      <c r="Z336" s="383"/>
      <c r="AA336" s="383"/>
      <c r="AB336" s="383"/>
      <c r="AC336" s="383"/>
      <c r="AD336" s="383"/>
      <c r="AE336" s="383"/>
      <c r="AF336" s="383"/>
      <c r="AG336" s="383"/>
      <c r="AH336" s="383"/>
      <c r="AI336" s="383"/>
      <c r="AJ336" s="383"/>
      <c r="AK336" s="383"/>
      <c r="AL336" s="383"/>
      <c r="AM336" s="383"/>
      <c r="AN336" s="383"/>
      <c r="AO336" s="383"/>
      <c r="AP336" s="383"/>
      <c r="AQ336" s="383"/>
      <c r="AR336" s="383"/>
    </row>
    <row r="337" spans="2:44" s="639" customFormat="1" ht="12" customHeight="1">
      <c r="B337" s="747"/>
      <c r="C337" s="708" t="s">
        <v>2550</v>
      </c>
      <c r="D337" s="708" t="s">
        <v>1415</v>
      </c>
      <c r="E337" s="746" t="s">
        <v>2551</v>
      </c>
      <c r="F337" s="746" t="s">
        <v>2786</v>
      </c>
      <c r="G337" s="744" t="s">
        <v>441</v>
      </c>
      <c r="H337" s="745" t="s">
        <v>442</v>
      </c>
      <c r="I337" s="1235" t="s">
        <v>2772</v>
      </c>
      <c r="J337" s="732" t="s">
        <v>1679</v>
      </c>
      <c r="K337" s="733"/>
      <c r="L337" s="730"/>
      <c r="M337" s="731"/>
      <c r="N337" s="1194" t="s">
        <v>203</v>
      </c>
      <c r="O337" s="1194" t="s">
        <v>1769</v>
      </c>
      <c r="P337" s="348"/>
      <c r="Q337" s="1236"/>
      <c r="R337" s="708"/>
      <c r="S337" s="708"/>
      <c r="X337" s="383"/>
      <c r="Y337" s="383"/>
      <c r="Z337" s="383"/>
      <c r="AA337" s="383"/>
      <c r="AB337" s="383"/>
      <c r="AC337" s="383"/>
      <c r="AD337" s="383"/>
      <c r="AE337" s="383"/>
      <c r="AF337" s="383"/>
      <c r="AG337" s="383"/>
      <c r="AH337" s="383"/>
      <c r="AI337" s="383"/>
      <c r="AJ337" s="383"/>
      <c r="AK337" s="383"/>
      <c r="AL337" s="383"/>
      <c r="AM337" s="383"/>
      <c r="AN337" s="383"/>
      <c r="AO337" s="383"/>
      <c r="AP337" s="383"/>
      <c r="AQ337" s="383"/>
      <c r="AR337" s="383"/>
    </row>
    <row r="338" spans="2:44" s="639" customFormat="1" ht="12" customHeight="1">
      <c r="B338" s="638"/>
      <c r="C338" s="708" t="s">
        <v>2552</v>
      </c>
      <c r="D338" s="708" t="s">
        <v>1282</v>
      </c>
      <c r="E338" s="746" t="s">
        <v>1897</v>
      </c>
      <c r="F338" s="746" t="s">
        <v>2787</v>
      </c>
      <c r="G338" s="744" t="s">
        <v>1225</v>
      </c>
      <c r="H338" s="745" t="s">
        <v>443</v>
      </c>
      <c r="I338" s="1235" t="s">
        <v>2772</v>
      </c>
      <c r="J338" s="732" t="s">
        <v>838</v>
      </c>
      <c r="K338" s="733"/>
      <c r="L338" s="730"/>
      <c r="M338" s="731"/>
      <c r="N338" s="1194" t="s">
        <v>2286</v>
      </c>
      <c r="O338" s="1194" t="s">
        <v>203</v>
      </c>
      <c r="P338" s="348"/>
      <c r="Q338" s="1236"/>
      <c r="R338" s="708"/>
      <c r="S338" s="708"/>
      <c r="X338" s="383"/>
      <c r="Y338" s="383"/>
      <c r="Z338" s="383"/>
      <c r="AA338" s="383"/>
      <c r="AB338" s="383"/>
      <c r="AC338" s="383"/>
      <c r="AD338" s="383"/>
      <c r="AE338" s="383"/>
      <c r="AF338" s="383"/>
      <c r="AG338" s="383"/>
      <c r="AH338" s="383"/>
      <c r="AI338" s="383"/>
      <c r="AJ338" s="383"/>
      <c r="AK338" s="383"/>
      <c r="AL338" s="383"/>
      <c r="AM338" s="383"/>
      <c r="AN338" s="383"/>
      <c r="AO338" s="383"/>
      <c r="AP338" s="383"/>
      <c r="AQ338" s="383"/>
      <c r="AR338" s="383"/>
    </row>
    <row r="339" spans="2:44" s="639" customFormat="1" ht="12" customHeight="1">
      <c r="B339" s="638"/>
      <c r="F339" s="748"/>
      <c r="I339" s="749"/>
      <c r="J339" s="732" t="s">
        <v>840</v>
      </c>
      <c r="K339" s="733"/>
      <c r="L339" s="730"/>
      <c r="M339" s="731"/>
      <c r="N339" s="1194" t="s">
        <v>730</v>
      </c>
      <c r="O339" s="1194" t="s">
        <v>2310</v>
      </c>
      <c r="P339" s="348"/>
      <c r="Q339" s="383"/>
      <c r="R339" s="708"/>
      <c r="S339" s="708"/>
      <c r="X339" s="383"/>
      <c r="Y339" s="383"/>
      <c r="Z339" s="383"/>
      <c r="AA339" s="383"/>
      <c r="AB339" s="383"/>
      <c r="AC339" s="383"/>
      <c r="AD339" s="383"/>
      <c r="AE339" s="383"/>
      <c r="AF339" s="383"/>
      <c r="AG339" s="383"/>
      <c r="AH339" s="383"/>
      <c r="AI339" s="383"/>
      <c r="AJ339" s="383"/>
      <c r="AK339" s="383"/>
      <c r="AL339" s="383"/>
      <c r="AM339" s="383"/>
      <c r="AN339" s="383"/>
      <c r="AO339" s="383"/>
      <c r="AP339" s="383"/>
      <c r="AQ339" s="383"/>
      <c r="AR339" s="383"/>
    </row>
    <row r="340" spans="2:44" s="639" customFormat="1" ht="12" customHeight="1">
      <c r="B340" s="638"/>
      <c r="J340" s="732" t="s">
        <v>842</v>
      </c>
      <c r="K340" s="733"/>
      <c r="L340" s="730"/>
      <c r="M340" s="731"/>
      <c r="N340" s="708" t="s">
        <v>162</v>
      </c>
      <c r="O340" s="708" t="s">
        <v>2001</v>
      </c>
      <c r="P340" s="1238"/>
      <c r="Q340" s="383"/>
      <c r="R340" s="708"/>
      <c r="S340" s="708"/>
      <c r="X340" s="383"/>
      <c r="Y340" s="383"/>
      <c r="Z340" s="383"/>
      <c r="AA340" s="383"/>
      <c r="AB340" s="383"/>
      <c r="AC340" s="383"/>
      <c r="AD340" s="383"/>
      <c r="AE340" s="383"/>
      <c r="AF340" s="383"/>
      <c r="AG340" s="383"/>
      <c r="AH340" s="383"/>
      <c r="AI340" s="383"/>
      <c r="AJ340" s="383"/>
      <c r="AK340" s="383"/>
      <c r="AL340" s="383"/>
      <c r="AM340" s="383"/>
      <c r="AN340" s="383"/>
      <c r="AO340" s="383"/>
      <c r="AP340" s="383"/>
      <c r="AQ340" s="383"/>
      <c r="AR340" s="383"/>
    </row>
    <row r="341" spans="2:44" s="639" customFormat="1" ht="12" customHeight="1">
      <c r="B341" s="638"/>
      <c r="J341" s="732" t="s">
        <v>2577</v>
      </c>
      <c r="K341" s="733"/>
      <c r="L341" s="730"/>
      <c r="M341" s="731"/>
      <c r="N341" s="1194" t="s">
        <v>204</v>
      </c>
      <c r="O341" s="1194" t="s">
        <v>664</v>
      </c>
      <c r="P341" s="708"/>
      <c r="R341" s="708"/>
      <c r="S341" s="708"/>
      <c r="X341" s="383"/>
      <c r="Y341" s="383"/>
      <c r="Z341" s="383"/>
      <c r="AA341" s="383"/>
      <c r="AB341" s="383"/>
      <c r="AC341" s="383"/>
      <c r="AD341" s="383"/>
      <c r="AE341" s="383"/>
      <c r="AF341" s="383"/>
      <c r="AG341" s="383"/>
      <c r="AH341" s="383"/>
      <c r="AI341" s="383"/>
      <c r="AJ341" s="383"/>
      <c r="AK341" s="383"/>
      <c r="AL341" s="383"/>
      <c r="AM341" s="383"/>
      <c r="AN341" s="383"/>
      <c r="AO341" s="383"/>
      <c r="AP341" s="383"/>
      <c r="AQ341" s="383"/>
      <c r="AR341" s="383"/>
    </row>
    <row r="342" spans="2:44" s="639" customFormat="1" ht="12" customHeight="1">
      <c r="B342" s="638"/>
      <c r="J342" s="732" t="s">
        <v>2578</v>
      </c>
      <c r="K342" s="733"/>
      <c r="L342" s="730"/>
      <c r="M342" s="731"/>
      <c r="N342" s="1194" t="s">
        <v>2741</v>
      </c>
      <c r="O342" s="1194" t="s">
        <v>2137</v>
      </c>
      <c r="P342" s="708"/>
      <c r="R342" s="708"/>
      <c r="S342" s="708"/>
      <c r="X342" s="383"/>
      <c r="Y342" s="383"/>
      <c r="Z342" s="383"/>
      <c r="AA342" s="383"/>
      <c r="AB342" s="383"/>
      <c r="AC342" s="383"/>
      <c r="AD342" s="383"/>
      <c r="AE342" s="383"/>
      <c r="AF342" s="383"/>
      <c r="AG342" s="383"/>
      <c r="AH342" s="383"/>
      <c r="AI342" s="383"/>
      <c r="AJ342" s="383"/>
      <c r="AK342" s="383"/>
      <c r="AL342" s="383"/>
      <c r="AM342" s="383"/>
      <c r="AN342" s="383"/>
      <c r="AO342" s="383"/>
      <c r="AP342" s="383"/>
      <c r="AQ342" s="383"/>
      <c r="AR342" s="383"/>
    </row>
    <row r="343" spans="2:44" s="639" customFormat="1" ht="12" customHeight="1">
      <c r="B343" s="638"/>
      <c r="J343" s="732" t="s">
        <v>2580</v>
      </c>
      <c r="K343" s="733"/>
      <c r="L343" s="730"/>
      <c r="M343" s="731"/>
      <c r="N343" s="1194" t="s">
        <v>839</v>
      </c>
      <c r="O343" s="1194" t="s">
        <v>109</v>
      </c>
      <c r="P343" s="708"/>
      <c r="X343" s="383"/>
      <c r="Y343" s="383"/>
      <c r="Z343" s="383"/>
      <c r="AA343" s="383"/>
      <c r="AB343" s="383"/>
      <c r="AC343" s="383"/>
      <c r="AD343" s="383"/>
      <c r="AE343" s="383"/>
      <c r="AF343" s="383"/>
      <c r="AG343" s="383"/>
      <c r="AH343" s="383"/>
      <c r="AI343" s="383"/>
      <c r="AJ343" s="383"/>
      <c r="AK343" s="383"/>
      <c r="AL343" s="383"/>
      <c r="AM343" s="383"/>
      <c r="AN343" s="383"/>
      <c r="AO343" s="383"/>
      <c r="AP343" s="383"/>
      <c r="AQ343" s="383"/>
      <c r="AR343" s="383"/>
    </row>
    <row r="344" spans="2:44" s="639" customFormat="1" ht="12" customHeight="1">
      <c r="B344" s="638"/>
      <c r="J344" s="732" t="s">
        <v>2582</v>
      </c>
      <c r="K344" s="733"/>
      <c r="L344" s="730"/>
      <c r="M344" s="731"/>
      <c r="N344" s="1194" t="s">
        <v>841</v>
      </c>
      <c r="O344" s="1194" t="s">
        <v>125</v>
      </c>
      <c r="P344" s="708"/>
      <c r="X344" s="383"/>
      <c r="Y344" s="383"/>
      <c r="Z344" s="383"/>
      <c r="AA344" s="383"/>
      <c r="AB344" s="383"/>
      <c r="AC344" s="383"/>
      <c r="AD344" s="383"/>
      <c r="AE344" s="383"/>
      <c r="AF344" s="383"/>
      <c r="AG344" s="383"/>
      <c r="AH344" s="383"/>
      <c r="AI344" s="383"/>
      <c r="AJ344" s="383"/>
      <c r="AK344" s="383"/>
      <c r="AL344" s="383"/>
      <c r="AM344" s="383"/>
      <c r="AN344" s="383"/>
      <c r="AO344" s="383"/>
      <c r="AP344" s="383"/>
      <c r="AQ344" s="383"/>
      <c r="AR344" s="383"/>
    </row>
    <row r="345" spans="2:44" s="639" customFormat="1" ht="12" customHeight="1">
      <c r="B345" s="638"/>
      <c r="J345" s="732" t="s">
        <v>2583</v>
      </c>
      <c r="K345" s="733"/>
      <c r="L345" s="730"/>
      <c r="M345" s="731"/>
      <c r="N345" s="1194" t="s">
        <v>843</v>
      </c>
      <c r="O345" s="1194" t="s">
        <v>344</v>
      </c>
      <c r="P345" s="708"/>
      <c r="X345" s="383"/>
      <c r="Y345" s="383"/>
      <c r="Z345" s="383"/>
      <c r="AA345" s="383"/>
      <c r="AB345" s="383"/>
      <c r="AC345" s="383"/>
      <c r="AD345" s="383"/>
      <c r="AE345" s="383"/>
      <c r="AF345" s="383"/>
      <c r="AG345" s="383"/>
      <c r="AH345" s="383"/>
      <c r="AI345" s="383"/>
      <c r="AJ345" s="383"/>
      <c r="AK345" s="383"/>
      <c r="AL345" s="383"/>
      <c r="AM345" s="383"/>
      <c r="AN345" s="383"/>
      <c r="AO345" s="383"/>
      <c r="AP345" s="383"/>
      <c r="AQ345" s="383"/>
      <c r="AR345" s="383"/>
    </row>
    <row r="346" spans="2:44" s="639" customFormat="1" ht="12" customHeight="1">
      <c r="B346" s="638"/>
      <c r="J346" s="732" t="s">
        <v>400</v>
      </c>
      <c r="K346" s="733"/>
      <c r="L346" s="730"/>
      <c r="M346" s="731"/>
      <c r="N346" s="1194" t="s">
        <v>3240</v>
      </c>
      <c r="O346" s="1194" t="s">
        <v>927</v>
      </c>
      <c r="P346" s="708"/>
      <c r="X346" s="383"/>
      <c r="Y346" s="383"/>
      <c r="Z346" s="383"/>
      <c r="AA346" s="383"/>
      <c r="AB346" s="383"/>
      <c r="AC346" s="383"/>
      <c r="AD346" s="383"/>
      <c r="AE346" s="383"/>
      <c r="AF346" s="383"/>
      <c r="AG346" s="383"/>
      <c r="AH346" s="383"/>
      <c r="AI346" s="383"/>
      <c r="AJ346" s="383"/>
      <c r="AK346" s="383"/>
      <c r="AL346" s="383"/>
      <c r="AM346" s="383"/>
      <c r="AN346" s="383"/>
      <c r="AO346" s="383"/>
      <c r="AP346" s="383"/>
      <c r="AQ346" s="383"/>
      <c r="AR346" s="383"/>
    </row>
    <row r="347" spans="2:44" s="639" customFormat="1" ht="12" customHeight="1">
      <c r="B347" s="638"/>
      <c r="J347" s="732" t="s">
        <v>50</v>
      </c>
      <c r="K347" s="733"/>
      <c r="L347" s="730"/>
      <c r="M347" s="731"/>
      <c r="N347" s="708" t="s">
        <v>2579</v>
      </c>
      <c r="O347" s="708" t="s">
        <v>1542</v>
      </c>
      <c r="P347" s="1239"/>
      <c r="X347" s="383"/>
      <c r="Y347" s="383"/>
      <c r="Z347" s="383"/>
      <c r="AA347" s="383"/>
      <c r="AB347" s="383"/>
      <c r="AC347" s="383"/>
      <c r="AD347" s="383"/>
      <c r="AE347" s="383"/>
      <c r="AF347" s="383"/>
      <c r="AG347" s="383"/>
      <c r="AH347" s="383"/>
      <c r="AI347" s="383"/>
      <c r="AJ347" s="383"/>
      <c r="AK347" s="383"/>
      <c r="AL347" s="383"/>
      <c r="AM347" s="383"/>
      <c r="AN347" s="383"/>
      <c r="AO347" s="383"/>
      <c r="AP347" s="383"/>
      <c r="AQ347" s="383"/>
      <c r="AR347" s="383"/>
    </row>
    <row r="348" spans="2:44" s="639" customFormat="1" ht="12" customHeight="1">
      <c r="B348" s="638"/>
      <c r="J348" s="732" t="s">
        <v>52</v>
      </c>
      <c r="K348" s="733"/>
      <c r="L348" s="730"/>
      <c r="M348" s="731"/>
      <c r="N348" s="1194" t="s">
        <v>2581</v>
      </c>
      <c r="O348" s="1194" t="s">
        <v>1164</v>
      </c>
      <c r="P348" s="708"/>
      <c r="X348" s="383"/>
      <c r="Y348" s="383"/>
      <c r="Z348" s="383"/>
      <c r="AA348" s="383"/>
      <c r="AB348" s="383"/>
      <c r="AC348" s="383"/>
      <c r="AD348" s="383"/>
      <c r="AE348" s="383"/>
      <c r="AF348" s="383"/>
      <c r="AG348" s="383"/>
      <c r="AH348" s="383"/>
      <c r="AI348" s="383"/>
      <c r="AJ348" s="383"/>
      <c r="AK348" s="383"/>
      <c r="AL348" s="383"/>
      <c r="AM348" s="383"/>
      <c r="AN348" s="383"/>
      <c r="AO348" s="383"/>
      <c r="AP348" s="383"/>
      <c r="AQ348" s="383"/>
      <c r="AR348" s="383"/>
    </row>
    <row r="349" spans="2:44" s="639" customFormat="1" ht="12" customHeight="1">
      <c r="B349" s="638"/>
      <c r="J349" s="732" t="s">
        <v>2048</v>
      </c>
      <c r="K349" s="733"/>
      <c r="L349" s="730"/>
      <c r="M349" s="731"/>
      <c r="N349" s="1194" t="s">
        <v>2742</v>
      </c>
      <c r="O349" s="1194" t="s">
        <v>706</v>
      </c>
      <c r="P349" s="708"/>
      <c r="X349" s="383"/>
      <c r="Y349" s="383"/>
      <c r="Z349" s="383"/>
      <c r="AA349" s="383"/>
      <c r="AB349" s="383"/>
      <c r="AC349" s="383"/>
      <c r="AD349" s="383"/>
      <c r="AE349" s="383"/>
      <c r="AF349" s="383"/>
      <c r="AG349" s="383"/>
      <c r="AH349" s="383"/>
      <c r="AI349" s="383"/>
      <c r="AJ349" s="383"/>
      <c r="AK349" s="383"/>
      <c r="AL349" s="383"/>
      <c r="AM349" s="383"/>
      <c r="AN349" s="383"/>
      <c r="AO349" s="383"/>
      <c r="AP349" s="383"/>
      <c r="AQ349" s="383"/>
      <c r="AR349" s="383"/>
    </row>
    <row r="350" spans="2:44" s="639" customFormat="1" ht="12" customHeight="1">
      <c r="B350" s="638"/>
      <c r="J350" s="732" t="s">
        <v>2049</v>
      </c>
      <c r="K350" s="733"/>
      <c r="L350" s="730"/>
      <c r="M350" s="731"/>
      <c r="N350" s="1194" t="s">
        <v>399</v>
      </c>
      <c r="O350" s="1194" t="s">
        <v>2648</v>
      </c>
      <c r="P350" s="708"/>
      <c r="X350" s="383"/>
      <c r="Y350" s="383"/>
      <c r="Z350" s="383"/>
      <c r="AA350" s="383"/>
      <c r="AB350" s="383"/>
      <c r="AC350" s="383"/>
      <c r="AD350" s="383"/>
      <c r="AE350" s="383"/>
      <c r="AF350" s="383"/>
      <c r="AG350" s="383"/>
      <c r="AH350" s="383"/>
      <c r="AI350" s="383"/>
      <c r="AJ350" s="383"/>
      <c r="AK350" s="383"/>
      <c r="AL350" s="383"/>
      <c r="AM350" s="383"/>
      <c r="AN350" s="383"/>
      <c r="AO350" s="383"/>
      <c r="AP350" s="383"/>
      <c r="AQ350" s="383"/>
      <c r="AR350" s="383"/>
    </row>
    <row r="351" spans="2:44" s="639" customFormat="1" ht="12" customHeight="1">
      <c r="B351" s="638"/>
      <c r="J351" s="732" t="s">
        <v>2051</v>
      </c>
      <c r="K351" s="733"/>
      <c r="L351" s="730"/>
      <c r="M351" s="731"/>
      <c r="N351" s="641" t="s">
        <v>401</v>
      </c>
      <c r="O351" s="1194" t="s">
        <v>2303</v>
      </c>
      <c r="P351" s="708"/>
      <c r="X351" s="383"/>
      <c r="Y351" s="383"/>
      <c r="Z351" s="383"/>
      <c r="AA351" s="383"/>
      <c r="AB351" s="383"/>
      <c r="AC351" s="383"/>
      <c r="AD351" s="383"/>
      <c r="AE351" s="383"/>
      <c r="AF351" s="383"/>
      <c r="AG351" s="383"/>
      <c r="AH351" s="383"/>
      <c r="AI351" s="383"/>
      <c r="AJ351" s="383"/>
      <c r="AK351" s="383"/>
      <c r="AL351" s="383"/>
      <c r="AM351" s="383"/>
      <c r="AN351" s="383"/>
      <c r="AO351" s="383"/>
      <c r="AP351" s="383"/>
      <c r="AQ351" s="383"/>
      <c r="AR351" s="383"/>
    </row>
    <row r="352" spans="2:44" s="639" customFormat="1" ht="12" customHeight="1">
      <c r="B352" s="638"/>
      <c r="J352" s="732" t="s">
        <v>2052</v>
      </c>
      <c r="K352" s="733"/>
      <c r="L352" s="730"/>
      <c r="M352" s="731"/>
      <c r="N352" s="1194" t="s">
        <v>51</v>
      </c>
      <c r="O352" s="1194" t="s">
        <v>1004</v>
      </c>
      <c r="P352" s="708"/>
      <c r="X352" s="383"/>
      <c r="Y352" s="383"/>
      <c r="Z352" s="383"/>
      <c r="AA352" s="383"/>
      <c r="AB352" s="383"/>
      <c r="AC352" s="383"/>
      <c r="AD352" s="383"/>
      <c r="AE352" s="383"/>
      <c r="AF352" s="383"/>
      <c r="AG352" s="383"/>
      <c r="AH352" s="383"/>
      <c r="AI352" s="383"/>
      <c r="AJ352" s="383"/>
      <c r="AK352" s="383"/>
      <c r="AL352" s="383"/>
      <c r="AM352" s="383"/>
      <c r="AN352" s="383"/>
      <c r="AO352" s="383"/>
      <c r="AP352" s="383"/>
      <c r="AQ352" s="383"/>
      <c r="AR352" s="383"/>
    </row>
    <row r="353" spans="2:44" s="639" customFormat="1" ht="12" customHeight="1">
      <c r="B353" s="638"/>
      <c r="J353" s="732" t="s">
        <v>2053</v>
      </c>
      <c r="K353" s="733"/>
      <c r="L353" s="730"/>
      <c r="M353" s="731"/>
      <c r="N353" s="1194" t="s">
        <v>53</v>
      </c>
      <c r="O353" s="1194" t="s">
        <v>664</v>
      </c>
      <c r="P353" s="708"/>
      <c r="X353" s="383"/>
      <c r="Y353" s="383"/>
      <c r="Z353" s="383"/>
      <c r="AA353" s="383"/>
      <c r="AB353" s="383"/>
      <c r="AC353" s="383"/>
      <c r="AD353" s="383"/>
      <c r="AE353" s="383"/>
      <c r="AF353" s="383"/>
      <c r="AG353" s="383"/>
      <c r="AH353" s="383"/>
      <c r="AI353" s="383"/>
      <c r="AJ353" s="383"/>
      <c r="AK353" s="383"/>
      <c r="AL353" s="383"/>
      <c r="AM353" s="383"/>
      <c r="AN353" s="383"/>
      <c r="AO353" s="383"/>
      <c r="AP353" s="383"/>
      <c r="AQ353" s="383"/>
      <c r="AR353" s="383"/>
    </row>
    <row r="354" spans="2:44" s="639" customFormat="1" ht="12" customHeight="1">
      <c r="B354" s="638"/>
      <c r="J354" s="732" t="s">
        <v>2055</v>
      </c>
      <c r="K354" s="733"/>
      <c r="L354" s="730"/>
      <c r="M354" s="731"/>
      <c r="N354" s="1194" t="s">
        <v>922</v>
      </c>
      <c r="O354" s="1194" t="s">
        <v>2646</v>
      </c>
      <c r="P354" s="731"/>
      <c r="X354" s="383"/>
      <c r="Y354" s="383"/>
      <c r="Z354" s="383"/>
      <c r="AA354" s="383"/>
      <c r="AB354" s="383"/>
      <c r="AC354" s="383"/>
      <c r="AD354" s="383"/>
      <c r="AE354" s="383"/>
      <c r="AF354" s="383"/>
      <c r="AG354" s="383"/>
      <c r="AH354" s="383"/>
      <c r="AI354" s="383"/>
      <c r="AJ354" s="383"/>
      <c r="AK354" s="383"/>
      <c r="AL354" s="383"/>
      <c r="AM354" s="383"/>
      <c r="AN354" s="383"/>
      <c r="AO354" s="383"/>
      <c r="AP354" s="383"/>
      <c r="AQ354" s="383"/>
      <c r="AR354" s="383"/>
    </row>
    <row r="355" spans="2:44" s="639" customFormat="1" ht="12" customHeight="1">
      <c r="B355" s="638"/>
      <c r="J355" s="732" t="s">
        <v>758</v>
      </c>
      <c r="K355" s="733"/>
      <c r="L355" s="730"/>
      <c r="M355" s="731"/>
      <c r="N355" s="708" t="s">
        <v>2050</v>
      </c>
      <c r="O355" s="708" t="s">
        <v>922</v>
      </c>
      <c r="P355" s="1239"/>
      <c r="X355" s="383"/>
      <c r="Y355" s="383"/>
      <c r="Z355" s="383"/>
      <c r="AA355" s="383"/>
      <c r="AB355" s="383"/>
      <c r="AC355" s="383"/>
      <c r="AD355" s="383"/>
      <c r="AE355" s="383"/>
      <c r="AF355" s="383"/>
      <c r="AG355" s="383"/>
      <c r="AH355" s="383"/>
      <c r="AI355" s="383"/>
      <c r="AJ355" s="383"/>
      <c r="AK355" s="383"/>
      <c r="AL355" s="383"/>
      <c r="AM355" s="383"/>
      <c r="AN355" s="383"/>
      <c r="AO355" s="383"/>
      <c r="AP355" s="383"/>
      <c r="AQ355" s="383"/>
      <c r="AR355" s="383"/>
    </row>
    <row r="356" spans="2:44" s="639" customFormat="1" ht="12" customHeight="1">
      <c r="B356" s="638"/>
      <c r="J356" s="732" t="s">
        <v>1202</v>
      </c>
      <c r="K356" s="733"/>
      <c r="L356" s="730"/>
      <c r="M356" s="731"/>
      <c r="N356" s="708" t="s">
        <v>2743</v>
      </c>
      <c r="O356" s="708" t="s">
        <v>664</v>
      </c>
      <c r="P356" s="1239"/>
      <c r="X356" s="383"/>
      <c r="Y356" s="383"/>
      <c r="Z356" s="383"/>
      <c r="AA356" s="383"/>
      <c r="AB356" s="383"/>
      <c r="AC356" s="383"/>
      <c r="AD356" s="383"/>
      <c r="AE356" s="383"/>
      <c r="AF356" s="383"/>
      <c r="AG356" s="383"/>
      <c r="AH356" s="383"/>
      <c r="AI356" s="383"/>
      <c r="AJ356" s="383"/>
      <c r="AK356" s="383"/>
      <c r="AL356" s="383"/>
      <c r="AM356" s="383"/>
      <c r="AN356" s="383"/>
      <c r="AO356" s="383"/>
      <c r="AP356" s="383"/>
      <c r="AQ356" s="383"/>
      <c r="AR356" s="383"/>
    </row>
    <row r="357" spans="2:44" s="639" customFormat="1" ht="12" customHeight="1">
      <c r="B357" s="638"/>
      <c r="J357" s="732" t="s">
        <v>1204</v>
      </c>
      <c r="K357" s="733"/>
      <c r="L357" s="730"/>
      <c r="M357" s="731"/>
      <c r="N357" s="1194" t="s">
        <v>3241</v>
      </c>
      <c r="O357" s="1194" t="s">
        <v>2643</v>
      </c>
      <c r="P357" s="731"/>
      <c r="X357" s="383"/>
      <c r="Y357" s="383"/>
      <c r="Z357" s="383"/>
      <c r="AA357" s="383"/>
      <c r="AB357" s="383"/>
      <c r="AC357" s="383"/>
      <c r="AD357" s="383"/>
      <c r="AE357" s="383"/>
      <c r="AF357" s="383"/>
      <c r="AG357" s="383"/>
      <c r="AH357" s="383"/>
      <c r="AI357" s="383"/>
      <c r="AJ357" s="383"/>
      <c r="AK357" s="383"/>
      <c r="AL357" s="383"/>
      <c r="AM357" s="383"/>
      <c r="AN357" s="383"/>
      <c r="AO357" s="383"/>
      <c r="AP357" s="383"/>
      <c r="AQ357" s="383"/>
      <c r="AR357" s="383"/>
    </row>
    <row r="358" spans="2:44" s="639" customFormat="1" ht="12" customHeight="1">
      <c r="B358" s="638"/>
      <c r="J358" s="732" t="s">
        <v>1206</v>
      </c>
      <c r="K358" s="733"/>
      <c r="L358" s="730"/>
      <c r="M358" s="731"/>
      <c r="N358" s="1194" t="s">
        <v>2054</v>
      </c>
      <c r="O358" s="1194" t="s">
        <v>1542</v>
      </c>
      <c r="P358" s="731"/>
      <c r="X358" s="383"/>
      <c r="Y358" s="383"/>
      <c r="Z358" s="383"/>
      <c r="AA358" s="383"/>
      <c r="AB358" s="383"/>
      <c r="AC358" s="383"/>
      <c r="AD358" s="383"/>
      <c r="AE358" s="383"/>
      <c r="AF358" s="383"/>
      <c r="AG358" s="383"/>
      <c r="AH358" s="383"/>
      <c r="AI358" s="383"/>
      <c r="AJ358" s="383"/>
      <c r="AK358" s="383"/>
      <c r="AL358" s="383"/>
      <c r="AM358" s="383"/>
      <c r="AN358" s="383"/>
      <c r="AO358" s="383"/>
      <c r="AP358" s="383"/>
      <c r="AQ358" s="383"/>
      <c r="AR358" s="383"/>
    </row>
    <row r="359" spans="2:44" s="639" customFormat="1" ht="12" customHeight="1">
      <c r="B359" s="638"/>
      <c r="J359" s="732" t="s">
        <v>2675</v>
      </c>
      <c r="K359" s="733"/>
      <c r="L359" s="730"/>
      <c r="M359" s="731"/>
      <c r="N359" s="1194" t="s">
        <v>2056</v>
      </c>
      <c r="O359" s="1194" t="s">
        <v>1542</v>
      </c>
      <c r="P359" s="731"/>
      <c r="X359" s="383"/>
      <c r="Y359" s="383"/>
      <c r="Z359" s="383"/>
      <c r="AA359" s="383"/>
      <c r="AB359" s="383"/>
      <c r="AC359" s="383"/>
      <c r="AD359" s="383"/>
      <c r="AE359" s="383"/>
      <c r="AF359" s="383"/>
      <c r="AG359" s="383"/>
      <c r="AH359" s="383"/>
      <c r="AI359" s="383"/>
      <c r="AJ359" s="383"/>
      <c r="AK359" s="383"/>
      <c r="AL359" s="383"/>
      <c r="AM359" s="383"/>
      <c r="AN359" s="383"/>
      <c r="AO359" s="383"/>
      <c r="AP359" s="383"/>
      <c r="AQ359" s="383"/>
      <c r="AR359" s="383"/>
    </row>
    <row r="360" spans="2:44" s="639" customFormat="1" ht="12" customHeight="1">
      <c r="B360" s="638"/>
      <c r="J360" s="732" t="s">
        <v>2677</v>
      </c>
      <c r="K360" s="733"/>
      <c r="L360" s="730"/>
      <c r="M360" s="731"/>
      <c r="N360" s="1194" t="s">
        <v>759</v>
      </c>
      <c r="O360" s="1194" t="s">
        <v>124</v>
      </c>
      <c r="P360" s="731"/>
      <c r="X360" s="383"/>
      <c r="Y360" s="383"/>
      <c r="Z360" s="383"/>
      <c r="AA360" s="383"/>
      <c r="AB360" s="383"/>
      <c r="AC360" s="383"/>
      <c r="AD360" s="383"/>
      <c r="AE360" s="383"/>
      <c r="AF360" s="383"/>
      <c r="AG360" s="383"/>
      <c r="AH360" s="383"/>
      <c r="AI360" s="383"/>
      <c r="AJ360" s="383"/>
      <c r="AK360" s="383"/>
      <c r="AL360" s="383"/>
      <c r="AM360" s="383"/>
      <c r="AN360" s="383"/>
      <c r="AO360" s="383"/>
      <c r="AP360" s="383"/>
      <c r="AQ360" s="383"/>
      <c r="AR360" s="383"/>
    </row>
    <row r="361" spans="2:44" s="639" customFormat="1" ht="12" customHeight="1">
      <c r="B361" s="638"/>
      <c r="J361" s="732" t="s">
        <v>195</v>
      </c>
      <c r="K361" s="733"/>
      <c r="L361" s="730"/>
      <c r="M361" s="731"/>
      <c r="N361" s="1194" t="s">
        <v>731</v>
      </c>
      <c r="O361" s="1194" t="s">
        <v>664</v>
      </c>
      <c r="P361" s="731"/>
      <c r="X361" s="383"/>
      <c r="Y361" s="383"/>
      <c r="Z361" s="383"/>
      <c r="AA361" s="383"/>
      <c r="AB361" s="383"/>
      <c r="AC361" s="383"/>
      <c r="AD361" s="383"/>
      <c r="AE361" s="383"/>
      <c r="AF361" s="383"/>
      <c r="AG361" s="383"/>
      <c r="AH361" s="383"/>
      <c r="AI361" s="383"/>
      <c r="AJ361" s="383"/>
      <c r="AK361" s="383"/>
      <c r="AL361" s="383"/>
      <c r="AM361" s="383"/>
      <c r="AN361" s="383"/>
      <c r="AO361" s="383"/>
      <c r="AP361" s="383"/>
      <c r="AQ361" s="383"/>
      <c r="AR361" s="383"/>
    </row>
    <row r="362" spans="2:44" s="639" customFormat="1" ht="12" customHeight="1">
      <c r="B362" s="638"/>
      <c r="J362" s="732" t="s">
        <v>197</v>
      </c>
      <c r="K362" s="733"/>
      <c r="L362" s="730"/>
      <c r="M362" s="731"/>
      <c r="N362" s="1194" t="s">
        <v>3242</v>
      </c>
      <c r="O362" s="1194" t="s">
        <v>166</v>
      </c>
      <c r="P362" s="731"/>
      <c r="X362" s="383"/>
      <c r="Y362" s="383"/>
      <c r="Z362" s="383"/>
      <c r="AA362" s="383"/>
      <c r="AB362" s="383"/>
      <c r="AC362" s="383"/>
      <c r="AD362" s="383"/>
      <c r="AE362" s="383"/>
      <c r="AF362" s="383"/>
      <c r="AG362" s="383"/>
      <c r="AH362" s="383"/>
      <c r="AI362" s="383"/>
      <c r="AJ362" s="383"/>
      <c r="AK362" s="383"/>
      <c r="AL362" s="383"/>
      <c r="AM362" s="383"/>
      <c r="AN362" s="383"/>
      <c r="AO362" s="383"/>
      <c r="AP362" s="383"/>
      <c r="AQ362" s="383"/>
      <c r="AR362" s="383"/>
    </row>
    <row r="363" spans="2:44" s="639" customFormat="1" ht="12" customHeight="1">
      <c r="B363" s="638"/>
      <c r="J363" s="732" t="s">
        <v>1943</v>
      </c>
      <c r="K363" s="733"/>
      <c r="L363" s="730"/>
      <c r="M363" s="731"/>
      <c r="N363" s="1194" t="s">
        <v>3243</v>
      </c>
      <c r="O363" s="1194" t="s">
        <v>334</v>
      </c>
      <c r="P363" s="731"/>
      <c r="X363" s="383"/>
      <c r="Y363" s="383"/>
      <c r="Z363" s="383"/>
      <c r="AA363" s="383"/>
      <c r="AB363" s="383"/>
      <c r="AC363" s="383"/>
      <c r="AD363" s="383"/>
      <c r="AE363" s="383"/>
      <c r="AF363" s="383"/>
      <c r="AG363" s="383"/>
      <c r="AH363" s="383"/>
      <c r="AI363" s="383"/>
      <c r="AJ363" s="383"/>
      <c r="AK363" s="383"/>
      <c r="AL363" s="383"/>
      <c r="AM363" s="383"/>
      <c r="AN363" s="383"/>
      <c r="AO363" s="383"/>
      <c r="AP363" s="383"/>
      <c r="AQ363" s="383"/>
      <c r="AR363" s="383"/>
    </row>
    <row r="364" spans="2:44" s="639" customFormat="1" ht="12" customHeight="1">
      <c r="B364" s="638"/>
      <c r="J364" s="732" t="s">
        <v>1945</v>
      </c>
      <c r="K364" s="733"/>
      <c r="L364" s="730"/>
      <c r="M364" s="731"/>
      <c r="N364" s="1194" t="s">
        <v>1203</v>
      </c>
      <c r="O364" s="1194" t="s">
        <v>1542</v>
      </c>
      <c r="P364" s="731"/>
      <c r="X364" s="383"/>
      <c r="Y364" s="383"/>
      <c r="Z364" s="383"/>
      <c r="AA364" s="383"/>
      <c r="AB364" s="383"/>
      <c r="AC364" s="383"/>
      <c r="AD364" s="383"/>
      <c r="AE364" s="383"/>
      <c r="AF364" s="383"/>
      <c r="AG364" s="383"/>
      <c r="AH364" s="383"/>
      <c r="AI364" s="383"/>
      <c r="AJ364" s="383"/>
      <c r="AK364" s="383"/>
      <c r="AL364" s="383"/>
      <c r="AM364" s="383"/>
      <c r="AN364" s="383"/>
      <c r="AO364" s="383"/>
      <c r="AP364" s="383"/>
      <c r="AQ364" s="383"/>
      <c r="AR364" s="383"/>
    </row>
    <row r="365" spans="2:44" s="639" customFormat="1" ht="12" customHeight="1">
      <c r="B365" s="638"/>
      <c r="J365" s="732" t="s">
        <v>2016</v>
      </c>
      <c r="K365" s="733"/>
      <c r="L365" s="730"/>
      <c r="M365" s="731"/>
      <c r="N365" s="1194" t="s">
        <v>1205</v>
      </c>
      <c r="O365" s="1194" t="s">
        <v>702</v>
      </c>
      <c r="P365" s="731"/>
      <c r="X365" s="383"/>
      <c r="Y365" s="383"/>
      <c r="Z365" s="383"/>
      <c r="AA365" s="383"/>
      <c r="AB365" s="383"/>
      <c r="AC365" s="383"/>
      <c r="AD365" s="383"/>
      <c r="AE365" s="383"/>
      <c r="AF365" s="383"/>
      <c r="AG365" s="383"/>
      <c r="AH365" s="383"/>
      <c r="AI365" s="383"/>
      <c r="AJ365" s="383"/>
      <c r="AK365" s="383"/>
      <c r="AL365" s="383"/>
      <c r="AM365" s="383"/>
      <c r="AN365" s="383"/>
      <c r="AO365" s="383"/>
      <c r="AP365" s="383"/>
      <c r="AQ365" s="383"/>
      <c r="AR365" s="383"/>
    </row>
    <row r="366" spans="2:44" s="639" customFormat="1" ht="12" customHeight="1">
      <c r="B366" s="638"/>
      <c r="J366" s="732" t="s">
        <v>2018</v>
      </c>
      <c r="K366" s="733"/>
      <c r="L366" s="730"/>
      <c r="M366" s="731"/>
      <c r="N366" s="1194" t="s">
        <v>2744</v>
      </c>
      <c r="O366" s="1194" t="s">
        <v>2305</v>
      </c>
      <c r="P366" s="731"/>
      <c r="X366" s="383"/>
      <c r="Y366" s="383"/>
      <c r="Z366" s="383"/>
      <c r="AA366" s="383"/>
      <c r="AB366" s="383"/>
      <c r="AC366" s="383"/>
      <c r="AD366" s="383"/>
      <c r="AE366" s="383"/>
      <c r="AF366" s="383"/>
      <c r="AG366" s="383"/>
      <c r="AH366" s="383"/>
      <c r="AI366" s="383"/>
      <c r="AJ366" s="383"/>
      <c r="AK366" s="383"/>
      <c r="AL366" s="383"/>
      <c r="AM366" s="383"/>
      <c r="AN366" s="383"/>
      <c r="AO366" s="383"/>
      <c r="AP366" s="383"/>
      <c r="AQ366" s="383"/>
      <c r="AR366" s="383"/>
    </row>
    <row r="367" spans="2:44" s="639" customFormat="1" ht="12" customHeight="1">
      <c r="B367" s="638"/>
      <c r="J367" s="732" t="s">
        <v>2019</v>
      </c>
      <c r="K367" s="733"/>
      <c r="L367" s="730"/>
      <c r="M367" s="731"/>
      <c r="N367" s="1194" t="s">
        <v>2745</v>
      </c>
      <c r="O367" s="1194" t="s">
        <v>2695</v>
      </c>
      <c r="P367" s="731"/>
      <c r="X367" s="383"/>
      <c r="Y367" s="383"/>
      <c r="Z367" s="383"/>
      <c r="AA367" s="383"/>
      <c r="AB367" s="383"/>
      <c r="AC367" s="383"/>
      <c r="AD367" s="383"/>
      <c r="AE367" s="383"/>
      <c r="AF367" s="383"/>
      <c r="AG367" s="383"/>
      <c r="AH367" s="383"/>
      <c r="AI367" s="383"/>
      <c r="AJ367" s="383"/>
      <c r="AK367" s="383"/>
      <c r="AL367" s="383"/>
      <c r="AM367" s="383"/>
      <c r="AN367" s="383"/>
      <c r="AO367" s="383"/>
      <c r="AP367" s="383"/>
      <c r="AQ367" s="383"/>
      <c r="AR367" s="383"/>
    </row>
    <row r="368" spans="2:44" s="639" customFormat="1" ht="12" customHeight="1">
      <c r="B368" s="638"/>
      <c r="J368" s="732" t="s">
        <v>2021</v>
      </c>
      <c r="K368" s="733"/>
      <c r="L368" s="730"/>
      <c r="M368" s="731"/>
      <c r="N368" s="1194" t="s">
        <v>1207</v>
      </c>
      <c r="O368" s="1194" t="s">
        <v>1277</v>
      </c>
      <c r="P368" s="731"/>
      <c r="X368" s="383"/>
      <c r="Y368" s="383"/>
      <c r="Z368" s="383"/>
      <c r="AA368" s="383"/>
      <c r="AB368" s="383"/>
      <c r="AC368" s="383"/>
      <c r="AD368" s="383"/>
      <c r="AE368" s="383"/>
      <c r="AF368" s="383"/>
      <c r="AG368" s="383"/>
      <c r="AH368" s="383"/>
      <c r="AI368" s="383"/>
      <c r="AJ368" s="383"/>
      <c r="AK368" s="383"/>
      <c r="AL368" s="383"/>
      <c r="AM368" s="383"/>
      <c r="AN368" s="383"/>
      <c r="AO368" s="383"/>
      <c r="AP368" s="383"/>
      <c r="AQ368" s="383"/>
      <c r="AR368" s="383"/>
    </row>
    <row r="369" spans="2:44" s="639" customFormat="1" ht="12" customHeight="1">
      <c r="B369" s="638"/>
      <c r="J369" s="732" t="s">
        <v>2023</v>
      </c>
      <c r="K369" s="733"/>
      <c r="L369" s="730"/>
      <c r="M369" s="731"/>
      <c r="N369" s="1194" t="s">
        <v>2676</v>
      </c>
      <c r="O369" s="1194" t="s">
        <v>207</v>
      </c>
      <c r="P369" s="731"/>
      <c r="X369" s="383"/>
      <c r="Y369" s="383"/>
      <c r="Z369" s="383"/>
      <c r="AA369" s="383"/>
      <c r="AB369" s="383"/>
      <c r="AC369" s="383"/>
      <c r="AD369" s="383"/>
      <c r="AE369" s="383"/>
      <c r="AF369" s="383"/>
      <c r="AG369" s="383"/>
      <c r="AH369" s="383"/>
      <c r="AI369" s="383"/>
      <c r="AJ369" s="383"/>
      <c r="AK369" s="383"/>
      <c r="AL369" s="383"/>
      <c r="AM369" s="383"/>
      <c r="AN369" s="383"/>
      <c r="AO369" s="383"/>
      <c r="AP369" s="383"/>
      <c r="AQ369" s="383"/>
      <c r="AR369" s="383"/>
    </row>
    <row r="370" spans="2:44" s="639" customFormat="1" ht="12" customHeight="1">
      <c r="B370" s="638"/>
      <c r="J370" s="732" t="s">
        <v>2058</v>
      </c>
      <c r="K370" s="733"/>
      <c r="L370" s="730"/>
      <c r="M370" s="731"/>
      <c r="N370" s="1194" t="s">
        <v>477</v>
      </c>
      <c r="O370" s="1194" t="s">
        <v>1160</v>
      </c>
      <c r="P370" s="731"/>
      <c r="X370" s="383"/>
      <c r="Y370" s="383"/>
      <c r="Z370" s="383"/>
      <c r="AA370" s="383"/>
      <c r="AB370" s="383"/>
      <c r="AC370" s="383"/>
      <c r="AD370" s="383"/>
      <c r="AE370" s="383"/>
      <c r="AF370" s="383"/>
      <c r="AG370" s="383"/>
      <c r="AH370" s="383"/>
      <c r="AI370" s="383"/>
      <c r="AJ370" s="383"/>
      <c r="AK370" s="383"/>
      <c r="AL370" s="383"/>
      <c r="AM370" s="383"/>
      <c r="AN370" s="383"/>
      <c r="AO370" s="383"/>
      <c r="AP370" s="383"/>
      <c r="AQ370" s="383"/>
      <c r="AR370" s="383"/>
    </row>
    <row r="371" spans="2:44" s="639" customFormat="1" ht="12" customHeight="1">
      <c r="B371" s="638"/>
      <c r="J371" s="732" t="s">
        <v>2060</v>
      </c>
      <c r="K371" s="733"/>
      <c r="L371" s="730"/>
      <c r="M371" s="731"/>
      <c r="N371" s="708" t="s">
        <v>196</v>
      </c>
      <c r="O371" s="708" t="s">
        <v>704</v>
      </c>
      <c r="P371" s="1239"/>
      <c r="X371" s="383"/>
      <c r="Y371" s="383"/>
      <c r="Z371" s="383"/>
      <c r="AA371" s="383"/>
      <c r="AB371" s="383"/>
      <c r="AC371" s="383"/>
      <c r="AD371" s="383"/>
      <c r="AE371" s="383"/>
      <c r="AF371" s="383"/>
      <c r="AG371" s="383"/>
      <c r="AH371" s="383"/>
      <c r="AI371" s="383"/>
      <c r="AJ371" s="383"/>
      <c r="AK371" s="383"/>
      <c r="AL371" s="383"/>
      <c r="AM371" s="383"/>
      <c r="AN371" s="383"/>
      <c r="AO371" s="383"/>
      <c r="AP371" s="383"/>
      <c r="AQ371" s="383"/>
      <c r="AR371" s="383"/>
    </row>
    <row r="372" spans="2:44" s="639" customFormat="1" ht="12" customHeight="1">
      <c r="B372" s="638"/>
      <c r="J372" s="732" t="s">
        <v>2061</v>
      </c>
      <c r="K372" s="733"/>
      <c r="L372" s="730"/>
      <c r="M372" s="731"/>
      <c r="N372" s="708" t="s">
        <v>317</v>
      </c>
      <c r="O372" s="708" t="s">
        <v>1412</v>
      </c>
      <c r="P372" s="1239"/>
      <c r="X372" s="383"/>
      <c r="Y372" s="383"/>
      <c r="Z372" s="383"/>
      <c r="AA372" s="383"/>
      <c r="AB372" s="383"/>
      <c r="AC372" s="383"/>
      <c r="AD372" s="383"/>
      <c r="AE372" s="383"/>
      <c r="AF372" s="383"/>
      <c r="AG372" s="383"/>
      <c r="AH372" s="383"/>
      <c r="AI372" s="383"/>
      <c r="AJ372" s="383"/>
      <c r="AK372" s="383"/>
      <c r="AL372" s="383"/>
      <c r="AM372" s="383"/>
      <c r="AN372" s="383"/>
      <c r="AO372" s="383"/>
      <c r="AP372" s="383"/>
      <c r="AQ372" s="383"/>
      <c r="AR372" s="383"/>
    </row>
    <row r="373" spans="2:44" s="639" customFormat="1" ht="12" customHeight="1">
      <c r="B373" s="638"/>
      <c r="J373" s="732" t="s">
        <v>2063</v>
      </c>
      <c r="K373" s="733"/>
      <c r="L373" s="730"/>
      <c r="M373" s="731"/>
      <c r="N373" s="708" t="s">
        <v>1944</v>
      </c>
      <c r="O373" s="708" t="s">
        <v>927</v>
      </c>
      <c r="P373" s="1239"/>
      <c r="X373" s="383"/>
      <c r="Y373" s="383"/>
      <c r="Z373" s="383"/>
      <c r="AA373" s="383"/>
      <c r="AB373" s="383"/>
      <c r="AC373" s="383"/>
      <c r="AD373" s="383"/>
      <c r="AE373" s="383"/>
      <c r="AF373" s="383"/>
      <c r="AG373" s="383"/>
      <c r="AH373" s="383"/>
      <c r="AI373" s="383"/>
      <c r="AJ373" s="383"/>
      <c r="AK373" s="383"/>
      <c r="AL373" s="383"/>
      <c r="AM373" s="383"/>
      <c r="AN373" s="383"/>
      <c r="AO373" s="383"/>
      <c r="AP373" s="383"/>
      <c r="AQ373" s="383"/>
      <c r="AR373" s="383"/>
    </row>
    <row r="374" spans="2:44" s="639" customFormat="1" ht="12" customHeight="1">
      <c r="B374" s="638"/>
      <c r="J374" s="732" t="s">
        <v>2065</v>
      </c>
      <c r="K374" s="733"/>
      <c r="L374" s="730"/>
      <c r="M374" s="731"/>
      <c r="N374" s="1194" t="s">
        <v>1946</v>
      </c>
      <c r="O374" s="1194" t="s">
        <v>1170</v>
      </c>
      <c r="P374" s="731"/>
      <c r="X374" s="383"/>
      <c r="Y374" s="383"/>
      <c r="Z374" s="383"/>
      <c r="AA374" s="383"/>
      <c r="AB374" s="383"/>
      <c r="AC374" s="383"/>
      <c r="AD374" s="383"/>
      <c r="AE374" s="383"/>
      <c r="AF374" s="383"/>
      <c r="AG374" s="383"/>
      <c r="AH374" s="383"/>
      <c r="AI374" s="383"/>
      <c r="AJ374" s="383"/>
      <c r="AK374" s="383"/>
      <c r="AL374" s="383"/>
      <c r="AM374" s="383"/>
      <c r="AN374" s="383"/>
      <c r="AO374" s="383"/>
      <c r="AP374" s="383"/>
      <c r="AQ374" s="383"/>
      <c r="AR374" s="383"/>
    </row>
    <row r="375" spans="2:44" s="639" customFormat="1" ht="12" customHeight="1">
      <c r="B375" s="638"/>
      <c r="J375" s="732" t="s">
        <v>438</v>
      </c>
      <c r="K375" s="733"/>
      <c r="L375" s="730"/>
      <c r="M375" s="731"/>
      <c r="N375" s="1194" t="s">
        <v>2017</v>
      </c>
      <c r="O375" s="1194" t="s">
        <v>2648</v>
      </c>
      <c r="P375" s="731"/>
      <c r="X375" s="383"/>
      <c r="Y375" s="383"/>
      <c r="Z375" s="383"/>
      <c r="AA375" s="383"/>
      <c r="AB375" s="383"/>
      <c r="AC375" s="383"/>
      <c r="AD375" s="383"/>
      <c r="AE375" s="383"/>
      <c r="AF375" s="383"/>
      <c r="AG375" s="383"/>
      <c r="AH375" s="383"/>
      <c r="AI375" s="383"/>
      <c r="AJ375" s="383"/>
      <c r="AK375" s="383"/>
      <c r="AL375" s="383"/>
      <c r="AM375" s="383"/>
      <c r="AN375" s="383"/>
      <c r="AO375" s="383"/>
      <c r="AP375" s="383"/>
      <c r="AQ375" s="383"/>
      <c r="AR375" s="383"/>
    </row>
    <row r="376" spans="2:44" s="639" customFormat="1" ht="12" customHeight="1">
      <c r="B376" s="638"/>
      <c r="J376" s="732" t="s">
        <v>136</v>
      </c>
      <c r="K376" s="733"/>
      <c r="L376" s="730"/>
      <c r="M376" s="731"/>
      <c r="N376" s="708" t="s">
        <v>2020</v>
      </c>
      <c r="O376" s="708" t="s">
        <v>702</v>
      </c>
      <c r="P376" s="1239"/>
      <c r="X376" s="383"/>
      <c r="Y376" s="383"/>
      <c r="Z376" s="383"/>
      <c r="AA376" s="383"/>
      <c r="AB376" s="383"/>
      <c r="AC376" s="383"/>
      <c r="AD376" s="383"/>
      <c r="AE376" s="383"/>
      <c r="AF376" s="383"/>
      <c r="AG376" s="383"/>
      <c r="AH376" s="383"/>
      <c r="AI376" s="383"/>
      <c r="AJ376" s="383"/>
      <c r="AK376" s="383"/>
      <c r="AL376" s="383"/>
      <c r="AM376" s="383"/>
      <c r="AN376" s="383"/>
      <c r="AO376" s="383"/>
      <c r="AP376" s="383"/>
      <c r="AQ376" s="383"/>
      <c r="AR376" s="383"/>
    </row>
    <row r="377" spans="2:44" s="639" customFormat="1" ht="12" customHeight="1">
      <c r="B377" s="638"/>
      <c r="J377" s="732" t="s">
        <v>1784</v>
      </c>
      <c r="K377" s="733"/>
      <c r="L377" s="730"/>
      <c r="M377" s="731"/>
      <c r="N377" s="1194" t="s">
        <v>2022</v>
      </c>
      <c r="O377" s="1194" t="s">
        <v>1394</v>
      </c>
      <c r="P377" s="731"/>
      <c r="X377" s="383"/>
      <c r="Y377" s="383"/>
      <c r="Z377" s="383"/>
      <c r="AA377" s="383"/>
      <c r="AB377" s="383"/>
      <c r="AC377" s="383"/>
      <c r="AD377" s="383"/>
      <c r="AE377" s="383"/>
      <c r="AF377" s="383"/>
      <c r="AG377" s="383"/>
      <c r="AH377" s="383"/>
      <c r="AI377" s="383"/>
      <c r="AJ377" s="383"/>
      <c r="AK377" s="383"/>
      <c r="AL377" s="383"/>
      <c r="AM377" s="383"/>
      <c r="AN377" s="383"/>
      <c r="AO377" s="383"/>
      <c r="AP377" s="383"/>
      <c r="AQ377" s="383"/>
      <c r="AR377" s="383"/>
    </row>
    <row r="378" spans="2:44" s="639" customFormat="1" ht="12" customHeight="1">
      <c r="B378" s="638"/>
      <c r="J378" s="732" t="s">
        <v>1862</v>
      </c>
      <c r="K378" s="733"/>
      <c r="L378" s="730"/>
      <c r="M378" s="731"/>
      <c r="N378" s="1194" t="s">
        <v>3244</v>
      </c>
      <c r="O378" s="1194" t="s">
        <v>207</v>
      </c>
      <c r="P378" s="731"/>
      <c r="X378" s="383"/>
      <c r="Y378" s="383"/>
      <c r="Z378" s="383"/>
      <c r="AA378" s="383"/>
      <c r="AB378" s="383"/>
      <c r="AC378" s="383"/>
      <c r="AD378" s="383"/>
      <c r="AE378" s="383"/>
      <c r="AF378" s="383"/>
      <c r="AG378" s="383"/>
      <c r="AH378" s="383"/>
      <c r="AI378" s="383"/>
      <c r="AJ378" s="383"/>
      <c r="AK378" s="383"/>
      <c r="AL378" s="383"/>
      <c r="AM378" s="383"/>
      <c r="AN378" s="383"/>
      <c r="AO378" s="383"/>
      <c r="AP378" s="383"/>
      <c r="AQ378" s="383"/>
      <c r="AR378" s="383"/>
    </row>
    <row r="379" spans="2:44" s="639" customFormat="1" ht="12" customHeight="1">
      <c r="B379" s="638"/>
      <c r="J379" s="732" t="s">
        <v>2418</v>
      </c>
      <c r="K379" s="733"/>
      <c r="L379" s="730"/>
      <c r="M379" s="731"/>
      <c r="N379" s="1194" t="s">
        <v>2024</v>
      </c>
      <c r="O379" s="1194" t="s">
        <v>1397</v>
      </c>
      <c r="P379" s="731"/>
      <c r="X379" s="383"/>
      <c r="Y379" s="383"/>
      <c r="Z379" s="383"/>
      <c r="AA379" s="383"/>
      <c r="AB379" s="383"/>
      <c r="AC379" s="383"/>
      <c r="AD379" s="383"/>
      <c r="AE379" s="383"/>
      <c r="AF379" s="383"/>
      <c r="AG379" s="383"/>
      <c r="AH379" s="383"/>
      <c r="AI379" s="383"/>
      <c r="AJ379" s="383"/>
      <c r="AK379" s="383"/>
      <c r="AL379" s="383"/>
      <c r="AM379" s="383"/>
      <c r="AN379" s="383"/>
      <c r="AO379" s="383"/>
      <c r="AP379" s="383"/>
      <c r="AQ379" s="383"/>
      <c r="AR379" s="383"/>
    </row>
    <row r="380" spans="2:44" s="639" customFormat="1" ht="12" customHeight="1">
      <c r="B380" s="638"/>
      <c r="J380" s="732" t="s">
        <v>2420</v>
      </c>
      <c r="K380" s="733"/>
      <c r="L380" s="730"/>
      <c r="M380" s="731"/>
      <c r="N380" s="1194" t="s">
        <v>2059</v>
      </c>
      <c r="O380" s="1194" t="s">
        <v>336</v>
      </c>
      <c r="P380" s="731"/>
      <c r="X380" s="383"/>
      <c r="Y380" s="383"/>
      <c r="Z380" s="383"/>
      <c r="AA380" s="383"/>
      <c r="AB380" s="383"/>
      <c r="AC380" s="383"/>
      <c r="AD380" s="383"/>
      <c r="AE380" s="383"/>
      <c r="AF380" s="383"/>
      <c r="AG380" s="383"/>
      <c r="AH380" s="383"/>
      <c r="AI380" s="383"/>
      <c r="AJ380" s="383"/>
      <c r="AK380" s="383"/>
      <c r="AL380" s="383"/>
      <c r="AM380" s="383"/>
      <c r="AN380" s="383"/>
      <c r="AO380" s="383"/>
      <c r="AP380" s="383"/>
      <c r="AQ380" s="383"/>
      <c r="AR380" s="383"/>
    </row>
    <row r="381" spans="2:44" s="639" customFormat="1" ht="12" customHeight="1">
      <c r="B381" s="638"/>
      <c r="J381" s="732" t="s">
        <v>1046</v>
      </c>
      <c r="K381" s="733"/>
      <c r="L381" s="730"/>
      <c r="M381" s="731"/>
      <c r="N381" s="1194" t="s">
        <v>3245</v>
      </c>
      <c r="O381" s="1194" t="s">
        <v>695</v>
      </c>
      <c r="P381" s="731"/>
      <c r="X381" s="383"/>
      <c r="Y381" s="383"/>
      <c r="Z381" s="383"/>
      <c r="AA381" s="383"/>
      <c r="AB381" s="383"/>
      <c r="AC381" s="383"/>
      <c r="AD381" s="383"/>
      <c r="AE381" s="383"/>
      <c r="AF381" s="383"/>
      <c r="AG381" s="383"/>
      <c r="AH381" s="383"/>
      <c r="AI381" s="383"/>
      <c r="AJ381" s="383"/>
      <c r="AK381" s="383"/>
      <c r="AL381" s="383"/>
      <c r="AM381" s="383"/>
      <c r="AN381" s="383"/>
      <c r="AO381" s="383"/>
      <c r="AP381" s="383"/>
      <c r="AQ381" s="383"/>
      <c r="AR381" s="383"/>
    </row>
    <row r="382" spans="2:44" s="639" customFormat="1" ht="12" customHeight="1">
      <c r="B382" s="638"/>
      <c r="J382" s="732" t="s">
        <v>717</v>
      </c>
      <c r="K382" s="733"/>
      <c r="L382" s="730"/>
      <c r="M382" s="731"/>
      <c r="N382" s="1194" t="s">
        <v>2062</v>
      </c>
      <c r="O382" s="1194" t="s">
        <v>2759</v>
      </c>
      <c r="P382" s="731"/>
      <c r="X382" s="383"/>
      <c r="Y382" s="383"/>
      <c r="Z382" s="383"/>
      <c r="AA382" s="383"/>
      <c r="AB382" s="383"/>
      <c r="AC382" s="383"/>
      <c r="AD382" s="383"/>
      <c r="AE382" s="383"/>
      <c r="AF382" s="383"/>
      <c r="AG382" s="383"/>
      <c r="AH382" s="383"/>
      <c r="AI382" s="383"/>
      <c r="AJ382" s="383"/>
      <c r="AK382" s="383"/>
      <c r="AL382" s="383"/>
      <c r="AM382" s="383"/>
      <c r="AN382" s="383"/>
      <c r="AO382" s="383"/>
      <c r="AP382" s="383"/>
      <c r="AQ382" s="383"/>
      <c r="AR382" s="383"/>
    </row>
    <row r="383" spans="2:44" s="639" customFormat="1" ht="12" customHeight="1">
      <c r="B383" s="638"/>
      <c r="J383" s="732" t="s">
        <v>600</v>
      </c>
      <c r="K383" s="733"/>
      <c r="L383" s="730"/>
      <c r="M383" s="731"/>
      <c r="N383" s="1194" t="s">
        <v>2064</v>
      </c>
      <c r="O383" s="1194" t="s">
        <v>1394</v>
      </c>
      <c r="P383" s="731"/>
      <c r="X383" s="383"/>
      <c r="Y383" s="383"/>
      <c r="Z383" s="383"/>
      <c r="AA383" s="383"/>
      <c r="AB383" s="383"/>
      <c r="AC383" s="383"/>
      <c r="AD383" s="383"/>
      <c r="AE383" s="383"/>
      <c r="AF383" s="383"/>
      <c r="AG383" s="383"/>
      <c r="AH383" s="383"/>
      <c r="AI383" s="383"/>
      <c r="AJ383" s="383"/>
      <c r="AK383" s="383"/>
      <c r="AL383" s="383"/>
      <c r="AM383" s="383"/>
      <c r="AN383" s="383"/>
      <c r="AO383" s="383"/>
      <c r="AP383" s="383"/>
      <c r="AQ383" s="383"/>
      <c r="AR383" s="383"/>
    </row>
    <row r="384" spans="2:44" s="639" customFormat="1" ht="12" customHeight="1">
      <c r="B384" s="638"/>
      <c r="J384" s="732" t="s">
        <v>713</v>
      </c>
      <c r="K384" s="733"/>
      <c r="L384" s="730"/>
      <c r="M384" s="731"/>
      <c r="N384" s="1194" t="s">
        <v>2384</v>
      </c>
      <c r="O384" s="1194" t="s">
        <v>2692</v>
      </c>
      <c r="P384" s="731"/>
      <c r="X384" s="383"/>
      <c r="Y384" s="383"/>
      <c r="Z384" s="383"/>
      <c r="AA384" s="383"/>
      <c r="AB384" s="383"/>
      <c r="AC384" s="383"/>
      <c r="AD384" s="383"/>
      <c r="AE384" s="383"/>
      <c r="AF384" s="383"/>
      <c r="AG384" s="383"/>
      <c r="AH384" s="383"/>
      <c r="AI384" s="383"/>
      <c r="AJ384" s="383"/>
      <c r="AK384" s="383"/>
      <c r="AL384" s="383"/>
      <c r="AM384" s="383"/>
      <c r="AN384" s="383"/>
      <c r="AO384" s="383"/>
      <c r="AP384" s="383"/>
      <c r="AQ384" s="383"/>
      <c r="AR384" s="383"/>
    </row>
    <row r="385" spans="2:44" s="639" customFormat="1" ht="12" customHeight="1">
      <c r="B385" s="638"/>
      <c r="J385" s="732" t="s">
        <v>2538</v>
      </c>
      <c r="K385" s="733"/>
      <c r="L385" s="730"/>
      <c r="M385" s="731"/>
      <c r="N385" s="1194" t="s">
        <v>2746</v>
      </c>
      <c r="O385" s="1194" t="s">
        <v>2305</v>
      </c>
      <c r="P385" s="731"/>
      <c r="X385" s="383"/>
      <c r="Y385" s="383"/>
      <c r="Z385" s="383"/>
      <c r="AA385" s="383"/>
      <c r="AB385" s="383"/>
      <c r="AC385" s="383"/>
      <c r="AD385" s="383"/>
      <c r="AE385" s="383"/>
      <c r="AF385" s="383"/>
      <c r="AG385" s="383"/>
      <c r="AH385" s="383"/>
      <c r="AI385" s="383"/>
      <c r="AJ385" s="383"/>
      <c r="AK385" s="383"/>
      <c r="AL385" s="383"/>
      <c r="AM385" s="383"/>
      <c r="AN385" s="383"/>
      <c r="AO385" s="383"/>
      <c r="AP385" s="383"/>
      <c r="AQ385" s="383"/>
      <c r="AR385" s="383"/>
    </row>
    <row r="386" spans="2:44" s="639" customFormat="1" ht="12" customHeight="1">
      <c r="B386" s="638"/>
      <c r="J386" s="732" t="s">
        <v>230</v>
      </c>
      <c r="K386" s="733"/>
      <c r="L386" s="730"/>
      <c r="M386" s="731"/>
      <c r="N386" s="1194" t="s">
        <v>2747</v>
      </c>
      <c r="O386" s="1194" t="s">
        <v>2645</v>
      </c>
      <c r="P386" s="731"/>
      <c r="X386" s="383"/>
      <c r="Y386" s="383"/>
      <c r="Z386" s="383"/>
      <c r="AA386" s="383"/>
      <c r="AB386" s="383"/>
      <c r="AC386" s="383"/>
      <c r="AD386" s="383"/>
      <c r="AE386" s="383"/>
      <c r="AF386" s="383"/>
      <c r="AG386" s="383"/>
      <c r="AH386" s="383"/>
      <c r="AI386" s="383"/>
      <c r="AJ386" s="383"/>
      <c r="AK386" s="383"/>
      <c r="AL386" s="383"/>
      <c r="AM386" s="383"/>
      <c r="AN386" s="383"/>
      <c r="AO386" s="383"/>
      <c r="AP386" s="383"/>
      <c r="AQ386" s="383"/>
      <c r="AR386" s="383"/>
    </row>
    <row r="387" spans="2:44" s="639" customFormat="1" ht="12" customHeight="1">
      <c r="B387" s="638"/>
      <c r="J387" s="732" t="s">
        <v>827</v>
      </c>
      <c r="K387" s="733"/>
      <c r="L387" s="730"/>
      <c r="M387" s="731"/>
      <c r="N387" s="1194" t="s">
        <v>439</v>
      </c>
      <c r="O387" s="1194" t="s">
        <v>1277</v>
      </c>
      <c r="P387" s="731"/>
      <c r="X387" s="383"/>
      <c r="Y387" s="383"/>
      <c r="Z387" s="383"/>
      <c r="AA387" s="383"/>
      <c r="AB387" s="383"/>
      <c r="AC387" s="383"/>
      <c r="AD387" s="383"/>
      <c r="AE387" s="383"/>
      <c r="AF387" s="383"/>
      <c r="AG387" s="383"/>
      <c r="AH387" s="383"/>
      <c r="AI387" s="383"/>
      <c r="AJ387" s="383"/>
      <c r="AK387" s="383"/>
      <c r="AL387" s="383"/>
      <c r="AM387" s="383"/>
      <c r="AN387" s="383"/>
      <c r="AO387" s="383"/>
      <c r="AP387" s="383"/>
      <c r="AQ387" s="383"/>
      <c r="AR387" s="383"/>
    </row>
    <row r="388" spans="2:44" s="639" customFormat="1" ht="12" customHeight="1">
      <c r="B388" s="638"/>
      <c r="J388" s="732" t="s">
        <v>828</v>
      </c>
      <c r="K388" s="733"/>
      <c r="L388" s="730"/>
      <c r="M388" s="731"/>
      <c r="N388" s="708" t="s">
        <v>238</v>
      </c>
      <c r="O388" s="708" t="s">
        <v>707</v>
      </c>
      <c r="P388" s="1239"/>
      <c r="X388" s="383"/>
      <c r="Y388" s="383"/>
      <c r="Z388" s="383"/>
      <c r="AA388" s="383"/>
      <c r="AB388" s="383"/>
      <c r="AC388" s="383"/>
      <c r="AD388" s="383"/>
      <c r="AE388" s="383"/>
      <c r="AF388" s="383"/>
      <c r="AG388" s="383"/>
      <c r="AH388" s="383"/>
      <c r="AI388" s="383"/>
      <c r="AJ388" s="383"/>
      <c r="AK388" s="383"/>
      <c r="AL388" s="383"/>
      <c r="AM388" s="383"/>
      <c r="AN388" s="383"/>
      <c r="AO388" s="383"/>
      <c r="AP388" s="383"/>
      <c r="AQ388" s="383"/>
      <c r="AR388" s="383"/>
    </row>
    <row r="389" spans="2:44" s="639" customFormat="1" ht="12" customHeight="1">
      <c r="B389" s="638"/>
      <c r="J389" s="732" t="s">
        <v>242</v>
      </c>
      <c r="K389" s="733"/>
      <c r="L389" s="730"/>
      <c r="M389" s="731"/>
      <c r="N389" s="1194" t="s">
        <v>2748</v>
      </c>
      <c r="O389" s="1194" t="s">
        <v>2135</v>
      </c>
      <c r="P389" s="731"/>
      <c r="X389" s="383"/>
      <c r="Y389" s="383"/>
      <c r="Z389" s="383"/>
      <c r="AA389" s="383"/>
      <c r="AB389" s="383"/>
      <c r="AC389" s="383"/>
      <c r="AD389" s="383"/>
      <c r="AE389" s="383"/>
      <c r="AF389" s="383"/>
      <c r="AG389" s="383"/>
      <c r="AH389" s="383"/>
      <c r="AI389" s="383"/>
      <c r="AJ389" s="383"/>
      <c r="AK389" s="383"/>
      <c r="AL389" s="383"/>
      <c r="AM389" s="383"/>
      <c r="AN389" s="383"/>
      <c r="AO389" s="383"/>
      <c r="AP389" s="383"/>
      <c r="AQ389" s="383"/>
      <c r="AR389" s="383"/>
    </row>
    <row r="390" spans="2:44" s="639" customFormat="1" ht="12" customHeight="1">
      <c r="B390" s="638"/>
      <c r="J390" s="732" t="s">
        <v>244</v>
      </c>
      <c r="K390" s="733"/>
      <c r="L390" s="730"/>
      <c r="M390" s="731"/>
      <c r="N390" s="1194" t="s">
        <v>1785</v>
      </c>
      <c r="O390" s="1194" t="s">
        <v>2643</v>
      </c>
      <c r="P390" s="731"/>
      <c r="X390" s="383"/>
      <c r="Y390" s="383"/>
      <c r="Z390" s="383"/>
      <c r="AA390" s="383"/>
      <c r="AB390" s="383"/>
      <c r="AC390" s="383"/>
      <c r="AD390" s="383"/>
      <c r="AE390" s="383"/>
      <c r="AF390" s="383"/>
      <c r="AG390" s="383"/>
      <c r="AH390" s="383"/>
      <c r="AI390" s="383"/>
      <c r="AJ390" s="383"/>
      <c r="AK390" s="383"/>
      <c r="AL390" s="383"/>
      <c r="AM390" s="383"/>
      <c r="AN390" s="383"/>
      <c r="AO390" s="383"/>
      <c r="AP390" s="383"/>
      <c r="AQ390" s="383"/>
      <c r="AR390" s="383"/>
    </row>
    <row r="391" spans="2:44" s="639" customFormat="1" ht="12" customHeight="1">
      <c r="B391" s="638"/>
      <c r="J391" s="732" t="s">
        <v>246</v>
      </c>
      <c r="K391" s="733"/>
      <c r="L391" s="730"/>
      <c r="M391" s="731"/>
      <c r="N391" s="1194" t="s">
        <v>2419</v>
      </c>
      <c r="O391" s="1194" t="s">
        <v>697</v>
      </c>
      <c r="P391" s="731"/>
      <c r="X391" s="383"/>
      <c r="Y391" s="383"/>
      <c r="Z391" s="383"/>
      <c r="AA391" s="383"/>
      <c r="AB391" s="383"/>
      <c r="AC391" s="383"/>
      <c r="AD391" s="383"/>
      <c r="AE391" s="383"/>
      <c r="AF391" s="383"/>
      <c r="AG391" s="383"/>
      <c r="AH391" s="383"/>
      <c r="AI391" s="383"/>
      <c r="AJ391" s="383"/>
      <c r="AK391" s="383"/>
      <c r="AL391" s="383"/>
      <c r="AM391" s="383"/>
      <c r="AN391" s="383"/>
      <c r="AO391" s="383"/>
      <c r="AP391" s="383"/>
      <c r="AQ391" s="383"/>
      <c r="AR391" s="383"/>
    </row>
    <row r="392" spans="2:44" s="639" customFormat="1" ht="12" customHeight="1">
      <c r="B392" s="638"/>
      <c r="J392" s="732" t="s">
        <v>833</v>
      </c>
      <c r="K392" s="733"/>
      <c r="L392" s="730"/>
      <c r="M392" s="731"/>
      <c r="N392" s="1194" t="s">
        <v>2421</v>
      </c>
      <c r="O392" s="1194" t="s">
        <v>1395</v>
      </c>
      <c r="P392" s="731"/>
      <c r="X392" s="383"/>
      <c r="Y392" s="383"/>
      <c r="Z392" s="383"/>
      <c r="AA392" s="383"/>
      <c r="AB392" s="383"/>
      <c r="AC392" s="383"/>
      <c r="AD392" s="383"/>
      <c r="AE392" s="383"/>
      <c r="AF392" s="383"/>
      <c r="AG392" s="383"/>
      <c r="AH392" s="383"/>
      <c r="AI392" s="383"/>
      <c r="AJ392" s="383"/>
      <c r="AK392" s="383"/>
      <c r="AL392" s="383"/>
      <c r="AM392" s="383"/>
      <c r="AN392" s="383"/>
      <c r="AO392" s="383"/>
      <c r="AP392" s="383"/>
      <c r="AQ392" s="383"/>
      <c r="AR392" s="383"/>
    </row>
    <row r="393" spans="2:44" s="639" customFormat="1" ht="12" customHeight="1">
      <c r="B393" s="638"/>
      <c r="J393" s="732" t="s">
        <v>834</v>
      </c>
      <c r="K393" s="733"/>
      <c r="L393" s="730"/>
      <c r="M393" s="731"/>
      <c r="N393" s="1194" t="s">
        <v>1047</v>
      </c>
      <c r="O393" s="1194" t="s">
        <v>1545</v>
      </c>
      <c r="P393" s="731"/>
      <c r="X393" s="383"/>
      <c r="Y393" s="383"/>
      <c r="Z393" s="383"/>
      <c r="AA393" s="383"/>
      <c r="AB393" s="383"/>
      <c r="AC393" s="383"/>
      <c r="AD393" s="383"/>
      <c r="AE393" s="383"/>
      <c r="AF393" s="383"/>
      <c r="AG393" s="383"/>
      <c r="AH393" s="383"/>
      <c r="AI393" s="383"/>
      <c r="AJ393" s="383"/>
      <c r="AK393" s="383"/>
      <c r="AL393" s="383"/>
      <c r="AM393" s="383"/>
      <c r="AN393" s="383"/>
      <c r="AO393" s="383"/>
      <c r="AP393" s="383"/>
      <c r="AQ393" s="383"/>
      <c r="AR393" s="383"/>
    </row>
    <row r="394" spans="2:44" s="639" customFormat="1" ht="12" customHeight="1">
      <c r="B394" s="638"/>
      <c r="J394" s="732" t="s">
        <v>836</v>
      </c>
      <c r="K394" s="733"/>
      <c r="L394" s="730"/>
      <c r="M394" s="731"/>
      <c r="N394" s="1194" t="s">
        <v>601</v>
      </c>
      <c r="O394" s="1194" t="s">
        <v>1411</v>
      </c>
      <c r="P394" s="731"/>
      <c r="X394" s="383"/>
      <c r="Y394" s="383"/>
      <c r="Z394" s="383"/>
      <c r="AA394" s="383"/>
      <c r="AB394" s="383"/>
      <c r="AC394" s="383"/>
      <c r="AD394" s="383"/>
      <c r="AE394" s="383"/>
      <c r="AF394" s="383"/>
      <c r="AG394" s="383"/>
      <c r="AH394" s="383"/>
      <c r="AI394" s="383"/>
      <c r="AJ394" s="383"/>
      <c r="AK394" s="383"/>
      <c r="AL394" s="383"/>
      <c r="AM394" s="383"/>
      <c r="AN394" s="383"/>
      <c r="AO394" s="383"/>
      <c r="AP394" s="383"/>
      <c r="AQ394" s="383"/>
      <c r="AR394" s="383"/>
    </row>
    <row r="395" spans="2:44" s="639" customFormat="1" ht="12" customHeight="1">
      <c r="B395" s="638"/>
      <c r="J395" s="732" t="s">
        <v>1653</v>
      </c>
      <c r="K395" s="733"/>
      <c r="L395" s="730"/>
      <c r="M395" s="731"/>
      <c r="N395" s="1194" t="s">
        <v>714</v>
      </c>
      <c r="O395" s="1194" t="s">
        <v>329</v>
      </c>
      <c r="P395" s="731"/>
      <c r="X395" s="383"/>
      <c r="Y395" s="383"/>
      <c r="Z395" s="383"/>
      <c r="AA395" s="383"/>
      <c r="AB395" s="383"/>
      <c r="AC395" s="383"/>
      <c r="AD395" s="383"/>
      <c r="AE395" s="383"/>
      <c r="AF395" s="383"/>
      <c r="AG395" s="383"/>
      <c r="AH395" s="383"/>
      <c r="AI395" s="383"/>
      <c r="AJ395" s="383"/>
      <c r="AK395" s="383"/>
      <c r="AL395" s="383"/>
      <c r="AM395" s="383"/>
      <c r="AN395" s="383"/>
      <c r="AO395" s="383"/>
      <c r="AP395" s="383"/>
      <c r="AQ395" s="383"/>
      <c r="AR395" s="383"/>
    </row>
    <row r="396" spans="2:44" s="639" customFormat="1" ht="12" customHeight="1">
      <c r="B396" s="638"/>
      <c r="J396" s="732" t="s">
        <v>1291</v>
      </c>
      <c r="K396" s="733"/>
      <c r="L396" s="730"/>
      <c r="M396" s="731"/>
      <c r="N396" s="1194" t="s">
        <v>2539</v>
      </c>
      <c r="O396" s="1194" t="s">
        <v>164</v>
      </c>
      <c r="P396" s="731"/>
      <c r="X396" s="383"/>
      <c r="Y396" s="383"/>
      <c r="Z396" s="383"/>
      <c r="AA396" s="383"/>
      <c r="AB396" s="383"/>
      <c r="AC396" s="383"/>
      <c r="AD396" s="383"/>
      <c r="AE396" s="383"/>
      <c r="AF396" s="383"/>
      <c r="AG396" s="383"/>
      <c r="AH396" s="383"/>
      <c r="AI396" s="383"/>
      <c r="AJ396" s="383"/>
      <c r="AK396" s="383"/>
      <c r="AL396" s="383"/>
      <c r="AM396" s="383"/>
      <c r="AN396" s="383"/>
      <c r="AO396" s="383"/>
      <c r="AP396" s="383"/>
      <c r="AQ396" s="383"/>
      <c r="AR396" s="383"/>
    </row>
    <row r="397" spans="2:44" s="639" customFormat="1" ht="12" customHeight="1">
      <c r="B397" s="638"/>
      <c r="J397" s="732" t="s">
        <v>1293</v>
      </c>
      <c r="K397" s="733"/>
      <c r="L397" s="730"/>
      <c r="M397" s="731"/>
      <c r="N397" s="1194" t="s">
        <v>231</v>
      </c>
      <c r="O397" s="1194" t="s">
        <v>2642</v>
      </c>
      <c r="P397" s="731"/>
      <c r="X397" s="383"/>
      <c r="Y397" s="383"/>
      <c r="Z397" s="383"/>
      <c r="AA397" s="383"/>
      <c r="AB397" s="383"/>
      <c r="AC397" s="383"/>
      <c r="AD397" s="383"/>
      <c r="AE397" s="383"/>
      <c r="AF397" s="383"/>
      <c r="AG397" s="383"/>
      <c r="AH397" s="383"/>
      <c r="AI397" s="383"/>
      <c r="AJ397" s="383"/>
      <c r="AK397" s="383"/>
      <c r="AL397" s="383"/>
      <c r="AM397" s="383"/>
      <c r="AN397" s="383"/>
      <c r="AO397" s="383"/>
      <c r="AP397" s="383"/>
      <c r="AQ397" s="383"/>
      <c r="AR397" s="383"/>
    </row>
    <row r="398" spans="2:44" s="639" customFormat="1" ht="12" customHeight="1">
      <c r="B398" s="638"/>
      <c r="J398" s="732" t="s">
        <v>948</v>
      </c>
      <c r="K398" s="733"/>
      <c r="L398" s="730"/>
      <c r="M398" s="731"/>
      <c r="N398" s="1194" t="s">
        <v>699</v>
      </c>
      <c r="O398" s="1194" t="s">
        <v>1737</v>
      </c>
      <c r="P398" s="1240"/>
      <c r="X398" s="383"/>
      <c r="Y398" s="383"/>
      <c r="Z398" s="383"/>
      <c r="AA398" s="383"/>
      <c r="AB398" s="383"/>
      <c r="AC398" s="383"/>
      <c r="AD398" s="383"/>
      <c r="AE398" s="383"/>
      <c r="AF398" s="383"/>
      <c r="AG398" s="383"/>
      <c r="AH398" s="383"/>
      <c r="AI398" s="383"/>
      <c r="AJ398" s="383"/>
      <c r="AK398" s="383"/>
      <c r="AL398" s="383"/>
      <c r="AM398" s="383"/>
      <c r="AN398" s="383"/>
      <c r="AO398" s="383"/>
      <c r="AP398" s="383"/>
      <c r="AQ398" s="383"/>
      <c r="AR398" s="383"/>
    </row>
    <row r="399" spans="2:44" s="639" customFormat="1" ht="12" customHeight="1">
      <c r="B399" s="638"/>
      <c r="J399" s="732" t="s">
        <v>2620</v>
      </c>
      <c r="K399" s="733"/>
      <c r="L399" s="730"/>
      <c r="M399" s="731"/>
      <c r="N399" s="1194" t="s">
        <v>2509</v>
      </c>
      <c r="O399" s="1194" t="s">
        <v>2640</v>
      </c>
      <c r="P399" s="731"/>
      <c r="X399" s="383"/>
      <c r="Y399" s="383"/>
      <c r="Z399" s="383"/>
      <c r="AA399" s="383"/>
      <c r="AB399" s="383"/>
      <c r="AC399" s="383"/>
      <c r="AD399" s="383"/>
      <c r="AE399" s="383"/>
      <c r="AF399" s="383"/>
      <c r="AG399" s="383"/>
      <c r="AH399" s="383"/>
      <c r="AI399" s="383"/>
      <c r="AJ399" s="383"/>
      <c r="AK399" s="383"/>
      <c r="AL399" s="383"/>
      <c r="AM399" s="383"/>
      <c r="AN399" s="383"/>
      <c r="AO399" s="383"/>
      <c r="AP399" s="383"/>
      <c r="AQ399" s="383"/>
      <c r="AR399" s="383"/>
    </row>
    <row r="400" spans="2:44" s="639" customFormat="1" ht="12" customHeight="1">
      <c r="B400" s="638"/>
      <c r="J400" s="732" t="s">
        <v>951</v>
      </c>
      <c r="K400" s="733"/>
      <c r="L400" s="730"/>
      <c r="M400" s="731"/>
      <c r="N400" s="1194" t="s">
        <v>243</v>
      </c>
      <c r="O400" s="1194" t="s">
        <v>1618</v>
      </c>
      <c r="P400" s="731"/>
      <c r="X400" s="383"/>
      <c r="Y400" s="383"/>
      <c r="Z400" s="383"/>
      <c r="AA400" s="383"/>
      <c r="AB400" s="383"/>
      <c r="AC400" s="383"/>
      <c r="AD400" s="383"/>
      <c r="AE400" s="383"/>
      <c r="AF400" s="383"/>
      <c r="AG400" s="383"/>
      <c r="AH400" s="383"/>
      <c r="AI400" s="383"/>
      <c r="AJ400" s="383"/>
      <c r="AK400" s="383"/>
      <c r="AL400" s="383"/>
      <c r="AM400" s="383"/>
      <c r="AN400" s="383"/>
      <c r="AO400" s="383"/>
      <c r="AP400" s="383"/>
      <c r="AQ400" s="383"/>
      <c r="AR400" s="383"/>
    </row>
    <row r="401" spans="2:44" s="639" customFormat="1" ht="12" customHeight="1">
      <c r="B401" s="638"/>
      <c r="J401" s="732" t="s">
        <v>953</v>
      </c>
      <c r="K401" s="733"/>
      <c r="L401" s="730"/>
      <c r="M401" s="731"/>
      <c r="N401" s="1194" t="s">
        <v>1104</v>
      </c>
      <c r="O401" s="1194" t="s">
        <v>1545</v>
      </c>
      <c r="P401" s="731"/>
      <c r="X401" s="383"/>
      <c r="Y401" s="383"/>
      <c r="Z401" s="383"/>
      <c r="AA401" s="383"/>
      <c r="AB401" s="383"/>
      <c r="AC401" s="383"/>
      <c r="AD401" s="383"/>
      <c r="AE401" s="383"/>
      <c r="AF401" s="383"/>
      <c r="AG401" s="383"/>
      <c r="AH401" s="383"/>
      <c r="AI401" s="383"/>
      <c r="AJ401" s="383"/>
      <c r="AK401" s="383"/>
      <c r="AL401" s="383"/>
      <c r="AM401" s="383"/>
      <c r="AN401" s="383"/>
      <c r="AO401" s="383"/>
      <c r="AP401" s="383"/>
      <c r="AQ401" s="383"/>
      <c r="AR401" s="383"/>
    </row>
    <row r="402" spans="2:44" s="639" customFormat="1" ht="12" customHeight="1">
      <c r="B402" s="638"/>
      <c r="J402" s="732" t="s">
        <v>955</v>
      </c>
      <c r="K402" s="733"/>
      <c r="L402" s="730"/>
      <c r="M402" s="731"/>
      <c r="N402" s="1194" t="s">
        <v>245</v>
      </c>
      <c r="O402" s="1194" t="s">
        <v>1150</v>
      </c>
      <c r="P402" s="731"/>
      <c r="X402" s="383"/>
      <c r="Y402" s="383"/>
      <c r="Z402" s="383"/>
      <c r="AA402" s="383"/>
      <c r="AB402" s="383"/>
      <c r="AC402" s="383"/>
      <c r="AD402" s="383"/>
      <c r="AE402" s="383"/>
      <c r="AF402" s="383"/>
      <c r="AG402" s="383"/>
      <c r="AH402" s="383"/>
      <c r="AI402" s="383"/>
      <c r="AJ402" s="383"/>
      <c r="AK402" s="383"/>
      <c r="AL402" s="383"/>
      <c r="AM402" s="383"/>
      <c r="AN402" s="383"/>
      <c r="AO402" s="383"/>
      <c r="AP402" s="383"/>
      <c r="AQ402" s="383"/>
      <c r="AR402" s="383"/>
    </row>
    <row r="403" spans="2:44" s="639" customFormat="1" ht="12" customHeight="1">
      <c r="B403" s="638"/>
      <c r="J403" s="732" t="s">
        <v>957</v>
      </c>
      <c r="K403" s="733"/>
      <c r="L403" s="730"/>
      <c r="M403" s="731"/>
      <c r="N403" s="1194" t="s">
        <v>700</v>
      </c>
      <c r="O403" s="1194" t="s">
        <v>336</v>
      </c>
      <c r="P403" s="731"/>
      <c r="X403" s="383"/>
      <c r="Y403" s="383"/>
      <c r="Z403" s="383"/>
      <c r="AA403" s="383"/>
      <c r="AB403" s="383"/>
      <c r="AC403" s="383"/>
      <c r="AD403" s="383"/>
      <c r="AE403" s="383"/>
      <c r="AF403" s="383"/>
      <c r="AG403" s="383"/>
      <c r="AH403" s="383"/>
      <c r="AI403" s="383"/>
      <c r="AJ403" s="383"/>
      <c r="AK403" s="383"/>
      <c r="AL403" s="383"/>
      <c r="AM403" s="383"/>
      <c r="AN403" s="383"/>
      <c r="AO403" s="383"/>
      <c r="AP403" s="383"/>
      <c r="AQ403" s="383"/>
      <c r="AR403" s="383"/>
    </row>
    <row r="404" spans="2:44" s="639" customFormat="1" ht="12" customHeight="1">
      <c r="B404" s="638"/>
      <c r="J404" s="732" t="s">
        <v>959</v>
      </c>
      <c r="K404" s="733"/>
      <c r="L404" s="730"/>
      <c r="M404" s="731"/>
      <c r="N404" s="1194" t="s">
        <v>835</v>
      </c>
      <c r="O404" s="1194" t="s">
        <v>700</v>
      </c>
      <c r="P404" s="731"/>
      <c r="X404" s="383"/>
      <c r="Y404" s="383"/>
      <c r="Z404" s="383"/>
      <c r="AA404" s="383"/>
      <c r="AB404" s="383"/>
      <c r="AC404" s="383"/>
      <c r="AD404" s="383"/>
      <c r="AE404" s="383"/>
      <c r="AF404" s="383"/>
      <c r="AG404" s="383"/>
      <c r="AH404" s="383"/>
      <c r="AI404" s="383"/>
      <c r="AJ404" s="383"/>
      <c r="AK404" s="383"/>
      <c r="AL404" s="383"/>
      <c r="AM404" s="383"/>
      <c r="AN404" s="383"/>
      <c r="AO404" s="383"/>
      <c r="AP404" s="383"/>
      <c r="AQ404" s="383"/>
      <c r="AR404" s="383"/>
    </row>
    <row r="405" spans="2:44" s="639" customFormat="1" ht="12" customHeight="1">
      <c r="B405" s="638"/>
      <c r="J405" s="732" t="s">
        <v>719</v>
      </c>
      <c r="K405" s="733"/>
      <c r="L405" s="730"/>
      <c r="M405" s="731"/>
      <c r="N405" s="1194" t="s">
        <v>1290</v>
      </c>
      <c r="O405" s="1194" t="s">
        <v>2648</v>
      </c>
      <c r="P405" s="731"/>
      <c r="X405" s="383"/>
      <c r="Y405" s="383"/>
      <c r="Z405" s="383"/>
      <c r="AA405" s="383"/>
      <c r="AB405" s="383"/>
      <c r="AC405" s="383"/>
      <c r="AD405" s="383"/>
      <c r="AE405" s="383"/>
      <c r="AF405" s="383"/>
      <c r="AG405" s="383"/>
      <c r="AH405" s="383"/>
      <c r="AI405" s="383"/>
      <c r="AJ405" s="383"/>
      <c r="AK405" s="383"/>
      <c r="AL405" s="383"/>
      <c r="AM405" s="383"/>
      <c r="AN405" s="383"/>
      <c r="AO405" s="383"/>
      <c r="AP405" s="383"/>
      <c r="AQ405" s="383"/>
      <c r="AR405" s="383"/>
    </row>
    <row r="406" spans="2:44" s="639" customFormat="1" ht="12" customHeight="1">
      <c r="B406" s="638"/>
      <c r="J406" s="732" t="s">
        <v>57</v>
      </c>
      <c r="K406" s="733"/>
      <c r="L406" s="730"/>
      <c r="M406" s="731"/>
      <c r="N406" s="1194" t="s">
        <v>1292</v>
      </c>
      <c r="O406" s="1194" t="s">
        <v>329</v>
      </c>
      <c r="P406" s="731"/>
      <c r="X406" s="383"/>
      <c r="Y406" s="383"/>
      <c r="Z406" s="383"/>
      <c r="AA406" s="383"/>
      <c r="AB406" s="383"/>
      <c r="AC406" s="383"/>
      <c r="AD406" s="383"/>
      <c r="AE406" s="383"/>
      <c r="AF406" s="383"/>
      <c r="AG406" s="383"/>
      <c r="AH406" s="383"/>
      <c r="AI406" s="383"/>
      <c r="AJ406" s="383"/>
      <c r="AK406" s="383"/>
      <c r="AL406" s="383"/>
      <c r="AM406" s="383"/>
      <c r="AN406" s="383"/>
      <c r="AO406" s="383"/>
      <c r="AP406" s="383"/>
      <c r="AQ406" s="383"/>
      <c r="AR406" s="383"/>
    </row>
    <row r="407" spans="2:44" s="639" customFormat="1" ht="12" customHeight="1">
      <c r="B407" s="638"/>
      <c r="J407" s="732" t="s">
        <v>1012</v>
      </c>
      <c r="K407" s="733"/>
      <c r="L407" s="730"/>
      <c r="M407" s="731"/>
      <c r="N407" s="1194" t="s">
        <v>1294</v>
      </c>
      <c r="O407" s="1194" t="s">
        <v>166</v>
      </c>
      <c r="P407" s="731"/>
      <c r="X407" s="383"/>
      <c r="Y407" s="383"/>
      <c r="Z407" s="383"/>
      <c r="AA407" s="383"/>
      <c r="AB407" s="383"/>
      <c r="AC407" s="383"/>
      <c r="AD407" s="383"/>
      <c r="AE407" s="383"/>
      <c r="AF407" s="383"/>
      <c r="AG407" s="383"/>
      <c r="AH407" s="383"/>
      <c r="AI407" s="383"/>
      <c r="AJ407" s="383"/>
      <c r="AK407" s="383"/>
      <c r="AL407" s="383"/>
      <c r="AM407" s="383"/>
      <c r="AN407" s="383"/>
      <c r="AO407" s="383"/>
      <c r="AP407" s="383"/>
      <c r="AQ407" s="383"/>
      <c r="AR407" s="383"/>
    </row>
    <row r="408" spans="2:44" s="639" customFormat="1" ht="12" customHeight="1">
      <c r="B408" s="638"/>
      <c r="J408" s="732" t="s">
        <v>1855</v>
      </c>
      <c r="K408" s="733"/>
      <c r="L408" s="730"/>
      <c r="M408" s="731"/>
      <c r="N408" s="1194" t="s">
        <v>949</v>
      </c>
      <c r="O408" s="1194" t="s">
        <v>2382</v>
      </c>
      <c r="P408" s="731"/>
      <c r="X408" s="383"/>
      <c r="Y408" s="383"/>
      <c r="Z408" s="383"/>
      <c r="AA408" s="383"/>
      <c r="AB408" s="383"/>
      <c r="AC408" s="383"/>
      <c r="AD408" s="383"/>
      <c r="AE408" s="383"/>
      <c r="AF408" s="383"/>
      <c r="AG408" s="383"/>
      <c r="AH408" s="383"/>
      <c r="AI408" s="383"/>
      <c r="AJ408" s="383"/>
      <c r="AK408" s="383"/>
      <c r="AL408" s="383"/>
      <c r="AM408" s="383"/>
      <c r="AN408" s="383"/>
      <c r="AO408" s="383"/>
      <c r="AP408" s="383"/>
      <c r="AQ408" s="383"/>
      <c r="AR408" s="383"/>
    </row>
    <row r="409" spans="2:44" s="639" customFormat="1" ht="12" customHeight="1">
      <c r="B409" s="638"/>
      <c r="J409" s="732" t="s">
        <v>1052</v>
      </c>
      <c r="K409" s="733"/>
      <c r="L409" s="730"/>
      <c r="M409" s="731"/>
      <c r="N409" s="1194" t="s">
        <v>2621</v>
      </c>
      <c r="O409" s="1194" t="s">
        <v>2003</v>
      </c>
      <c r="P409" s="731"/>
      <c r="X409" s="383"/>
      <c r="Y409" s="383"/>
      <c r="Z409" s="383"/>
      <c r="AA409" s="383"/>
      <c r="AB409" s="383"/>
      <c r="AC409" s="383"/>
      <c r="AD409" s="383"/>
      <c r="AE409" s="383"/>
      <c r="AF409" s="383"/>
      <c r="AG409" s="383"/>
      <c r="AH409" s="383"/>
      <c r="AI409" s="383"/>
      <c r="AJ409" s="383"/>
      <c r="AK409" s="383"/>
      <c r="AL409" s="383"/>
      <c r="AM409" s="383"/>
      <c r="AN409" s="383"/>
      <c r="AO409" s="383"/>
      <c r="AP409" s="383"/>
      <c r="AQ409" s="383"/>
      <c r="AR409" s="383"/>
    </row>
    <row r="410" spans="2:44" s="639" customFormat="1" ht="12" customHeight="1">
      <c r="B410" s="638"/>
      <c r="J410" s="732" t="s">
        <v>1053</v>
      </c>
      <c r="K410" s="733"/>
      <c r="L410" s="730"/>
      <c r="M410" s="731"/>
      <c r="N410" s="1194" t="s">
        <v>952</v>
      </c>
      <c r="O410" s="1194" t="s">
        <v>2312</v>
      </c>
      <c r="P410" s="731"/>
      <c r="X410" s="383"/>
      <c r="Y410" s="383"/>
      <c r="Z410" s="383"/>
      <c r="AA410" s="383"/>
      <c r="AB410" s="383"/>
      <c r="AC410" s="383"/>
      <c r="AD410" s="383"/>
      <c r="AE410" s="383"/>
      <c r="AF410" s="383"/>
      <c r="AG410" s="383"/>
      <c r="AH410" s="383"/>
      <c r="AI410" s="383"/>
      <c r="AJ410" s="383"/>
      <c r="AK410" s="383"/>
      <c r="AL410" s="383"/>
      <c r="AM410" s="383"/>
      <c r="AN410" s="383"/>
      <c r="AO410" s="383"/>
      <c r="AP410" s="383"/>
      <c r="AQ410" s="383"/>
      <c r="AR410" s="383"/>
    </row>
    <row r="411" spans="2:44" s="639" customFormat="1" ht="12" customHeight="1">
      <c r="B411" s="638"/>
      <c r="J411" s="732" t="s">
        <v>1055</v>
      </c>
      <c r="K411" s="733"/>
      <c r="L411" s="730"/>
      <c r="M411" s="731"/>
      <c r="N411" s="708" t="s">
        <v>954</v>
      </c>
      <c r="O411" s="708" t="s">
        <v>1162</v>
      </c>
      <c r="P411" s="731"/>
      <c r="X411" s="383"/>
      <c r="Y411" s="383"/>
      <c r="Z411" s="383"/>
      <c r="AA411" s="383"/>
      <c r="AB411" s="383"/>
      <c r="AC411" s="383"/>
      <c r="AD411" s="383"/>
      <c r="AE411" s="383"/>
      <c r="AF411" s="383"/>
      <c r="AG411" s="383"/>
      <c r="AH411" s="383"/>
      <c r="AI411" s="383"/>
      <c r="AJ411" s="383"/>
      <c r="AK411" s="383"/>
      <c r="AL411" s="383"/>
      <c r="AM411" s="383"/>
      <c r="AN411" s="383"/>
      <c r="AO411" s="383"/>
      <c r="AP411" s="383"/>
      <c r="AQ411" s="383"/>
      <c r="AR411" s="383"/>
    </row>
    <row r="412" spans="2:44" s="639" customFormat="1" ht="12" customHeight="1">
      <c r="B412" s="638"/>
      <c r="J412" s="732" t="s">
        <v>1034</v>
      </c>
      <c r="K412" s="733"/>
      <c r="L412" s="730"/>
      <c r="M412" s="731"/>
      <c r="N412" s="1194" t="s">
        <v>956</v>
      </c>
      <c r="O412" s="1194" t="s">
        <v>704</v>
      </c>
      <c r="P412" s="1239"/>
      <c r="X412" s="383"/>
      <c r="Y412" s="383"/>
      <c r="Z412" s="383"/>
      <c r="AA412" s="383"/>
      <c r="AB412" s="383"/>
      <c r="AC412" s="383"/>
      <c r="AD412" s="383"/>
      <c r="AE412" s="383"/>
      <c r="AF412" s="383"/>
      <c r="AG412" s="383"/>
      <c r="AH412" s="383"/>
      <c r="AI412" s="383"/>
      <c r="AJ412" s="383"/>
      <c r="AK412" s="383"/>
      <c r="AL412" s="383"/>
      <c r="AM412" s="383"/>
      <c r="AN412" s="383"/>
      <c r="AO412" s="383"/>
      <c r="AP412" s="383"/>
      <c r="AQ412" s="383"/>
      <c r="AR412" s="383"/>
    </row>
    <row r="413" spans="2:44" s="639" customFormat="1" ht="12" customHeight="1">
      <c r="B413" s="638"/>
      <c r="J413" s="732" t="s">
        <v>1036</v>
      </c>
      <c r="K413" s="733"/>
      <c r="L413" s="730"/>
      <c r="M413" s="731"/>
      <c r="N413" s="1194" t="s">
        <v>958</v>
      </c>
      <c r="O413" s="1194" t="s">
        <v>329</v>
      </c>
      <c r="P413" s="731"/>
      <c r="X413" s="383"/>
      <c r="Y413" s="383"/>
      <c r="Z413" s="383"/>
      <c r="AA413" s="383"/>
      <c r="AB413" s="383"/>
      <c r="AC413" s="383"/>
      <c r="AD413" s="383"/>
      <c r="AE413" s="383"/>
      <c r="AF413" s="383"/>
      <c r="AG413" s="383"/>
      <c r="AH413" s="383"/>
      <c r="AI413" s="383"/>
      <c r="AJ413" s="383"/>
      <c r="AK413" s="383"/>
      <c r="AL413" s="383"/>
      <c r="AM413" s="383"/>
      <c r="AN413" s="383"/>
      <c r="AO413" s="383"/>
      <c r="AP413" s="383"/>
      <c r="AQ413" s="383"/>
      <c r="AR413" s="383"/>
    </row>
    <row r="414" spans="2:44" s="639" customFormat="1" ht="12" customHeight="1">
      <c r="B414" s="638"/>
      <c r="J414" s="732" t="s">
        <v>1038</v>
      </c>
      <c r="K414" s="733"/>
      <c r="L414" s="730"/>
      <c r="M414" s="731"/>
      <c r="N414" s="1194" t="s">
        <v>960</v>
      </c>
      <c r="O414" s="1194" t="s">
        <v>1409</v>
      </c>
      <c r="P414" s="731"/>
      <c r="X414" s="383"/>
      <c r="Y414" s="383"/>
      <c r="Z414" s="383"/>
      <c r="AA414" s="383"/>
      <c r="AB414" s="383"/>
      <c r="AC414" s="383"/>
      <c r="AD414" s="383"/>
      <c r="AE414" s="383"/>
      <c r="AF414" s="383"/>
      <c r="AG414" s="383"/>
      <c r="AH414" s="383"/>
      <c r="AI414" s="383"/>
      <c r="AJ414" s="383"/>
      <c r="AK414" s="383"/>
      <c r="AL414" s="383"/>
      <c r="AM414" s="383"/>
      <c r="AN414" s="383"/>
      <c r="AO414" s="383"/>
      <c r="AP414" s="383"/>
      <c r="AQ414" s="383"/>
      <c r="AR414" s="383"/>
    </row>
    <row r="415" spans="2:44" s="639" customFormat="1" ht="12" customHeight="1">
      <c r="B415" s="638"/>
      <c r="J415" s="732" t="s">
        <v>1040</v>
      </c>
      <c r="K415" s="733"/>
      <c r="L415" s="730"/>
      <c r="M415" s="731"/>
      <c r="N415" s="708" t="s">
        <v>720</v>
      </c>
      <c r="O415" s="708" t="s">
        <v>2316</v>
      </c>
      <c r="P415" s="731"/>
      <c r="X415" s="383"/>
      <c r="Y415" s="383"/>
      <c r="Z415" s="383"/>
      <c r="AA415" s="383"/>
      <c r="AB415" s="383"/>
      <c r="AC415" s="383"/>
      <c r="AD415" s="383"/>
      <c r="AE415" s="383"/>
      <c r="AF415" s="383"/>
      <c r="AG415" s="383"/>
      <c r="AH415" s="383"/>
      <c r="AI415" s="383"/>
      <c r="AJ415" s="383"/>
      <c r="AK415" s="383"/>
      <c r="AL415" s="383"/>
      <c r="AM415" s="383"/>
      <c r="AN415" s="383"/>
      <c r="AO415" s="383"/>
      <c r="AP415" s="383"/>
      <c r="AQ415" s="383"/>
      <c r="AR415" s="383"/>
    </row>
    <row r="416" spans="2:44" s="639" customFormat="1" ht="12" customHeight="1">
      <c r="B416" s="638"/>
      <c r="J416" s="732" t="s">
        <v>604</v>
      </c>
      <c r="K416" s="733"/>
      <c r="L416" s="730"/>
      <c r="M416" s="731"/>
      <c r="N416" s="1194" t="s">
        <v>58</v>
      </c>
      <c r="O416" s="1194" t="s">
        <v>115</v>
      </c>
      <c r="P416" s="1239"/>
      <c r="X416" s="383"/>
      <c r="Y416" s="383"/>
      <c r="Z416" s="383"/>
      <c r="AA416" s="383"/>
      <c r="AB416" s="383"/>
      <c r="AC416" s="383"/>
      <c r="AD416" s="383"/>
      <c r="AE416" s="383"/>
      <c r="AF416" s="383"/>
      <c r="AG416" s="383"/>
      <c r="AH416" s="383"/>
      <c r="AI416" s="383"/>
      <c r="AJ416" s="383"/>
      <c r="AK416" s="383"/>
      <c r="AL416" s="383"/>
      <c r="AM416" s="383"/>
      <c r="AN416" s="383"/>
      <c r="AO416" s="383"/>
      <c r="AP416" s="383"/>
      <c r="AQ416" s="383"/>
      <c r="AR416" s="383"/>
    </row>
    <row r="417" spans="2:44" s="639" customFormat="1" ht="12" customHeight="1">
      <c r="B417" s="638"/>
      <c r="J417" s="732" t="s">
        <v>390</v>
      </c>
      <c r="K417" s="733"/>
      <c r="L417" s="730"/>
      <c r="M417" s="731"/>
      <c r="N417" s="1194" t="s">
        <v>1013</v>
      </c>
      <c r="O417" s="1194" t="s">
        <v>2136</v>
      </c>
      <c r="P417" s="731"/>
      <c r="X417" s="383"/>
      <c r="Y417" s="383"/>
      <c r="Z417" s="383"/>
      <c r="AA417" s="383"/>
      <c r="AB417" s="383"/>
      <c r="AC417" s="383"/>
      <c r="AD417" s="383"/>
      <c r="AE417" s="383"/>
      <c r="AF417" s="383"/>
      <c r="AG417" s="383"/>
      <c r="AH417" s="383"/>
      <c r="AI417" s="383"/>
      <c r="AJ417" s="383"/>
      <c r="AK417" s="383"/>
      <c r="AL417" s="383"/>
      <c r="AM417" s="383"/>
      <c r="AN417" s="383"/>
      <c r="AO417" s="383"/>
      <c r="AP417" s="383"/>
      <c r="AQ417" s="383"/>
      <c r="AR417" s="383"/>
    </row>
    <row r="418" spans="2:44" s="639" customFormat="1" ht="12" customHeight="1">
      <c r="B418" s="638"/>
      <c r="J418" s="732" t="s">
        <v>392</v>
      </c>
      <c r="K418" s="733"/>
      <c r="L418" s="730"/>
      <c r="M418" s="731"/>
      <c r="N418" s="1194" t="s">
        <v>707</v>
      </c>
      <c r="O418" s="1194" t="s">
        <v>2550</v>
      </c>
      <c r="P418" s="731"/>
      <c r="X418" s="383"/>
      <c r="Y418" s="383"/>
      <c r="Z418" s="383"/>
      <c r="AA418" s="383"/>
      <c r="AB418" s="383"/>
      <c r="AC418" s="383"/>
      <c r="AD418" s="383"/>
      <c r="AE418" s="383"/>
      <c r="AF418" s="383"/>
      <c r="AG418" s="383"/>
      <c r="AH418" s="383"/>
      <c r="AI418" s="383"/>
      <c r="AJ418" s="383"/>
      <c r="AK418" s="383"/>
      <c r="AL418" s="383"/>
      <c r="AM418" s="383"/>
      <c r="AN418" s="383"/>
      <c r="AO418" s="383"/>
      <c r="AP418" s="383"/>
      <c r="AQ418" s="383"/>
      <c r="AR418" s="383"/>
    </row>
    <row r="419" spans="2:44" s="639" customFormat="1" ht="12" customHeight="1">
      <c r="B419" s="638"/>
      <c r="J419" s="732" t="s">
        <v>394</v>
      </c>
      <c r="K419" s="733"/>
      <c r="L419" s="730"/>
      <c r="M419" s="731"/>
      <c r="N419" s="1194" t="s">
        <v>1054</v>
      </c>
      <c r="O419" s="1194" t="s">
        <v>1281</v>
      </c>
      <c r="P419" s="731"/>
      <c r="X419" s="383"/>
      <c r="Y419" s="383"/>
      <c r="Z419" s="383"/>
      <c r="AA419" s="383"/>
      <c r="AB419" s="383"/>
      <c r="AC419" s="383"/>
      <c r="AD419" s="383"/>
      <c r="AE419" s="383"/>
      <c r="AF419" s="383"/>
      <c r="AG419" s="383"/>
      <c r="AH419" s="383"/>
      <c r="AI419" s="383"/>
      <c r="AJ419" s="383"/>
      <c r="AK419" s="383"/>
      <c r="AL419" s="383"/>
      <c r="AM419" s="383"/>
      <c r="AN419" s="383"/>
      <c r="AO419" s="383"/>
      <c r="AP419" s="383"/>
      <c r="AQ419" s="383"/>
      <c r="AR419" s="383"/>
    </row>
    <row r="420" spans="2:44" s="639" customFormat="1" ht="12" customHeight="1">
      <c r="B420" s="638"/>
      <c r="J420" s="732" t="s">
        <v>632</v>
      </c>
      <c r="K420" s="733"/>
      <c r="L420" s="730"/>
      <c r="M420" s="731"/>
      <c r="N420" s="1194" t="s">
        <v>1056</v>
      </c>
      <c r="O420" s="1194" t="s">
        <v>2695</v>
      </c>
      <c r="P420" s="731"/>
      <c r="X420" s="383"/>
      <c r="Y420" s="383"/>
      <c r="Z420" s="383"/>
      <c r="AA420" s="383"/>
      <c r="AB420" s="383"/>
      <c r="AC420" s="383"/>
      <c r="AD420" s="383"/>
      <c r="AE420" s="383"/>
      <c r="AF420" s="383"/>
      <c r="AG420" s="383"/>
      <c r="AH420" s="383"/>
      <c r="AI420" s="383"/>
      <c r="AJ420" s="383"/>
      <c r="AK420" s="383"/>
      <c r="AL420" s="383"/>
      <c r="AM420" s="383"/>
      <c r="AN420" s="383"/>
      <c r="AO420" s="383"/>
      <c r="AP420" s="383"/>
      <c r="AQ420" s="383"/>
      <c r="AR420" s="383"/>
    </row>
    <row r="421" spans="2:44" s="639" customFormat="1" ht="12" customHeight="1">
      <c r="B421" s="638"/>
      <c r="J421" s="732" t="s">
        <v>1502</v>
      </c>
      <c r="K421" s="733"/>
      <c r="L421" s="730"/>
      <c r="M421" s="731"/>
      <c r="N421" s="708" t="s">
        <v>1035</v>
      </c>
      <c r="O421" s="708" t="s">
        <v>448</v>
      </c>
      <c r="P421" s="731"/>
      <c r="X421" s="383"/>
      <c r="Y421" s="383"/>
      <c r="Z421" s="383"/>
      <c r="AA421" s="383"/>
      <c r="AB421" s="383"/>
      <c r="AC421" s="383"/>
      <c r="AD421" s="383"/>
      <c r="AE421" s="383"/>
      <c r="AF421" s="383"/>
      <c r="AG421" s="383"/>
      <c r="AH421" s="383"/>
      <c r="AI421" s="383"/>
      <c r="AJ421" s="383"/>
      <c r="AK421" s="383"/>
      <c r="AL421" s="383"/>
      <c r="AM421" s="383"/>
      <c r="AN421" s="383"/>
      <c r="AO421" s="383"/>
      <c r="AP421" s="383"/>
      <c r="AQ421" s="383"/>
      <c r="AR421" s="383"/>
    </row>
    <row r="422" spans="2:44" s="639" customFormat="1" ht="12" customHeight="1">
      <c r="B422" s="638"/>
      <c r="J422" s="732" t="s">
        <v>1693</v>
      </c>
      <c r="K422" s="733"/>
      <c r="L422" s="730"/>
      <c r="M422" s="731"/>
      <c r="N422" s="1194" t="s">
        <v>1037</v>
      </c>
      <c r="O422" s="1194" t="s">
        <v>124</v>
      </c>
      <c r="P422" s="1239"/>
      <c r="X422" s="383"/>
      <c r="Y422" s="383"/>
      <c r="Z422" s="383"/>
      <c r="AA422" s="383"/>
      <c r="AB422" s="383"/>
      <c r="AC422" s="383"/>
      <c r="AD422" s="383"/>
      <c r="AE422" s="383"/>
      <c r="AF422" s="383"/>
      <c r="AG422" s="383"/>
      <c r="AH422" s="383"/>
      <c r="AI422" s="383"/>
      <c r="AJ422" s="383"/>
      <c r="AK422" s="383"/>
      <c r="AL422" s="383"/>
      <c r="AM422" s="383"/>
      <c r="AN422" s="383"/>
      <c r="AO422" s="383"/>
      <c r="AP422" s="383"/>
      <c r="AQ422" s="383"/>
      <c r="AR422" s="383"/>
    </row>
    <row r="423" spans="2:44" s="639" customFormat="1" ht="12" customHeight="1">
      <c r="B423" s="638"/>
      <c r="J423" s="732" t="s">
        <v>1062</v>
      </c>
      <c r="K423" s="733"/>
      <c r="L423" s="730"/>
      <c r="M423" s="731"/>
      <c r="N423" s="1194" t="s">
        <v>1039</v>
      </c>
      <c r="O423" s="1194" t="s">
        <v>711</v>
      </c>
      <c r="P423" s="731"/>
      <c r="X423" s="383"/>
      <c r="Y423" s="383"/>
      <c r="Z423" s="383"/>
      <c r="AA423" s="383"/>
      <c r="AB423" s="383"/>
      <c r="AC423" s="383"/>
      <c r="AD423" s="383"/>
      <c r="AE423" s="383"/>
      <c r="AF423" s="383"/>
      <c r="AG423" s="383"/>
      <c r="AH423" s="383"/>
      <c r="AI423" s="383"/>
      <c r="AJ423" s="383"/>
      <c r="AK423" s="383"/>
      <c r="AL423" s="383"/>
      <c r="AM423" s="383"/>
      <c r="AN423" s="383"/>
      <c r="AO423" s="383"/>
      <c r="AP423" s="383"/>
      <c r="AQ423" s="383"/>
      <c r="AR423" s="383"/>
    </row>
    <row r="424" spans="2:44" s="639" customFormat="1" ht="12" customHeight="1">
      <c r="B424" s="638"/>
      <c r="J424" s="732" t="s">
        <v>1064</v>
      </c>
      <c r="K424" s="733"/>
      <c r="L424" s="730"/>
      <c r="M424" s="731"/>
      <c r="N424" s="1194" t="s">
        <v>1041</v>
      </c>
      <c r="O424" s="1194" t="s">
        <v>2003</v>
      </c>
      <c r="P424" s="731"/>
      <c r="X424" s="383"/>
      <c r="Y424" s="383"/>
      <c r="Z424" s="383"/>
      <c r="AA424" s="383"/>
      <c r="AB424" s="383"/>
      <c r="AC424" s="383"/>
      <c r="AD424" s="383"/>
      <c r="AE424" s="383"/>
      <c r="AF424" s="383"/>
      <c r="AG424" s="383"/>
      <c r="AH424" s="383"/>
      <c r="AI424" s="383"/>
      <c r="AJ424" s="383"/>
      <c r="AK424" s="383"/>
      <c r="AL424" s="383"/>
      <c r="AM424" s="383"/>
      <c r="AN424" s="383"/>
      <c r="AO424" s="383"/>
      <c r="AP424" s="383"/>
      <c r="AQ424" s="383"/>
      <c r="AR424" s="383"/>
    </row>
    <row r="425" spans="2:44" s="639" customFormat="1" ht="12" customHeight="1">
      <c r="B425" s="638"/>
      <c r="J425" s="732" t="s">
        <v>1066</v>
      </c>
      <c r="K425" s="733"/>
      <c r="L425" s="730"/>
      <c r="M425" s="731"/>
      <c r="N425" s="1194" t="s">
        <v>1105</v>
      </c>
      <c r="O425" s="1194" t="s">
        <v>664</v>
      </c>
      <c r="P425" s="731"/>
      <c r="X425" s="383"/>
      <c r="Y425" s="383"/>
      <c r="Z425" s="383"/>
      <c r="AA425" s="383"/>
      <c r="AB425" s="383"/>
      <c r="AC425" s="383"/>
      <c r="AD425" s="383"/>
      <c r="AE425" s="383"/>
      <c r="AF425" s="383"/>
      <c r="AG425" s="383"/>
      <c r="AH425" s="383"/>
      <c r="AI425" s="383"/>
      <c r="AJ425" s="383"/>
      <c r="AK425" s="383"/>
      <c r="AL425" s="383"/>
      <c r="AM425" s="383"/>
      <c r="AN425" s="383"/>
      <c r="AO425" s="383"/>
      <c r="AP425" s="383"/>
      <c r="AQ425" s="383"/>
      <c r="AR425" s="383"/>
    </row>
    <row r="426" spans="2:44" s="639" customFormat="1" ht="12" customHeight="1">
      <c r="B426" s="638"/>
      <c r="J426" s="732" t="s">
        <v>1786</v>
      </c>
      <c r="K426" s="733"/>
      <c r="L426" s="730"/>
      <c r="M426" s="731"/>
      <c r="N426" s="1194" t="s">
        <v>605</v>
      </c>
      <c r="O426" s="1194" t="s">
        <v>2305</v>
      </c>
      <c r="P426" s="731"/>
      <c r="X426" s="383"/>
      <c r="Y426" s="383"/>
      <c r="Z426" s="383"/>
      <c r="AA426" s="383"/>
      <c r="AB426" s="383"/>
      <c r="AC426" s="383"/>
      <c r="AD426" s="383"/>
      <c r="AE426" s="383"/>
      <c r="AF426" s="383"/>
      <c r="AG426" s="383"/>
      <c r="AH426" s="383"/>
      <c r="AI426" s="383"/>
      <c r="AJ426" s="383"/>
      <c r="AK426" s="383"/>
      <c r="AL426" s="383"/>
      <c r="AM426" s="383"/>
      <c r="AN426" s="383"/>
      <c r="AO426" s="383"/>
      <c r="AP426" s="383"/>
      <c r="AQ426" s="383"/>
      <c r="AR426" s="383"/>
    </row>
    <row r="427" spans="2:44" s="639" customFormat="1" ht="12" customHeight="1">
      <c r="B427" s="638"/>
      <c r="J427" s="732" t="s">
        <v>1787</v>
      </c>
      <c r="K427" s="733"/>
      <c r="L427" s="730"/>
      <c r="M427" s="731"/>
      <c r="N427" s="1194" t="s">
        <v>391</v>
      </c>
      <c r="O427" s="1194" t="s">
        <v>2692</v>
      </c>
      <c r="P427" s="731"/>
      <c r="X427" s="383"/>
      <c r="Y427" s="383"/>
      <c r="Z427" s="383"/>
      <c r="AA427" s="383"/>
      <c r="AB427" s="383"/>
      <c r="AC427" s="383"/>
      <c r="AD427" s="383"/>
      <c r="AE427" s="383"/>
      <c r="AF427" s="383"/>
      <c r="AG427" s="383"/>
      <c r="AH427" s="383"/>
      <c r="AI427" s="383"/>
      <c r="AJ427" s="383"/>
      <c r="AK427" s="383"/>
      <c r="AL427" s="383"/>
      <c r="AM427" s="383"/>
      <c r="AN427" s="383"/>
      <c r="AO427" s="383"/>
      <c r="AP427" s="383"/>
      <c r="AQ427" s="383"/>
      <c r="AR427" s="383"/>
    </row>
    <row r="428" spans="2:44" s="639" customFormat="1" ht="12" customHeight="1">
      <c r="B428" s="638"/>
      <c r="J428" s="732" t="s">
        <v>1788</v>
      </c>
      <c r="K428" s="733"/>
      <c r="L428" s="730"/>
      <c r="M428" s="731"/>
      <c r="N428" s="1194" t="s">
        <v>393</v>
      </c>
      <c r="O428" s="1194" t="s">
        <v>1545</v>
      </c>
      <c r="P428" s="731"/>
      <c r="X428" s="383"/>
      <c r="Y428" s="383"/>
      <c r="Z428" s="383"/>
      <c r="AA428" s="383"/>
      <c r="AB428" s="383"/>
      <c r="AC428" s="383"/>
      <c r="AD428" s="383"/>
      <c r="AE428" s="383"/>
      <c r="AF428" s="383"/>
      <c r="AG428" s="383"/>
      <c r="AH428" s="383"/>
      <c r="AI428" s="383"/>
      <c r="AJ428" s="383"/>
      <c r="AK428" s="383"/>
      <c r="AL428" s="383"/>
      <c r="AM428" s="383"/>
      <c r="AN428" s="383"/>
      <c r="AO428" s="383"/>
      <c r="AP428" s="383"/>
      <c r="AQ428" s="383"/>
      <c r="AR428" s="383"/>
    </row>
    <row r="429" spans="2:44" s="639" customFormat="1" ht="12" customHeight="1">
      <c r="B429" s="638"/>
      <c r="J429" s="732" t="s">
        <v>911</v>
      </c>
      <c r="K429" s="733"/>
      <c r="L429" s="730"/>
      <c r="M429" s="731"/>
      <c r="N429" s="1194" t="s">
        <v>1106</v>
      </c>
      <c r="O429" s="1194" t="s">
        <v>2037</v>
      </c>
      <c r="P429" s="731"/>
      <c r="X429" s="383"/>
      <c r="Y429" s="383"/>
      <c r="Z429" s="383"/>
      <c r="AA429" s="383"/>
      <c r="AB429" s="383"/>
      <c r="AC429" s="383"/>
      <c r="AD429" s="383"/>
      <c r="AE429" s="383"/>
      <c r="AF429" s="383"/>
      <c r="AG429" s="383"/>
      <c r="AH429" s="383"/>
      <c r="AI429" s="383"/>
      <c r="AJ429" s="383"/>
      <c r="AK429" s="383"/>
      <c r="AL429" s="383"/>
      <c r="AM429" s="383"/>
      <c r="AN429" s="383"/>
      <c r="AO429" s="383"/>
      <c r="AP429" s="383"/>
      <c r="AQ429" s="383"/>
      <c r="AR429" s="383"/>
    </row>
    <row r="430" spans="2:44" s="639" customFormat="1" ht="12" customHeight="1">
      <c r="B430" s="638"/>
      <c r="J430" s="732" t="s">
        <v>913</v>
      </c>
      <c r="K430" s="733"/>
      <c r="L430" s="730"/>
      <c r="M430" s="731"/>
      <c r="N430" s="1194" t="s">
        <v>395</v>
      </c>
      <c r="O430" s="1194" t="s">
        <v>926</v>
      </c>
      <c r="P430" s="731"/>
      <c r="X430" s="383"/>
      <c r="Y430" s="383"/>
      <c r="Z430" s="383"/>
      <c r="AA430" s="383"/>
      <c r="AB430" s="383"/>
      <c r="AC430" s="383"/>
      <c r="AD430" s="383"/>
      <c r="AE430" s="383"/>
      <c r="AF430" s="383"/>
      <c r="AG430" s="383"/>
      <c r="AH430" s="383"/>
      <c r="AI430" s="383"/>
      <c r="AJ430" s="383"/>
      <c r="AK430" s="383"/>
      <c r="AL430" s="383"/>
      <c r="AM430" s="383"/>
      <c r="AN430" s="383"/>
      <c r="AO430" s="383"/>
      <c r="AP430" s="383"/>
      <c r="AQ430" s="383"/>
      <c r="AR430" s="383"/>
    </row>
    <row r="431" spans="2:44" s="639" customFormat="1" ht="12" customHeight="1">
      <c r="B431" s="638"/>
      <c r="J431" s="732" t="s">
        <v>915</v>
      </c>
      <c r="K431" s="733"/>
      <c r="L431" s="730"/>
      <c r="M431" s="731"/>
      <c r="N431" s="1194" t="s">
        <v>1503</v>
      </c>
      <c r="O431" s="1194" t="s">
        <v>2384</v>
      </c>
      <c r="P431" s="731"/>
      <c r="X431" s="383"/>
      <c r="Y431" s="383"/>
      <c r="Z431" s="383"/>
      <c r="AA431" s="383"/>
      <c r="AB431" s="383"/>
      <c r="AC431" s="383"/>
      <c r="AD431" s="383"/>
      <c r="AE431" s="383"/>
      <c r="AF431" s="383"/>
      <c r="AG431" s="383"/>
      <c r="AH431" s="383"/>
      <c r="AI431" s="383"/>
      <c r="AJ431" s="383"/>
      <c r="AK431" s="383"/>
      <c r="AL431" s="383"/>
      <c r="AM431" s="383"/>
      <c r="AN431" s="383"/>
      <c r="AO431" s="383"/>
      <c r="AP431" s="383"/>
      <c r="AQ431" s="383"/>
      <c r="AR431" s="383"/>
    </row>
    <row r="432" spans="2:44" s="639" customFormat="1" ht="12" customHeight="1">
      <c r="B432" s="638"/>
      <c r="J432" s="732" t="s">
        <v>451</v>
      </c>
      <c r="K432" s="733"/>
      <c r="L432" s="730"/>
      <c r="M432" s="731"/>
      <c r="N432" s="1194" t="s">
        <v>1694</v>
      </c>
      <c r="O432" s="1194" t="s">
        <v>182</v>
      </c>
      <c r="P432" s="731"/>
      <c r="X432" s="383"/>
      <c r="Y432" s="383"/>
      <c r="Z432" s="383"/>
      <c r="AA432" s="383"/>
      <c r="AB432" s="383"/>
      <c r="AC432" s="383"/>
      <c r="AD432" s="383"/>
      <c r="AE432" s="383"/>
      <c r="AF432" s="383"/>
      <c r="AG432" s="383"/>
      <c r="AH432" s="383"/>
      <c r="AI432" s="383"/>
      <c r="AJ432" s="383"/>
      <c r="AK432" s="383"/>
      <c r="AL432" s="383"/>
      <c r="AM432" s="383"/>
      <c r="AN432" s="383"/>
      <c r="AO432" s="383"/>
      <c r="AP432" s="383"/>
      <c r="AQ432" s="383"/>
      <c r="AR432" s="383"/>
    </row>
    <row r="433" spans="2:44" s="639" customFormat="1" ht="12" customHeight="1">
      <c r="B433" s="638"/>
      <c r="J433" s="732" t="s">
        <v>1834</v>
      </c>
      <c r="K433" s="733"/>
      <c r="L433" s="730"/>
      <c r="M433" s="731"/>
      <c r="N433" s="1194" t="s">
        <v>1063</v>
      </c>
      <c r="O433" s="1194" t="s">
        <v>333</v>
      </c>
      <c r="P433" s="731"/>
      <c r="X433" s="383"/>
      <c r="Y433" s="383"/>
      <c r="Z433" s="383"/>
      <c r="AA433" s="383"/>
      <c r="AB433" s="383"/>
      <c r="AC433" s="383"/>
      <c r="AD433" s="383"/>
      <c r="AE433" s="383"/>
      <c r="AF433" s="383"/>
      <c r="AG433" s="383"/>
      <c r="AH433" s="383"/>
      <c r="AI433" s="383"/>
      <c r="AJ433" s="383"/>
      <c r="AK433" s="383"/>
      <c r="AL433" s="383"/>
      <c r="AM433" s="383"/>
      <c r="AN433" s="383"/>
      <c r="AO433" s="383"/>
      <c r="AP433" s="383"/>
      <c r="AQ433" s="383"/>
      <c r="AR433" s="383"/>
    </row>
    <row r="434" spans="2:44" s="639" customFormat="1" ht="12" customHeight="1">
      <c r="B434" s="638"/>
      <c r="J434" s="732" t="s">
        <v>2427</v>
      </c>
      <c r="K434" s="733"/>
      <c r="L434" s="730"/>
      <c r="M434" s="731"/>
      <c r="N434" s="708" t="s">
        <v>1065</v>
      </c>
      <c r="O434" s="708" t="s">
        <v>337</v>
      </c>
      <c r="P434" s="731"/>
      <c r="X434" s="383"/>
      <c r="Y434" s="383"/>
      <c r="Z434" s="383"/>
      <c r="AA434" s="383"/>
      <c r="AB434" s="383"/>
      <c r="AC434" s="383"/>
      <c r="AD434" s="383"/>
      <c r="AE434" s="383"/>
      <c r="AF434" s="383"/>
      <c r="AG434" s="383"/>
      <c r="AH434" s="383"/>
      <c r="AI434" s="383"/>
      <c r="AJ434" s="383"/>
      <c r="AK434" s="383"/>
      <c r="AL434" s="383"/>
      <c r="AM434" s="383"/>
      <c r="AN434" s="383"/>
      <c r="AO434" s="383"/>
      <c r="AP434" s="383"/>
      <c r="AQ434" s="383"/>
      <c r="AR434" s="383"/>
    </row>
    <row r="435" spans="2:44" s="639" customFormat="1" ht="12" customHeight="1">
      <c r="B435" s="638"/>
      <c r="J435" s="732" t="s">
        <v>2131</v>
      </c>
      <c r="K435" s="733"/>
      <c r="L435" s="730"/>
      <c r="M435" s="731"/>
      <c r="N435" s="1194" t="s">
        <v>1107</v>
      </c>
      <c r="O435" s="1194" t="s">
        <v>2133</v>
      </c>
      <c r="P435" s="1239"/>
      <c r="X435" s="383"/>
      <c r="Y435" s="383"/>
      <c r="Z435" s="383"/>
      <c r="AA435" s="383"/>
      <c r="AB435" s="383"/>
      <c r="AC435" s="383"/>
      <c r="AD435" s="383"/>
      <c r="AE435" s="383"/>
      <c r="AF435" s="383"/>
      <c r="AG435" s="383"/>
      <c r="AH435" s="383"/>
      <c r="AI435" s="383"/>
      <c r="AJ435" s="383"/>
      <c r="AK435" s="383"/>
      <c r="AL435" s="383"/>
      <c r="AM435" s="383"/>
      <c r="AN435" s="383"/>
      <c r="AO435" s="383"/>
      <c r="AP435" s="383"/>
      <c r="AQ435" s="383"/>
      <c r="AR435" s="383"/>
    </row>
    <row r="436" spans="2:44" s="639" customFormat="1" ht="12" customHeight="1">
      <c r="B436" s="638"/>
      <c r="J436" s="732" t="s">
        <v>1088</v>
      </c>
      <c r="K436" s="733"/>
      <c r="L436" s="730"/>
      <c r="M436" s="731"/>
      <c r="N436" s="1194" t="s">
        <v>1067</v>
      </c>
      <c r="O436" s="1194" t="s">
        <v>1277</v>
      </c>
      <c r="P436" s="731"/>
      <c r="X436" s="383"/>
      <c r="Y436" s="383"/>
      <c r="Z436" s="383"/>
      <c r="AA436" s="383"/>
      <c r="AB436" s="383"/>
      <c r="AC436" s="383"/>
      <c r="AD436" s="383"/>
      <c r="AE436" s="383"/>
      <c r="AF436" s="383"/>
      <c r="AG436" s="383"/>
      <c r="AH436" s="383"/>
      <c r="AI436" s="383"/>
      <c r="AJ436" s="383"/>
      <c r="AK436" s="383"/>
      <c r="AL436" s="383"/>
      <c r="AM436" s="383"/>
      <c r="AN436" s="383"/>
      <c r="AO436" s="383"/>
      <c r="AP436" s="383"/>
      <c r="AQ436" s="383"/>
      <c r="AR436" s="383"/>
    </row>
    <row r="437" spans="2:44" s="639" customFormat="1" ht="12" customHeight="1">
      <c r="B437" s="638"/>
      <c r="J437" s="732" t="s">
        <v>430</v>
      </c>
      <c r="K437" s="733"/>
      <c r="L437" s="730"/>
      <c r="M437" s="731"/>
      <c r="N437" s="1194" t="s">
        <v>332</v>
      </c>
      <c r="O437" s="1194" t="s">
        <v>2695</v>
      </c>
      <c r="P437" s="731"/>
      <c r="X437" s="383"/>
      <c r="Y437" s="383"/>
      <c r="Z437" s="383"/>
      <c r="AA437" s="383"/>
      <c r="AB437" s="383"/>
      <c r="AC437" s="383"/>
      <c r="AD437" s="383"/>
      <c r="AE437" s="383"/>
      <c r="AF437" s="383"/>
      <c r="AG437" s="383"/>
      <c r="AH437" s="383"/>
      <c r="AI437" s="383"/>
      <c r="AJ437" s="383"/>
      <c r="AK437" s="383"/>
      <c r="AL437" s="383"/>
      <c r="AM437" s="383"/>
      <c r="AN437" s="383"/>
      <c r="AO437" s="383"/>
      <c r="AP437" s="383"/>
      <c r="AQ437" s="383"/>
      <c r="AR437" s="383"/>
    </row>
    <row r="438" spans="2:44" s="639" customFormat="1" ht="12" customHeight="1">
      <c r="B438" s="638"/>
      <c r="J438" s="732" t="s">
        <v>432</v>
      </c>
      <c r="K438" s="733"/>
      <c r="L438" s="730"/>
      <c r="M438" s="731"/>
      <c r="N438" s="1194" t="s">
        <v>3246</v>
      </c>
      <c r="O438" s="1194" t="s">
        <v>1898</v>
      </c>
      <c r="P438" s="731"/>
      <c r="X438" s="383"/>
      <c r="Y438" s="383"/>
      <c r="Z438" s="383"/>
      <c r="AA438" s="383"/>
      <c r="AB438" s="383"/>
      <c r="AC438" s="383"/>
      <c r="AD438" s="383"/>
      <c r="AE438" s="383"/>
      <c r="AF438" s="383"/>
      <c r="AG438" s="383"/>
      <c r="AH438" s="383"/>
      <c r="AI438" s="383"/>
      <c r="AJ438" s="383"/>
      <c r="AK438" s="383"/>
      <c r="AL438" s="383"/>
      <c r="AM438" s="383"/>
      <c r="AN438" s="383"/>
      <c r="AO438" s="383"/>
      <c r="AP438" s="383"/>
      <c r="AQ438" s="383"/>
      <c r="AR438" s="383"/>
    </row>
    <row r="439" spans="2:44" s="639" customFormat="1" ht="12" customHeight="1">
      <c r="B439" s="638"/>
      <c r="J439" s="732" t="s">
        <v>433</v>
      </c>
      <c r="K439" s="733"/>
      <c r="L439" s="730"/>
      <c r="M439" s="731"/>
      <c r="N439" s="1194" t="s">
        <v>1789</v>
      </c>
      <c r="O439" s="1194" t="s">
        <v>2692</v>
      </c>
      <c r="P439" s="731"/>
      <c r="X439" s="383"/>
      <c r="Y439" s="383"/>
      <c r="Z439" s="383"/>
      <c r="AA439" s="383"/>
      <c r="AB439" s="383"/>
      <c r="AC439" s="383"/>
      <c r="AD439" s="383"/>
      <c r="AE439" s="383"/>
      <c r="AF439" s="383"/>
      <c r="AG439" s="383"/>
      <c r="AH439" s="383"/>
      <c r="AI439" s="383"/>
      <c r="AJ439" s="383"/>
      <c r="AK439" s="383"/>
      <c r="AL439" s="383"/>
      <c r="AM439" s="383"/>
      <c r="AN439" s="383"/>
      <c r="AO439" s="383"/>
      <c r="AP439" s="383"/>
      <c r="AQ439" s="383"/>
      <c r="AR439" s="383"/>
    </row>
    <row r="440" spans="2:44" s="639" customFormat="1" ht="12" customHeight="1">
      <c r="B440" s="638"/>
      <c r="J440" s="732" t="s">
        <v>2069</v>
      </c>
      <c r="K440" s="733"/>
      <c r="L440" s="730"/>
      <c r="M440" s="731"/>
      <c r="N440" s="1194" t="s">
        <v>912</v>
      </c>
      <c r="O440" s="1194" t="s">
        <v>109</v>
      </c>
      <c r="P440" s="731"/>
      <c r="X440" s="383"/>
      <c r="Y440" s="383"/>
      <c r="Z440" s="383"/>
      <c r="AA440" s="383"/>
      <c r="AB440" s="383"/>
      <c r="AC440" s="383"/>
      <c r="AD440" s="383"/>
      <c r="AE440" s="383"/>
      <c r="AF440" s="383"/>
      <c r="AG440" s="383"/>
      <c r="AH440" s="383"/>
      <c r="AI440" s="383"/>
      <c r="AJ440" s="383"/>
      <c r="AK440" s="383"/>
      <c r="AL440" s="383"/>
      <c r="AM440" s="383"/>
      <c r="AN440" s="383"/>
      <c r="AO440" s="383"/>
      <c r="AP440" s="383"/>
      <c r="AQ440" s="383"/>
      <c r="AR440" s="383"/>
    </row>
    <row r="441" spans="2:44" s="639" customFormat="1" ht="12" customHeight="1">
      <c r="B441" s="638"/>
      <c r="J441" s="732" t="s">
        <v>518</v>
      </c>
      <c r="K441" s="733"/>
      <c r="L441" s="730"/>
      <c r="M441" s="731"/>
      <c r="N441" s="1194" t="s">
        <v>914</v>
      </c>
      <c r="O441" s="1194" t="s">
        <v>334</v>
      </c>
      <c r="P441" s="731"/>
      <c r="X441" s="383"/>
      <c r="Y441" s="383"/>
      <c r="Z441" s="383"/>
      <c r="AA441" s="383"/>
      <c r="AB441" s="383"/>
      <c r="AC441" s="383"/>
      <c r="AD441" s="383"/>
      <c r="AE441" s="383"/>
      <c r="AF441" s="383"/>
      <c r="AG441" s="383"/>
      <c r="AH441" s="383"/>
      <c r="AI441" s="383"/>
      <c r="AJ441" s="383"/>
      <c r="AK441" s="383"/>
      <c r="AL441" s="383"/>
      <c r="AM441" s="383"/>
      <c r="AN441" s="383"/>
      <c r="AO441" s="383"/>
      <c r="AP441" s="383"/>
      <c r="AQ441" s="383"/>
      <c r="AR441" s="383"/>
    </row>
    <row r="442" spans="2:44" s="639" customFormat="1" ht="12" customHeight="1">
      <c r="B442" s="638"/>
      <c r="J442" s="732" t="s">
        <v>2293</v>
      </c>
      <c r="K442" s="733"/>
      <c r="L442" s="730"/>
      <c r="M442" s="731"/>
      <c r="N442" s="1194" t="s">
        <v>1854</v>
      </c>
      <c r="O442" s="1194" t="s">
        <v>1158</v>
      </c>
      <c r="P442" s="731"/>
      <c r="X442" s="383"/>
      <c r="Y442" s="383"/>
      <c r="Z442" s="383"/>
      <c r="AA442" s="383"/>
      <c r="AB442" s="383"/>
      <c r="AC442" s="383"/>
      <c r="AD442" s="383"/>
      <c r="AE442" s="383"/>
      <c r="AF442" s="383"/>
      <c r="AG442" s="383"/>
      <c r="AH442" s="383"/>
      <c r="AI442" s="383"/>
      <c r="AJ442" s="383"/>
      <c r="AK442" s="383"/>
      <c r="AL442" s="383"/>
      <c r="AM442" s="383"/>
      <c r="AN442" s="383"/>
      <c r="AO442" s="383"/>
      <c r="AP442" s="383"/>
      <c r="AQ442" s="383"/>
      <c r="AR442" s="383"/>
    </row>
    <row r="443" spans="2:44" s="639" customFormat="1" ht="12" customHeight="1">
      <c r="B443" s="638"/>
      <c r="J443" s="732" t="s">
        <v>1749</v>
      </c>
      <c r="K443" s="733"/>
      <c r="L443" s="730"/>
      <c r="M443" s="731"/>
      <c r="N443" s="1194" t="s">
        <v>667</v>
      </c>
      <c r="O443" s="1194" t="s">
        <v>344</v>
      </c>
      <c r="P443" s="731"/>
      <c r="X443" s="383"/>
      <c r="Y443" s="383"/>
      <c r="Z443" s="383"/>
      <c r="AA443" s="383"/>
      <c r="AB443" s="383"/>
      <c r="AC443" s="383"/>
      <c r="AD443" s="383"/>
      <c r="AE443" s="383"/>
      <c r="AF443" s="383"/>
      <c r="AG443" s="383"/>
      <c r="AH443" s="383"/>
      <c r="AI443" s="383"/>
      <c r="AJ443" s="383"/>
      <c r="AK443" s="383"/>
      <c r="AL443" s="383"/>
      <c r="AM443" s="383"/>
      <c r="AN443" s="383"/>
      <c r="AO443" s="383"/>
      <c r="AP443" s="383"/>
      <c r="AQ443" s="383"/>
      <c r="AR443" s="383"/>
    </row>
    <row r="444" spans="2:44" s="639" customFormat="1" ht="12" customHeight="1">
      <c r="B444" s="638"/>
      <c r="J444" s="732" t="s">
        <v>1751</v>
      </c>
      <c r="K444" s="733"/>
      <c r="L444" s="730"/>
      <c r="M444" s="731"/>
      <c r="N444" s="1194" t="s">
        <v>1835</v>
      </c>
      <c r="O444" s="1194" t="s">
        <v>117</v>
      </c>
      <c r="P444" s="731"/>
      <c r="X444" s="383"/>
      <c r="Y444" s="383"/>
      <c r="Z444" s="383"/>
      <c r="AA444" s="383"/>
      <c r="AB444" s="383"/>
      <c r="AC444" s="383"/>
      <c r="AD444" s="383"/>
      <c r="AE444" s="383"/>
      <c r="AF444" s="383"/>
      <c r="AG444" s="383"/>
      <c r="AH444" s="383"/>
      <c r="AI444" s="383"/>
      <c r="AJ444" s="383"/>
      <c r="AK444" s="383"/>
      <c r="AL444" s="383"/>
      <c r="AM444" s="383"/>
      <c r="AN444" s="383"/>
      <c r="AO444" s="383"/>
      <c r="AP444" s="383"/>
      <c r="AQ444" s="383"/>
      <c r="AR444" s="383"/>
    </row>
    <row r="445" spans="2:44" s="639" customFormat="1" ht="12" customHeight="1">
      <c r="B445" s="638"/>
      <c r="J445" s="732" t="s">
        <v>324</v>
      </c>
      <c r="K445" s="733"/>
      <c r="L445" s="730"/>
      <c r="M445" s="731"/>
      <c r="N445" s="1194" t="s">
        <v>2428</v>
      </c>
      <c r="O445" s="1194" t="s">
        <v>920</v>
      </c>
      <c r="P445" s="731"/>
      <c r="X445" s="383"/>
      <c r="Y445" s="383"/>
      <c r="Z445" s="383"/>
      <c r="AA445" s="383"/>
      <c r="AB445" s="383"/>
      <c r="AC445" s="383"/>
      <c r="AD445" s="383"/>
      <c r="AE445" s="383"/>
      <c r="AF445" s="383"/>
      <c r="AG445" s="383"/>
      <c r="AH445" s="383"/>
      <c r="AI445" s="383"/>
      <c r="AJ445" s="383"/>
      <c r="AK445" s="383"/>
      <c r="AL445" s="383"/>
      <c r="AM445" s="383"/>
      <c r="AN445" s="383"/>
      <c r="AO445" s="383"/>
      <c r="AP445" s="383"/>
      <c r="AQ445" s="383"/>
      <c r="AR445" s="383"/>
    </row>
    <row r="446" spans="2:44" s="639" customFormat="1" ht="12" customHeight="1">
      <c r="B446" s="638"/>
      <c r="J446" s="732" t="s">
        <v>326</v>
      </c>
      <c r="K446" s="733"/>
      <c r="L446" s="730"/>
      <c r="M446" s="731"/>
      <c r="N446" s="1194" t="s">
        <v>3247</v>
      </c>
      <c r="O446" s="1194" t="s">
        <v>166</v>
      </c>
      <c r="P446" s="731"/>
      <c r="X446" s="383"/>
      <c r="Y446" s="383"/>
      <c r="Z446" s="383"/>
      <c r="AA446" s="383"/>
      <c r="AB446" s="383"/>
      <c r="AC446" s="383"/>
      <c r="AD446" s="383"/>
      <c r="AE446" s="383"/>
      <c r="AF446" s="383"/>
      <c r="AG446" s="383"/>
      <c r="AH446" s="383"/>
      <c r="AI446" s="383"/>
      <c r="AJ446" s="383"/>
      <c r="AK446" s="383"/>
      <c r="AL446" s="383"/>
      <c r="AM446" s="383"/>
      <c r="AN446" s="383"/>
      <c r="AO446" s="383"/>
      <c r="AP446" s="383"/>
      <c r="AQ446" s="383"/>
      <c r="AR446" s="383"/>
    </row>
    <row r="447" spans="2:44" s="639" customFormat="1" ht="12" customHeight="1">
      <c r="B447" s="638"/>
      <c r="J447" s="732" t="s">
        <v>992</v>
      </c>
      <c r="K447" s="733"/>
      <c r="L447" s="730"/>
      <c r="M447" s="731"/>
      <c r="N447" s="1194" t="s">
        <v>2132</v>
      </c>
      <c r="O447" s="1194" t="s">
        <v>1168</v>
      </c>
      <c r="P447" s="731"/>
      <c r="X447" s="383"/>
      <c r="Y447" s="383"/>
      <c r="Z447" s="383"/>
      <c r="AA447" s="383"/>
      <c r="AB447" s="383"/>
      <c r="AC447" s="383"/>
      <c r="AD447" s="383"/>
      <c r="AE447" s="383"/>
      <c r="AF447" s="383"/>
      <c r="AG447" s="383"/>
      <c r="AH447" s="383"/>
      <c r="AI447" s="383"/>
      <c r="AJ447" s="383"/>
      <c r="AK447" s="383"/>
      <c r="AL447" s="383"/>
      <c r="AM447" s="383"/>
      <c r="AN447" s="383"/>
      <c r="AO447" s="383"/>
      <c r="AP447" s="383"/>
      <c r="AQ447" s="383"/>
      <c r="AR447" s="383"/>
    </row>
    <row r="448" spans="2:44" s="639" customFormat="1" ht="12" customHeight="1">
      <c r="B448" s="638"/>
      <c r="J448" s="732" t="s">
        <v>2462</v>
      </c>
      <c r="K448" s="733"/>
      <c r="L448" s="730"/>
      <c r="M448" s="731"/>
      <c r="N448" s="708" t="s">
        <v>3248</v>
      </c>
      <c r="O448" s="708" t="s">
        <v>337</v>
      </c>
      <c r="P448" s="731"/>
      <c r="X448" s="383"/>
      <c r="Y448" s="383"/>
      <c r="Z448" s="383"/>
      <c r="AA448" s="383"/>
      <c r="AB448" s="383"/>
      <c r="AC448" s="383"/>
      <c r="AD448" s="383"/>
      <c r="AE448" s="383"/>
      <c r="AF448" s="383"/>
      <c r="AG448" s="383"/>
      <c r="AH448" s="383"/>
      <c r="AI448" s="383"/>
      <c r="AJ448" s="383"/>
      <c r="AK448" s="383"/>
      <c r="AL448" s="383"/>
      <c r="AM448" s="383"/>
      <c r="AN448" s="383"/>
      <c r="AO448" s="383"/>
      <c r="AP448" s="383"/>
      <c r="AQ448" s="383"/>
      <c r="AR448" s="383"/>
    </row>
    <row r="449" spans="2:44" s="639" customFormat="1" ht="12" customHeight="1">
      <c r="B449" s="638"/>
      <c r="J449" s="732" t="s">
        <v>2463</v>
      </c>
      <c r="K449" s="733"/>
      <c r="L449" s="730"/>
      <c r="M449" s="731"/>
      <c r="N449" s="1194" t="s">
        <v>1089</v>
      </c>
      <c r="O449" s="1194" t="s">
        <v>2037</v>
      </c>
      <c r="P449" s="1239"/>
      <c r="X449" s="383"/>
      <c r="Y449" s="383"/>
      <c r="Z449" s="383"/>
      <c r="AA449" s="383"/>
      <c r="AB449" s="383"/>
      <c r="AC449" s="383"/>
      <c r="AD449" s="383"/>
      <c r="AE449" s="383"/>
      <c r="AF449" s="383"/>
      <c r="AG449" s="383"/>
      <c r="AH449" s="383"/>
      <c r="AI449" s="383"/>
      <c r="AJ449" s="383"/>
      <c r="AK449" s="383"/>
      <c r="AL449" s="383"/>
      <c r="AM449" s="383"/>
      <c r="AN449" s="383"/>
      <c r="AO449" s="383"/>
      <c r="AP449" s="383"/>
      <c r="AQ449" s="383"/>
      <c r="AR449" s="383"/>
    </row>
    <row r="450" spans="2:44" s="639" customFormat="1" ht="12" customHeight="1">
      <c r="B450" s="638"/>
      <c r="J450" s="732" t="s">
        <v>2444</v>
      </c>
      <c r="K450" s="733"/>
      <c r="L450" s="730"/>
      <c r="M450" s="731"/>
      <c r="N450" s="708" t="s">
        <v>431</v>
      </c>
      <c r="O450" s="708" t="s">
        <v>191</v>
      </c>
      <c r="P450" s="731"/>
      <c r="X450" s="383"/>
      <c r="Y450" s="383"/>
      <c r="Z450" s="383"/>
      <c r="AA450" s="383"/>
      <c r="AB450" s="383"/>
      <c r="AC450" s="383"/>
      <c r="AD450" s="383"/>
      <c r="AE450" s="383"/>
      <c r="AF450" s="383"/>
      <c r="AG450" s="383"/>
      <c r="AH450" s="383"/>
      <c r="AI450" s="383"/>
      <c r="AJ450" s="383"/>
      <c r="AK450" s="383"/>
      <c r="AL450" s="383"/>
      <c r="AM450" s="383"/>
      <c r="AN450" s="383"/>
      <c r="AO450" s="383"/>
      <c r="AP450" s="383"/>
      <c r="AQ450" s="383"/>
      <c r="AR450" s="383"/>
    </row>
    <row r="451" spans="2:44" s="639" customFormat="1" ht="12" customHeight="1">
      <c r="B451" s="638"/>
      <c r="J451" s="732" t="s">
        <v>2445</v>
      </c>
      <c r="K451" s="733"/>
      <c r="L451" s="730"/>
      <c r="M451" s="731"/>
      <c r="N451" s="1194" t="s">
        <v>1108</v>
      </c>
      <c r="O451" s="1194" t="s">
        <v>1155</v>
      </c>
      <c r="P451" s="1239"/>
      <c r="X451" s="383"/>
      <c r="Y451" s="383"/>
      <c r="Z451" s="383"/>
      <c r="AA451" s="383"/>
      <c r="AB451" s="383"/>
      <c r="AC451" s="383"/>
      <c r="AD451" s="383"/>
      <c r="AE451" s="383"/>
      <c r="AF451" s="383"/>
      <c r="AG451" s="383"/>
      <c r="AH451" s="383"/>
      <c r="AI451" s="383"/>
      <c r="AJ451" s="383"/>
      <c r="AK451" s="383"/>
      <c r="AL451" s="383"/>
      <c r="AM451" s="383"/>
      <c r="AN451" s="383"/>
      <c r="AO451" s="383"/>
      <c r="AP451" s="383"/>
      <c r="AQ451" s="383"/>
      <c r="AR451" s="383"/>
    </row>
    <row r="452" spans="2:44" s="639" customFormat="1" ht="12" customHeight="1">
      <c r="B452" s="638"/>
      <c r="J452" s="732" t="s">
        <v>2447</v>
      </c>
      <c r="K452" s="733"/>
      <c r="L452" s="730"/>
      <c r="M452" s="731"/>
      <c r="N452" s="708" t="s">
        <v>434</v>
      </c>
      <c r="O452" s="708" t="s">
        <v>2301</v>
      </c>
      <c r="P452" s="731"/>
      <c r="X452" s="383"/>
      <c r="Y452" s="383"/>
      <c r="Z452" s="383"/>
      <c r="AA452" s="383"/>
      <c r="AB452" s="383"/>
      <c r="AC452" s="383"/>
      <c r="AD452" s="383"/>
      <c r="AE452" s="383"/>
      <c r="AF452" s="383"/>
      <c r="AG452" s="383"/>
      <c r="AH452" s="383"/>
      <c r="AI452" s="383"/>
      <c r="AJ452" s="383"/>
      <c r="AK452" s="383"/>
      <c r="AL452" s="383"/>
      <c r="AM452" s="383"/>
      <c r="AN452" s="383"/>
      <c r="AO452" s="383"/>
      <c r="AP452" s="383"/>
      <c r="AQ452" s="383"/>
      <c r="AR452" s="383"/>
    </row>
    <row r="453" spans="2:44" s="639" customFormat="1" ht="12" customHeight="1">
      <c r="B453" s="638"/>
      <c r="J453" s="732" t="s">
        <v>537</v>
      </c>
      <c r="K453" s="733"/>
      <c r="L453" s="730"/>
      <c r="M453" s="731"/>
      <c r="N453" s="1194" t="s">
        <v>2070</v>
      </c>
      <c r="O453" s="1194" t="s">
        <v>1545</v>
      </c>
      <c r="P453" s="1239"/>
      <c r="X453" s="383"/>
      <c r="Y453" s="383"/>
      <c r="Z453" s="383"/>
      <c r="AA453" s="383"/>
      <c r="AB453" s="383"/>
      <c r="AC453" s="383"/>
      <c r="AD453" s="383"/>
      <c r="AE453" s="383"/>
      <c r="AF453" s="383"/>
      <c r="AG453" s="383"/>
      <c r="AH453" s="383"/>
      <c r="AI453" s="383"/>
      <c r="AJ453" s="383"/>
      <c r="AK453" s="383"/>
      <c r="AL453" s="383"/>
      <c r="AM453" s="383"/>
      <c r="AN453" s="383"/>
      <c r="AO453" s="383"/>
      <c r="AP453" s="383"/>
      <c r="AQ453" s="383"/>
      <c r="AR453" s="383"/>
    </row>
    <row r="454" spans="2:44" s="639" customFormat="1" ht="12" customHeight="1">
      <c r="B454" s="638"/>
      <c r="J454" s="732" t="s">
        <v>193</v>
      </c>
      <c r="K454" s="733"/>
      <c r="L454" s="730"/>
      <c r="M454" s="731"/>
      <c r="N454" s="1194" t="s">
        <v>519</v>
      </c>
      <c r="O454" s="1194" t="s">
        <v>2765</v>
      </c>
      <c r="P454" s="731"/>
      <c r="X454" s="383"/>
      <c r="Y454" s="383"/>
      <c r="Z454" s="383"/>
      <c r="AA454" s="383"/>
      <c r="AB454" s="383"/>
      <c r="AC454" s="383"/>
      <c r="AD454" s="383"/>
      <c r="AE454" s="383"/>
      <c r="AF454" s="383"/>
      <c r="AG454" s="383"/>
      <c r="AH454" s="383"/>
      <c r="AI454" s="383"/>
      <c r="AJ454" s="383"/>
      <c r="AK454" s="383"/>
      <c r="AL454" s="383"/>
      <c r="AM454" s="383"/>
      <c r="AN454" s="383"/>
      <c r="AO454" s="383"/>
      <c r="AP454" s="383"/>
      <c r="AQ454" s="383"/>
      <c r="AR454" s="383"/>
    </row>
    <row r="455" spans="2:44" s="639" customFormat="1" ht="12" customHeight="1">
      <c r="B455" s="638"/>
      <c r="J455" s="732" t="s">
        <v>2244</v>
      </c>
      <c r="K455" s="733"/>
      <c r="L455" s="730"/>
      <c r="M455" s="731"/>
      <c r="N455" s="1194" t="s">
        <v>2294</v>
      </c>
      <c r="O455" s="1194" t="s">
        <v>1403</v>
      </c>
      <c r="P455" s="731"/>
      <c r="X455" s="383"/>
      <c r="Y455" s="383"/>
      <c r="Z455" s="383"/>
      <c r="AA455" s="383"/>
      <c r="AB455" s="383"/>
      <c r="AC455" s="383"/>
      <c r="AD455" s="383"/>
      <c r="AE455" s="383"/>
      <c r="AF455" s="383"/>
      <c r="AG455" s="383"/>
      <c r="AH455" s="383"/>
      <c r="AI455" s="383"/>
      <c r="AJ455" s="383"/>
      <c r="AK455" s="383"/>
      <c r="AL455" s="383"/>
      <c r="AM455" s="383"/>
      <c r="AN455" s="383"/>
      <c r="AO455" s="383"/>
      <c r="AP455" s="383"/>
      <c r="AQ455" s="383"/>
      <c r="AR455" s="383"/>
    </row>
    <row r="456" spans="2:44" s="639" customFormat="1" ht="12" customHeight="1">
      <c r="B456" s="638"/>
      <c r="J456" s="732" t="s">
        <v>2102</v>
      </c>
      <c r="K456" s="733"/>
      <c r="L456" s="730"/>
      <c r="M456" s="731"/>
      <c r="N456" s="1194" t="s">
        <v>1750</v>
      </c>
      <c r="O456" s="1194" t="s">
        <v>2041</v>
      </c>
      <c r="P456" s="731"/>
      <c r="X456" s="383"/>
      <c r="Y456" s="383"/>
      <c r="Z456" s="383"/>
      <c r="AA456" s="383"/>
      <c r="AB456" s="383"/>
      <c r="AC456" s="383"/>
      <c r="AD456" s="383"/>
      <c r="AE456" s="383"/>
      <c r="AF456" s="383"/>
      <c r="AG456" s="383"/>
      <c r="AH456" s="383"/>
      <c r="AI456" s="383"/>
      <c r="AJ456" s="383"/>
      <c r="AK456" s="383"/>
      <c r="AL456" s="383"/>
      <c r="AM456" s="383"/>
      <c r="AN456" s="383"/>
      <c r="AO456" s="383"/>
      <c r="AP456" s="383"/>
      <c r="AQ456" s="383"/>
      <c r="AR456" s="383"/>
    </row>
    <row r="457" spans="2:44" s="639" customFormat="1" ht="12" customHeight="1">
      <c r="B457" s="638"/>
      <c r="J457" s="732" t="s">
        <v>2104</v>
      </c>
      <c r="K457" s="733"/>
      <c r="L457" s="730"/>
      <c r="M457" s="731"/>
      <c r="N457" s="1194" t="s">
        <v>1752</v>
      </c>
      <c r="O457" s="1194" t="s">
        <v>171</v>
      </c>
      <c r="P457" s="731"/>
      <c r="X457" s="383"/>
      <c r="Y457" s="383"/>
      <c r="Z457" s="383"/>
      <c r="AA457" s="383"/>
      <c r="AB457" s="383"/>
      <c r="AC457" s="383"/>
      <c r="AD457" s="383"/>
      <c r="AE457" s="383"/>
      <c r="AF457" s="383"/>
      <c r="AG457" s="383"/>
      <c r="AH457" s="383"/>
      <c r="AI457" s="383"/>
      <c r="AJ457" s="383"/>
      <c r="AK457" s="383"/>
      <c r="AL457" s="383"/>
      <c r="AM457" s="383"/>
      <c r="AN457" s="383"/>
      <c r="AO457" s="383"/>
      <c r="AP457" s="383"/>
      <c r="AQ457" s="383"/>
      <c r="AR457" s="383"/>
    </row>
    <row r="458" spans="2:44" s="639" customFormat="1" ht="12" customHeight="1">
      <c r="B458" s="638"/>
      <c r="J458" s="732" t="s">
        <v>1208</v>
      </c>
      <c r="K458" s="733"/>
      <c r="L458" s="730"/>
      <c r="M458" s="731"/>
      <c r="N458" s="1194" t="s">
        <v>325</v>
      </c>
      <c r="O458" s="1194" t="s">
        <v>164</v>
      </c>
      <c r="P458" s="731"/>
      <c r="X458" s="383"/>
      <c r="Y458" s="383"/>
      <c r="Z458" s="383"/>
      <c r="AA458" s="383"/>
      <c r="AB458" s="383"/>
      <c r="AC458" s="383"/>
      <c r="AD458" s="383"/>
      <c r="AE458" s="383"/>
      <c r="AF458" s="383"/>
      <c r="AG458" s="383"/>
      <c r="AH458" s="383"/>
      <c r="AI458" s="383"/>
      <c r="AJ458" s="383"/>
      <c r="AK458" s="383"/>
      <c r="AL458" s="383"/>
      <c r="AM458" s="383"/>
      <c r="AN458" s="383"/>
      <c r="AO458" s="383"/>
      <c r="AP458" s="383"/>
      <c r="AQ458" s="383"/>
      <c r="AR458" s="383"/>
    </row>
    <row r="459" spans="2:44" s="639" customFormat="1" ht="12" customHeight="1">
      <c r="B459" s="638"/>
      <c r="J459" s="732" t="s">
        <v>1210</v>
      </c>
      <c r="K459" s="733"/>
      <c r="L459" s="730"/>
      <c r="M459" s="731"/>
      <c r="N459" s="1194" t="s">
        <v>327</v>
      </c>
      <c r="O459" s="1194" t="s">
        <v>1390</v>
      </c>
      <c r="P459" s="731"/>
      <c r="X459" s="383"/>
      <c r="Y459" s="383"/>
      <c r="Z459" s="383"/>
      <c r="AA459" s="383"/>
      <c r="AB459" s="383"/>
      <c r="AC459" s="383"/>
      <c r="AD459" s="383"/>
      <c r="AE459" s="383"/>
      <c r="AF459" s="383"/>
      <c r="AG459" s="383"/>
      <c r="AH459" s="383"/>
      <c r="AI459" s="383"/>
      <c r="AJ459" s="383"/>
      <c r="AK459" s="383"/>
      <c r="AL459" s="383"/>
      <c r="AM459" s="383"/>
      <c r="AN459" s="383"/>
      <c r="AO459" s="383"/>
      <c r="AP459" s="383"/>
      <c r="AQ459" s="383"/>
      <c r="AR459" s="383"/>
    </row>
    <row r="460" spans="2:44" s="639" customFormat="1" ht="12" customHeight="1">
      <c r="B460" s="638"/>
      <c r="J460" s="732" t="s">
        <v>1172</v>
      </c>
      <c r="K460" s="733"/>
      <c r="L460" s="730"/>
      <c r="M460" s="731"/>
      <c r="N460" s="1194" t="s">
        <v>993</v>
      </c>
      <c r="O460" s="1194" t="s">
        <v>2643</v>
      </c>
      <c r="P460" s="731"/>
      <c r="X460" s="383"/>
      <c r="Y460" s="383"/>
      <c r="Z460" s="383"/>
      <c r="AA460" s="383"/>
      <c r="AB460" s="383"/>
      <c r="AC460" s="383"/>
      <c r="AD460" s="383"/>
      <c r="AE460" s="383"/>
      <c r="AF460" s="383"/>
      <c r="AG460" s="383"/>
      <c r="AH460" s="383"/>
      <c r="AI460" s="383"/>
      <c r="AJ460" s="383"/>
      <c r="AK460" s="383"/>
      <c r="AL460" s="383"/>
      <c r="AM460" s="383"/>
      <c r="AN460" s="383"/>
      <c r="AO460" s="383"/>
      <c r="AP460" s="383"/>
      <c r="AQ460" s="383"/>
      <c r="AR460" s="383"/>
    </row>
    <row r="461" spans="2:44" s="639" customFormat="1" ht="12" customHeight="1">
      <c r="B461" s="638"/>
      <c r="J461" s="732" t="s">
        <v>1173</v>
      </c>
      <c r="K461" s="733"/>
      <c r="L461" s="730"/>
      <c r="M461" s="731"/>
      <c r="N461" s="1194" t="s">
        <v>2464</v>
      </c>
      <c r="O461" s="1194" t="s">
        <v>341</v>
      </c>
      <c r="P461" s="731"/>
      <c r="X461" s="383"/>
      <c r="Y461" s="383"/>
      <c r="Z461" s="383"/>
      <c r="AA461" s="383"/>
      <c r="AB461" s="383"/>
      <c r="AC461" s="383"/>
      <c r="AD461" s="383"/>
      <c r="AE461" s="383"/>
      <c r="AF461" s="383"/>
      <c r="AG461" s="383"/>
      <c r="AH461" s="383"/>
      <c r="AI461" s="383"/>
      <c r="AJ461" s="383"/>
      <c r="AK461" s="383"/>
      <c r="AL461" s="383"/>
      <c r="AM461" s="383"/>
      <c r="AN461" s="383"/>
      <c r="AO461" s="383"/>
      <c r="AP461" s="383"/>
      <c r="AQ461" s="383"/>
      <c r="AR461" s="383"/>
    </row>
    <row r="462" spans="2:44" s="639" customFormat="1" ht="12" customHeight="1">
      <c r="B462" s="638"/>
      <c r="J462" s="732" t="s">
        <v>75</v>
      </c>
      <c r="K462" s="733"/>
      <c r="L462" s="730"/>
      <c r="M462" s="731"/>
      <c r="N462" s="1194" t="s">
        <v>3249</v>
      </c>
      <c r="O462" s="1194" t="s">
        <v>2318</v>
      </c>
      <c r="P462" s="731"/>
      <c r="X462" s="383"/>
      <c r="Y462" s="383"/>
      <c r="Z462" s="383"/>
      <c r="AA462" s="383"/>
      <c r="AB462" s="383"/>
      <c r="AC462" s="383"/>
      <c r="AD462" s="383"/>
      <c r="AE462" s="383"/>
      <c r="AF462" s="383"/>
      <c r="AG462" s="383"/>
      <c r="AH462" s="383"/>
      <c r="AI462" s="383"/>
      <c r="AJ462" s="383"/>
      <c r="AK462" s="383"/>
      <c r="AL462" s="383"/>
      <c r="AM462" s="383"/>
      <c r="AN462" s="383"/>
      <c r="AO462" s="383"/>
      <c r="AP462" s="383"/>
      <c r="AQ462" s="383"/>
      <c r="AR462" s="383"/>
    </row>
    <row r="463" spans="2:44" s="639" customFormat="1" ht="12" customHeight="1">
      <c r="B463" s="638"/>
      <c r="J463" s="732" t="s">
        <v>386</v>
      </c>
      <c r="K463" s="733"/>
      <c r="L463" s="730"/>
      <c r="M463" s="731"/>
      <c r="N463" s="641" t="s">
        <v>2446</v>
      </c>
      <c r="O463" s="1194" t="s">
        <v>186</v>
      </c>
      <c r="P463" s="731"/>
      <c r="X463" s="383"/>
      <c r="Y463" s="383"/>
      <c r="Z463" s="383"/>
      <c r="AA463" s="383"/>
      <c r="AB463" s="383"/>
      <c r="AC463" s="383"/>
      <c r="AD463" s="383"/>
      <c r="AE463" s="383"/>
      <c r="AF463" s="383"/>
      <c r="AG463" s="383"/>
      <c r="AH463" s="383"/>
      <c r="AI463" s="383"/>
      <c r="AJ463" s="383"/>
      <c r="AK463" s="383"/>
      <c r="AL463" s="383"/>
      <c r="AM463" s="383"/>
      <c r="AN463" s="383"/>
      <c r="AO463" s="383"/>
      <c r="AP463" s="383"/>
      <c r="AQ463" s="383"/>
      <c r="AR463" s="383"/>
    </row>
    <row r="464" spans="2:44" s="639" customFormat="1" ht="12" customHeight="1">
      <c r="B464" s="638"/>
      <c r="J464" s="732" t="s">
        <v>2389</v>
      </c>
      <c r="K464" s="733"/>
      <c r="L464" s="730"/>
      <c r="M464" s="731"/>
      <c r="N464" s="1194" t="s">
        <v>2448</v>
      </c>
      <c r="O464" s="1194" t="s">
        <v>1400</v>
      </c>
      <c r="P464" s="731"/>
      <c r="X464" s="383"/>
      <c r="Y464" s="383"/>
      <c r="Z464" s="383"/>
      <c r="AA464" s="383"/>
      <c r="AB464" s="383"/>
      <c r="AC464" s="383"/>
      <c r="AD464" s="383"/>
      <c r="AE464" s="383"/>
      <c r="AF464" s="383"/>
      <c r="AG464" s="383"/>
      <c r="AH464" s="383"/>
      <c r="AI464" s="383"/>
      <c r="AJ464" s="383"/>
      <c r="AK464" s="383"/>
      <c r="AL464" s="383"/>
      <c r="AM464" s="383"/>
      <c r="AN464" s="383"/>
      <c r="AO464" s="383"/>
      <c r="AP464" s="383"/>
      <c r="AQ464" s="383"/>
      <c r="AR464" s="383"/>
    </row>
    <row r="465" spans="2:44" s="639" customFormat="1" ht="12" customHeight="1">
      <c r="B465" s="638"/>
      <c r="J465" s="732" t="s">
        <v>1936</v>
      </c>
      <c r="K465" s="733"/>
      <c r="L465" s="730"/>
      <c r="M465" s="731"/>
      <c r="N465" s="1194" t="s">
        <v>538</v>
      </c>
      <c r="O465" s="1194" t="s">
        <v>186</v>
      </c>
      <c r="P465" s="731"/>
      <c r="X465" s="383"/>
      <c r="Y465" s="383"/>
      <c r="Z465" s="383"/>
      <c r="AA465" s="383"/>
      <c r="AB465" s="383"/>
      <c r="AC465" s="383"/>
      <c r="AD465" s="383"/>
      <c r="AE465" s="383"/>
      <c r="AF465" s="383"/>
      <c r="AG465" s="383"/>
      <c r="AH465" s="383"/>
      <c r="AI465" s="383"/>
      <c r="AJ465" s="383"/>
      <c r="AK465" s="383"/>
      <c r="AL465" s="383"/>
      <c r="AM465" s="383"/>
      <c r="AN465" s="383"/>
      <c r="AO465" s="383"/>
      <c r="AP465" s="383"/>
      <c r="AQ465" s="383"/>
      <c r="AR465" s="383"/>
    </row>
    <row r="466" spans="2:44" s="639" customFormat="1" ht="12" customHeight="1">
      <c r="B466" s="638"/>
      <c r="J466" s="732" t="s">
        <v>1869</v>
      </c>
      <c r="K466" s="733"/>
      <c r="L466" s="730"/>
      <c r="M466" s="731"/>
      <c r="N466" s="1194" t="s">
        <v>1109</v>
      </c>
      <c r="O466" s="1194" t="s">
        <v>1618</v>
      </c>
      <c r="P466" s="731"/>
      <c r="X466" s="383"/>
      <c r="Y466" s="383"/>
      <c r="Z466" s="383"/>
      <c r="AA466" s="383"/>
      <c r="AB466" s="383"/>
      <c r="AC466" s="383"/>
      <c r="AD466" s="383"/>
      <c r="AE466" s="383"/>
      <c r="AF466" s="383"/>
      <c r="AG466" s="383"/>
      <c r="AH466" s="383"/>
      <c r="AI466" s="383"/>
      <c r="AJ466" s="383"/>
      <c r="AK466" s="383"/>
      <c r="AL466" s="383"/>
      <c r="AM466" s="383"/>
      <c r="AN466" s="383"/>
      <c r="AO466" s="383"/>
      <c r="AP466" s="383"/>
      <c r="AQ466" s="383"/>
      <c r="AR466" s="383"/>
    </row>
    <row r="467" spans="2:44" s="639" customFormat="1" ht="12" customHeight="1">
      <c r="B467" s="638"/>
      <c r="J467" s="732" t="s">
        <v>288</v>
      </c>
      <c r="K467" s="733"/>
      <c r="L467" s="730"/>
      <c r="M467" s="731"/>
      <c r="N467" s="1194" t="s">
        <v>194</v>
      </c>
      <c r="O467" s="1194" t="s">
        <v>2303</v>
      </c>
      <c r="P467" s="731"/>
      <c r="X467" s="383"/>
      <c r="Y467" s="383"/>
      <c r="Z467" s="383"/>
      <c r="AA467" s="383"/>
      <c r="AB467" s="383"/>
      <c r="AC467" s="383"/>
      <c r="AD467" s="383"/>
      <c r="AE467" s="383"/>
      <c r="AF467" s="383"/>
      <c r="AG467" s="383"/>
      <c r="AH467" s="383"/>
      <c r="AI467" s="383"/>
      <c r="AJ467" s="383"/>
      <c r="AK467" s="383"/>
      <c r="AL467" s="383"/>
      <c r="AM467" s="383"/>
      <c r="AN467" s="383"/>
      <c r="AO467" s="383"/>
      <c r="AP467" s="383"/>
      <c r="AQ467" s="383"/>
      <c r="AR467" s="383"/>
    </row>
    <row r="468" spans="2:44" s="639" customFormat="1" ht="12" customHeight="1">
      <c r="B468" s="638"/>
      <c r="J468" s="732" t="s">
        <v>2499</v>
      </c>
      <c r="K468" s="733"/>
      <c r="L468" s="730"/>
      <c r="M468" s="731"/>
      <c r="N468" s="708" t="s">
        <v>1110</v>
      </c>
      <c r="O468" s="708" t="s">
        <v>2642</v>
      </c>
      <c r="P468" s="731"/>
      <c r="X468" s="383"/>
      <c r="Y468" s="383"/>
      <c r="Z468" s="383"/>
      <c r="AA468" s="383"/>
      <c r="AB468" s="383"/>
      <c r="AC468" s="383"/>
      <c r="AD468" s="383"/>
      <c r="AE468" s="383"/>
      <c r="AF468" s="383"/>
      <c r="AG468" s="383"/>
      <c r="AH468" s="383"/>
      <c r="AI468" s="383"/>
      <c r="AJ468" s="383"/>
      <c r="AK468" s="383"/>
      <c r="AL468" s="383"/>
      <c r="AM468" s="383"/>
      <c r="AN468" s="383"/>
      <c r="AO468" s="383"/>
      <c r="AP468" s="383"/>
      <c r="AQ468" s="383"/>
      <c r="AR468" s="383"/>
    </row>
    <row r="469" spans="2:44" s="639" customFormat="1" ht="12" customHeight="1">
      <c r="B469" s="638"/>
      <c r="J469" s="732" t="s">
        <v>494</v>
      </c>
      <c r="K469" s="733"/>
      <c r="L469" s="730"/>
      <c r="M469" s="731"/>
      <c r="N469" s="1194" t="s">
        <v>2101</v>
      </c>
      <c r="O469" s="1194" t="s">
        <v>2550</v>
      </c>
      <c r="P469" s="1239"/>
      <c r="X469" s="383"/>
      <c r="Y469" s="383"/>
      <c r="Z469" s="383"/>
      <c r="AA469" s="383"/>
      <c r="AB469" s="383"/>
      <c r="AC469" s="383"/>
      <c r="AD469" s="383"/>
      <c r="AE469" s="383"/>
      <c r="AF469" s="383"/>
      <c r="AG469" s="383"/>
      <c r="AH469" s="383"/>
      <c r="AI469" s="383"/>
      <c r="AJ469" s="383"/>
      <c r="AK469" s="383"/>
      <c r="AL469" s="383"/>
      <c r="AM469" s="383"/>
      <c r="AN469" s="383"/>
      <c r="AO469" s="383"/>
      <c r="AP469" s="383"/>
      <c r="AQ469" s="383"/>
      <c r="AR469" s="383"/>
    </row>
    <row r="470" spans="2:44" s="639" customFormat="1" ht="12" customHeight="1">
      <c r="B470" s="638"/>
      <c r="J470" s="732" t="s">
        <v>495</v>
      </c>
      <c r="K470" s="733"/>
      <c r="L470" s="730"/>
      <c r="M470" s="731"/>
      <c r="N470" s="1194" t="s">
        <v>1111</v>
      </c>
      <c r="O470" s="1194" t="s">
        <v>166</v>
      </c>
      <c r="P470" s="731"/>
      <c r="X470" s="383"/>
      <c r="Y470" s="383"/>
      <c r="Z470" s="383"/>
      <c r="AA470" s="383"/>
      <c r="AB470" s="383"/>
      <c r="AC470" s="383"/>
      <c r="AD470" s="383"/>
      <c r="AE470" s="383"/>
      <c r="AF470" s="383"/>
      <c r="AG470" s="383"/>
      <c r="AH470" s="383"/>
      <c r="AI470" s="383"/>
      <c r="AJ470" s="383"/>
      <c r="AK470" s="383"/>
      <c r="AL470" s="383"/>
      <c r="AM470" s="383"/>
      <c r="AN470" s="383"/>
      <c r="AO470" s="383"/>
      <c r="AP470" s="383"/>
      <c r="AQ470" s="383"/>
      <c r="AR470" s="383"/>
    </row>
    <row r="471" spans="2:44" s="639" customFormat="1" ht="12" customHeight="1">
      <c r="B471" s="638"/>
      <c r="J471" s="732" t="s">
        <v>497</v>
      </c>
      <c r="K471" s="733"/>
      <c r="L471" s="730"/>
      <c r="M471" s="731"/>
      <c r="N471" s="1194" t="s">
        <v>2103</v>
      </c>
      <c r="O471" s="1194" t="s">
        <v>2550</v>
      </c>
      <c r="P471" s="731"/>
      <c r="X471" s="383"/>
      <c r="Y471" s="383"/>
      <c r="Z471" s="383"/>
      <c r="AA471" s="383"/>
      <c r="AB471" s="383"/>
      <c r="AC471" s="383"/>
      <c r="AD471" s="383"/>
      <c r="AE471" s="383"/>
      <c r="AF471" s="383"/>
      <c r="AG471" s="383"/>
      <c r="AH471" s="383"/>
      <c r="AI471" s="383"/>
      <c r="AJ471" s="383"/>
      <c r="AK471" s="383"/>
      <c r="AL471" s="383"/>
      <c r="AM471" s="383"/>
      <c r="AN471" s="383"/>
      <c r="AO471" s="383"/>
      <c r="AP471" s="383"/>
      <c r="AQ471" s="383"/>
      <c r="AR471" s="383"/>
    </row>
    <row r="472" spans="2:44" s="639" customFormat="1" ht="12" customHeight="1">
      <c r="B472" s="638"/>
      <c r="J472" s="732" t="s">
        <v>499</v>
      </c>
      <c r="K472" s="733"/>
      <c r="L472" s="730"/>
      <c r="M472" s="731"/>
      <c r="N472" s="1194" t="s">
        <v>341</v>
      </c>
      <c r="O472" s="1194" t="s">
        <v>1411</v>
      </c>
      <c r="P472" s="731"/>
      <c r="X472" s="383"/>
      <c r="Y472" s="383"/>
      <c r="Z472" s="383"/>
      <c r="AA472" s="383"/>
      <c r="AB472" s="383"/>
      <c r="AC472" s="383"/>
      <c r="AD472" s="383"/>
      <c r="AE472" s="383"/>
      <c r="AF472" s="383"/>
      <c r="AG472" s="383"/>
      <c r="AH472" s="383"/>
      <c r="AI472" s="383"/>
      <c r="AJ472" s="383"/>
      <c r="AK472" s="383"/>
      <c r="AL472" s="383"/>
      <c r="AM472" s="383"/>
      <c r="AN472" s="383"/>
      <c r="AO472" s="383"/>
      <c r="AP472" s="383"/>
      <c r="AQ472" s="383"/>
      <c r="AR472" s="383"/>
    </row>
    <row r="473" spans="2:44" s="639" customFormat="1" ht="12" customHeight="1">
      <c r="B473" s="638"/>
      <c r="J473" s="732" t="s">
        <v>1312</v>
      </c>
      <c r="K473" s="733"/>
      <c r="L473" s="730"/>
      <c r="M473" s="731"/>
      <c r="N473" s="1194" t="s">
        <v>1209</v>
      </c>
      <c r="O473" s="1194" t="s">
        <v>920</v>
      </c>
      <c r="P473" s="731"/>
      <c r="X473" s="383"/>
      <c r="Y473" s="383"/>
      <c r="Z473" s="383"/>
      <c r="AA473" s="383"/>
      <c r="AB473" s="383"/>
      <c r="AC473" s="383"/>
      <c r="AD473" s="383"/>
      <c r="AE473" s="383"/>
      <c r="AF473" s="383"/>
      <c r="AG473" s="383"/>
      <c r="AH473" s="383"/>
      <c r="AI473" s="383"/>
      <c r="AJ473" s="383"/>
      <c r="AK473" s="383"/>
      <c r="AL473" s="383"/>
      <c r="AM473" s="383"/>
      <c r="AN473" s="383"/>
      <c r="AO473" s="383"/>
      <c r="AP473" s="383"/>
      <c r="AQ473" s="383"/>
      <c r="AR473" s="383"/>
    </row>
    <row r="474" spans="2:44" s="639" customFormat="1" ht="12" customHeight="1">
      <c r="B474" s="638"/>
      <c r="J474" s="732" t="s">
        <v>1314</v>
      </c>
      <c r="K474" s="733"/>
      <c r="L474" s="730"/>
      <c r="M474" s="731"/>
      <c r="N474" s="1194" t="s">
        <v>1171</v>
      </c>
      <c r="O474" s="1194" t="s">
        <v>923</v>
      </c>
      <c r="P474" s="731"/>
      <c r="X474" s="383"/>
      <c r="Y474" s="383"/>
      <c r="Z474" s="383"/>
      <c r="AA474" s="383"/>
      <c r="AB474" s="383"/>
      <c r="AC474" s="383"/>
      <c r="AD474" s="383"/>
      <c r="AE474" s="383"/>
      <c r="AF474" s="383"/>
      <c r="AG474" s="383"/>
      <c r="AH474" s="383"/>
      <c r="AI474" s="383"/>
      <c r="AJ474" s="383"/>
      <c r="AK474" s="383"/>
      <c r="AL474" s="383"/>
      <c r="AM474" s="383"/>
      <c r="AN474" s="383"/>
      <c r="AO474" s="383"/>
      <c r="AP474" s="383"/>
      <c r="AQ474" s="383"/>
      <c r="AR474" s="383"/>
    </row>
    <row r="475" spans="2:44" s="639" customFormat="1" ht="12" customHeight="1">
      <c r="B475" s="638"/>
      <c r="J475" s="732" t="s">
        <v>2121</v>
      </c>
      <c r="K475" s="733"/>
      <c r="L475" s="730"/>
      <c r="M475" s="731"/>
      <c r="N475" s="1194" t="s">
        <v>343</v>
      </c>
      <c r="O475" s="1194" t="s">
        <v>1152</v>
      </c>
      <c r="P475" s="731"/>
      <c r="X475" s="383"/>
      <c r="Y475" s="383"/>
      <c r="Z475" s="383"/>
      <c r="AA475" s="383"/>
      <c r="AB475" s="383"/>
      <c r="AC475" s="383"/>
      <c r="AD475" s="383"/>
      <c r="AE475" s="383"/>
      <c r="AF475" s="383"/>
      <c r="AG475" s="383"/>
      <c r="AH475" s="383"/>
      <c r="AI475" s="383"/>
      <c r="AJ475" s="383"/>
      <c r="AK475" s="383"/>
      <c r="AL475" s="383"/>
      <c r="AM475" s="383"/>
      <c r="AN475" s="383"/>
      <c r="AO475" s="383"/>
      <c r="AP475" s="383"/>
      <c r="AQ475" s="383"/>
      <c r="AR475" s="383"/>
    </row>
    <row r="476" spans="2:44" s="639" customFormat="1" ht="12" customHeight="1">
      <c r="B476" s="638"/>
      <c r="J476" s="732" t="s">
        <v>2122</v>
      </c>
      <c r="K476" s="733"/>
      <c r="L476" s="730"/>
      <c r="M476" s="731"/>
      <c r="N476" s="1194" t="s">
        <v>346</v>
      </c>
      <c r="O476" s="1194" t="s">
        <v>341</v>
      </c>
      <c r="P476" s="731"/>
      <c r="X476" s="383"/>
      <c r="Y476" s="383"/>
      <c r="Z476" s="383"/>
      <c r="AA476" s="383"/>
      <c r="AB476" s="383"/>
      <c r="AC476" s="383"/>
      <c r="AD476" s="383"/>
      <c r="AE476" s="383"/>
      <c r="AF476" s="383"/>
      <c r="AG476" s="383"/>
      <c r="AH476" s="383"/>
      <c r="AI476" s="383"/>
      <c r="AJ476" s="383"/>
      <c r="AK476" s="383"/>
      <c r="AL476" s="383"/>
      <c r="AM476" s="383"/>
      <c r="AN476" s="383"/>
      <c r="AO476" s="383"/>
      <c r="AP476" s="383"/>
      <c r="AQ476" s="383"/>
      <c r="AR476" s="383"/>
    </row>
    <row r="477" spans="2:44" s="639" customFormat="1" ht="12" customHeight="1">
      <c r="B477" s="638"/>
      <c r="J477" s="732" t="s">
        <v>78</v>
      </c>
      <c r="K477" s="733"/>
      <c r="L477" s="730"/>
      <c r="M477" s="731"/>
      <c r="N477" s="708" t="s">
        <v>76</v>
      </c>
      <c r="O477" s="708" t="s">
        <v>2045</v>
      </c>
      <c r="P477" s="731"/>
      <c r="X477" s="383"/>
      <c r="Y477" s="383"/>
      <c r="Z477" s="383"/>
      <c r="AA477" s="383"/>
      <c r="AB477" s="383"/>
      <c r="AC477" s="383"/>
      <c r="AD477" s="383"/>
      <c r="AE477" s="383"/>
      <c r="AF477" s="383"/>
      <c r="AG477" s="383"/>
      <c r="AH477" s="383"/>
      <c r="AI477" s="383"/>
      <c r="AJ477" s="383"/>
      <c r="AK477" s="383"/>
      <c r="AL477" s="383"/>
      <c r="AM477" s="383"/>
      <c r="AN477" s="383"/>
      <c r="AO477" s="383"/>
      <c r="AP477" s="383"/>
      <c r="AQ477" s="383"/>
      <c r="AR477" s="383"/>
    </row>
    <row r="478" spans="2:44" s="639" customFormat="1" ht="12" customHeight="1">
      <c r="B478" s="638"/>
      <c r="J478" s="732" t="s">
        <v>80</v>
      </c>
      <c r="K478" s="733"/>
      <c r="L478" s="730"/>
      <c r="M478" s="731"/>
      <c r="N478" s="708" t="s">
        <v>2390</v>
      </c>
      <c r="O478" s="708" t="s">
        <v>1411</v>
      </c>
      <c r="P478" s="1239"/>
      <c r="X478" s="383"/>
      <c r="Y478" s="383"/>
      <c r="Z478" s="383"/>
      <c r="AA478" s="383"/>
      <c r="AB478" s="383"/>
      <c r="AC478" s="383"/>
      <c r="AD478" s="383"/>
      <c r="AE478" s="383"/>
      <c r="AF478" s="383"/>
      <c r="AG478" s="383"/>
      <c r="AH478" s="383"/>
      <c r="AI478" s="383"/>
      <c r="AJ478" s="383"/>
      <c r="AK478" s="383"/>
      <c r="AL478" s="383"/>
      <c r="AM478" s="383"/>
      <c r="AN478" s="383"/>
      <c r="AO478" s="383"/>
      <c r="AP478" s="383"/>
      <c r="AQ478" s="383"/>
      <c r="AR478" s="383"/>
    </row>
    <row r="479" spans="2:44" s="639" customFormat="1" ht="12" customHeight="1">
      <c r="B479" s="638"/>
      <c r="J479" s="732" t="s">
        <v>2567</v>
      </c>
      <c r="K479" s="733"/>
      <c r="L479" s="730"/>
      <c r="M479" s="731"/>
      <c r="N479" s="1194" t="s">
        <v>1868</v>
      </c>
      <c r="O479" s="1194" t="s">
        <v>2136</v>
      </c>
      <c r="P479" s="1239"/>
      <c r="X479" s="383"/>
      <c r="Y479" s="383"/>
      <c r="Z479" s="383"/>
      <c r="AA479" s="383"/>
      <c r="AB479" s="383"/>
      <c r="AC479" s="383"/>
      <c r="AD479" s="383"/>
      <c r="AE479" s="383"/>
      <c r="AF479" s="383"/>
      <c r="AG479" s="383"/>
      <c r="AH479" s="383"/>
      <c r="AI479" s="383"/>
      <c r="AJ479" s="383"/>
      <c r="AK479" s="383"/>
      <c r="AL479" s="383"/>
      <c r="AM479" s="383"/>
      <c r="AN479" s="383"/>
      <c r="AO479" s="383"/>
      <c r="AP479" s="383"/>
      <c r="AQ479" s="383"/>
      <c r="AR479" s="383"/>
    </row>
    <row r="480" spans="2:44" s="639" customFormat="1" ht="12" customHeight="1">
      <c r="B480" s="638"/>
      <c r="J480" s="732" t="s">
        <v>2332</v>
      </c>
      <c r="K480" s="733"/>
      <c r="L480" s="730"/>
      <c r="M480" s="731"/>
      <c r="N480" s="1194" t="s">
        <v>1870</v>
      </c>
      <c r="O480" s="1194" t="s">
        <v>111</v>
      </c>
      <c r="P480" s="731"/>
      <c r="X480" s="383"/>
      <c r="Y480" s="383"/>
      <c r="Z480" s="383"/>
      <c r="AA480" s="383"/>
      <c r="AB480" s="383"/>
      <c r="AC480" s="383"/>
      <c r="AD480" s="383"/>
      <c r="AE480" s="383"/>
      <c r="AF480" s="383"/>
      <c r="AG480" s="383"/>
      <c r="AH480" s="383"/>
      <c r="AI480" s="383"/>
      <c r="AJ480" s="383"/>
      <c r="AK480" s="383"/>
      <c r="AL480" s="383"/>
      <c r="AM480" s="383"/>
      <c r="AN480" s="383"/>
      <c r="AO480" s="383"/>
      <c r="AP480" s="383"/>
      <c r="AQ480" s="383"/>
      <c r="AR480" s="383"/>
    </row>
    <row r="481" spans="2:44" s="639" customFormat="1" ht="12" customHeight="1">
      <c r="B481" s="638"/>
      <c r="J481" s="732" t="s">
        <v>2333</v>
      </c>
      <c r="K481" s="733"/>
      <c r="L481" s="730"/>
      <c r="M481" s="731"/>
      <c r="N481" s="1194" t="s">
        <v>732</v>
      </c>
      <c r="O481" s="1194" t="s">
        <v>1277</v>
      </c>
      <c r="P481" s="731"/>
      <c r="X481" s="383"/>
      <c r="Y481" s="383"/>
      <c r="Z481" s="383"/>
      <c r="AA481" s="383"/>
      <c r="AB481" s="383"/>
      <c r="AC481" s="383"/>
      <c r="AD481" s="383"/>
      <c r="AE481" s="383"/>
      <c r="AF481" s="383"/>
      <c r="AG481" s="383"/>
      <c r="AH481" s="383"/>
      <c r="AI481" s="383"/>
      <c r="AJ481" s="383"/>
      <c r="AK481" s="383"/>
      <c r="AL481" s="383"/>
      <c r="AM481" s="383"/>
      <c r="AN481" s="383"/>
      <c r="AO481" s="383"/>
      <c r="AP481" s="383"/>
      <c r="AQ481" s="383"/>
      <c r="AR481" s="383"/>
    </row>
    <row r="482" spans="2:44" s="639" customFormat="1" ht="12" customHeight="1">
      <c r="B482" s="638"/>
      <c r="J482" s="732" t="s">
        <v>1018</v>
      </c>
      <c r="K482" s="733"/>
      <c r="L482" s="730"/>
      <c r="M482" s="731"/>
      <c r="N482" s="1194" t="s">
        <v>2498</v>
      </c>
      <c r="O482" s="1194" t="s">
        <v>2642</v>
      </c>
      <c r="P482" s="731"/>
      <c r="X482" s="383"/>
      <c r="Y482" s="383"/>
      <c r="Z482" s="383"/>
      <c r="AA482" s="383"/>
      <c r="AB482" s="383"/>
      <c r="AC482" s="383"/>
      <c r="AD482" s="383"/>
      <c r="AE482" s="383"/>
      <c r="AF482" s="383"/>
      <c r="AG482" s="383"/>
      <c r="AH482" s="383"/>
      <c r="AI482" s="383"/>
      <c r="AJ482" s="383"/>
      <c r="AK482" s="383"/>
      <c r="AL482" s="383"/>
      <c r="AM482" s="383"/>
      <c r="AN482" s="383"/>
      <c r="AO482" s="383"/>
      <c r="AP482" s="383"/>
      <c r="AQ482" s="383"/>
      <c r="AR482" s="383"/>
    </row>
    <row r="483" spans="2:44" s="639" customFormat="1" ht="12" customHeight="1">
      <c r="B483" s="638"/>
      <c r="J483" s="732" t="s">
        <v>1020</v>
      </c>
      <c r="K483" s="733"/>
      <c r="L483" s="730"/>
      <c r="M483" s="731"/>
      <c r="N483" s="1194" t="s">
        <v>2500</v>
      </c>
      <c r="O483" s="1194" t="s">
        <v>2312</v>
      </c>
      <c r="P483" s="731"/>
      <c r="X483" s="383"/>
      <c r="Y483" s="383"/>
      <c r="Z483" s="383"/>
      <c r="AA483" s="383"/>
      <c r="AB483" s="383"/>
      <c r="AC483" s="383"/>
      <c r="AD483" s="383"/>
      <c r="AE483" s="383"/>
      <c r="AF483" s="383"/>
      <c r="AG483" s="383"/>
      <c r="AH483" s="383"/>
      <c r="AI483" s="383"/>
      <c r="AJ483" s="383"/>
      <c r="AK483" s="383"/>
      <c r="AL483" s="383"/>
      <c r="AM483" s="383"/>
      <c r="AN483" s="383"/>
      <c r="AO483" s="383"/>
      <c r="AP483" s="383"/>
      <c r="AQ483" s="383"/>
      <c r="AR483" s="383"/>
    </row>
    <row r="484" spans="2:44" s="639" customFormat="1" ht="12" customHeight="1">
      <c r="B484" s="638"/>
      <c r="J484" s="732" t="s">
        <v>1584</v>
      </c>
      <c r="K484" s="733"/>
      <c r="L484" s="730"/>
      <c r="M484" s="731"/>
      <c r="N484" s="1194" t="s">
        <v>496</v>
      </c>
      <c r="O484" s="1194" t="s">
        <v>2645</v>
      </c>
      <c r="P484" s="731"/>
      <c r="X484" s="383"/>
      <c r="Y484" s="383"/>
      <c r="Z484" s="383"/>
      <c r="AA484" s="383"/>
      <c r="AB484" s="383"/>
      <c r="AC484" s="383"/>
      <c r="AD484" s="383"/>
      <c r="AE484" s="383"/>
      <c r="AF484" s="383"/>
      <c r="AG484" s="383"/>
      <c r="AH484" s="383"/>
      <c r="AI484" s="383"/>
      <c r="AJ484" s="383"/>
      <c r="AK484" s="383"/>
      <c r="AL484" s="383"/>
      <c r="AM484" s="383"/>
      <c r="AN484" s="383"/>
      <c r="AO484" s="383"/>
      <c r="AP484" s="383"/>
      <c r="AQ484" s="383"/>
      <c r="AR484" s="383"/>
    </row>
    <row r="485" spans="2:44" s="639" customFormat="1" ht="12" customHeight="1">
      <c r="B485" s="638"/>
      <c r="J485" s="732" t="s">
        <v>1585</v>
      </c>
      <c r="K485" s="733"/>
      <c r="L485" s="730"/>
      <c r="M485" s="731"/>
      <c r="N485" s="1194" t="s">
        <v>498</v>
      </c>
      <c r="O485" s="1194" t="s">
        <v>1409</v>
      </c>
      <c r="P485" s="731"/>
      <c r="X485" s="383"/>
      <c r="Y485" s="383"/>
      <c r="Z485" s="383"/>
      <c r="AA485" s="383"/>
      <c r="AB485" s="383"/>
      <c r="AC485" s="383"/>
      <c r="AD485" s="383"/>
      <c r="AE485" s="383"/>
      <c r="AF485" s="383"/>
      <c r="AG485" s="383"/>
      <c r="AH485" s="383"/>
      <c r="AI485" s="383"/>
      <c r="AJ485" s="383"/>
      <c r="AK485" s="383"/>
      <c r="AL485" s="383"/>
      <c r="AM485" s="383"/>
      <c r="AN485" s="383"/>
      <c r="AO485" s="383"/>
      <c r="AP485" s="383"/>
      <c r="AQ485" s="383"/>
      <c r="AR485" s="383"/>
    </row>
    <row r="486" spans="2:44" s="639" customFormat="1" ht="12" customHeight="1">
      <c r="B486" s="638"/>
      <c r="J486" s="732" t="s">
        <v>1587</v>
      </c>
      <c r="K486" s="733"/>
      <c r="L486" s="730"/>
      <c r="M486" s="731"/>
      <c r="N486" s="1194" t="s">
        <v>1112</v>
      </c>
      <c r="O486" s="1194" t="s">
        <v>1414</v>
      </c>
      <c r="P486" s="731"/>
      <c r="X486" s="383"/>
      <c r="Y486" s="383"/>
      <c r="Z486" s="383"/>
      <c r="AA486" s="383"/>
      <c r="AB486" s="383"/>
      <c r="AC486" s="383"/>
      <c r="AD486" s="383"/>
      <c r="AE486" s="383"/>
      <c r="AF486" s="383"/>
      <c r="AG486" s="383"/>
      <c r="AH486" s="383"/>
      <c r="AI486" s="383"/>
      <c r="AJ486" s="383"/>
      <c r="AK486" s="383"/>
      <c r="AL486" s="383"/>
      <c r="AM486" s="383"/>
      <c r="AN486" s="383"/>
      <c r="AO486" s="383"/>
      <c r="AP486" s="383"/>
      <c r="AQ486" s="383"/>
      <c r="AR486" s="383"/>
    </row>
    <row r="487" spans="2:44" s="639" customFormat="1" ht="12" customHeight="1">
      <c r="B487" s="638"/>
      <c r="J487" s="732" t="s">
        <v>1589</v>
      </c>
      <c r="K487" s="733"/>
      <c r="L487" s="730"/>
      <c r="M487" s="731"/>
      <c r="N487" s="1194" t="s">
        <v>500</v>
      </c>
      <c r="O487" s="1194" t="s">
        <v>1414</v>
      </c>
      <c r="P487" s="731"/>
      <c r="X487" s="383"/>
      <c r="Y487" s="383"/>
      <c r="Z487" s="383"/>
      <c r="AA487" s="383"/>
      <c r="AB487" s="383"/>
      <c r="AC487" s="383"/>
      <c r="AD487" s="383"/>
      <c r="AE487" s="383"/>
      <c r="AF487" s="383"/>
      <c r="AG487" s="383"/>
      <c r="AH487" s="383"/>
      <c r="AI487" s="383"/>
      <c r="AJ487" s="383"/>
      <c r="AK487" s="383"/>
      <c r="AL487" s="383"/>
      <c r="AM487" s="383"/>
      <c r="AN487" s="383"/>
      <c r="AO487" s="383"/>
      <c r="AP487" s="383"/>
      <c r="AQ487" s="383"/>
      <c r="AR487" s="383"/>
    </row>
    <row r="488" spans="2:44" s="639" customFormat="1" ht="12" customHeight="1">
      <c r="B488" s="638"/>
      <c r="J488" s="732" t="s">
        <v>1591</v>
      </c>
      <c r="K488" s="733"/>
      <c r="L488" s="730"/>
      <c r="M488" s="731"/>
      <c r="N488" s="708" t="s">
        <v>1313</v>
      </c>
      <c r="O488" s="708" t="s">
        <v>1394</v>
      </c>
      <c r="P488" s="731"/>
      <c r="X488" s="383"/>
      <c r="Y488" s="383"/>
      <c r="Z488" s="383"/>
      <c r="AA488" s="383"/>
      <c r="AB488" s="383"/>
      <c r="AC488" s="383"/>
      <c r="AD488" s="383"/>
      <c r="AE488" s="383"/>
      <c r="AF488" s="383"/>
      <c r="AG488" s="383"/>
      <c r="AH488" s="383"/>
      <c r="AI488" s="383"/>
      <c r="AJ488" s="383"/>
      <c r="AK488" s="383"/>
      <c r="AL488" s="383"/>
      <c r="AM488" s="383"/>
      <c r="AN488" s="383"/>
      <c r="AO488" s="383"/>
      <c r="AP488" s="383"/>
      <c r="AQ488" s="383"/>
      <c r="AR488" s="383"/>
    </row>
    <row r="489" spans="2:44" s="639" customFormat="1" ht="12" customHeight="1">
      <c r="B489" s="638"/>
      <c r="J489" s="732" t="s">
        <v>2480</v>
      </c>
      <c r="K489" s="733"/>
      <c r="L489" s="730"/>
      <c r="M489" s="731"/>
      <c r="N489" s="1194" t="s">
        <v>1315</v>
      </c>
      <c r="O489" s="1194" t="s">
        <v>350</v>
      </c>
      <c r="P489" s="1239"/>
      <c r="X489" s="383"/>
      <c r="Y489" s="383"/>
      <c r="Z489" s="383"/>
      <c r="AA489" s="383"/>
      <c r="AB489" s="383"/>
      <c r="AC489" s="383"/>
      <c r="AD489" s="383"/>
      <c r="AE489" s="383"/>
      <c r="AF489" s="383"/>
      <c r="AG489" s="383"/>
      <c r="AH489" s="383"/>
      <c r="AI489" s="383"/>
      <c r="AJ489" s="383"/>
      <c r="AK489" s="383"/>
      <c r="AL489" s="383"/>
      <c r="AM489" s="383"/>
      <c r="AN489" s="383"/>
      <c r="AO489" s="383"/>
      <c r="AP489" s="383"/>
      <c r="AQ489" s="383"/>
      <c r="AR489" s="383"/>
    </row>
    <row r="490" spans="2:44" s="639" customFormat="1" ht="12" customHeight="1">
      <c r="B490" s="638"/>
      <c r="J490" s="732" t="s">
        <v>2769</v>
      </c>
      <c r="K490" s="733"/>
      <c r="L490" s="730"/>
      <c r="M490" s="731"/>
      <c r="N490" s="1194" t="s">
        <v>3250</v>
      </c>
      <c r="O490" s="1194" t="s">
        <v>2696</v>
      </c>
      <c r="P490" s="731"/>
      <c r="X490" s="383"/>
      <c r="Y490" s="383"/>
      <c r="Z490" s="383"/>
      <c r="AA490" s="383"/>
      <c r="AB490" s="383"/>
      <c r="AC490" s="383"/>
      <c r="AD490" s="383"/>
      <c r="AE490" s="383"/>
      <c r="AF490" s="383"/>
      <c r="AG490" s="383"/>
      <c r="AH490" s="383"/>
      <c r="AI490" s="383"/>
      <c r="AJ490" s="383"/>
      <c r="AK490" s="383"/>
      <c r="AL490" s="383"/>
      <c r="AM490" s="383"/>
      <c r="AN490" s="383"/>
      <c r="AO490" s="383"/>
      <c r="AP490" s="383"/>
      <c r="AQ490" s="383"/>
      <c r="AR490" s="383"/>
    </row>
    <row r="491" spans="2:44" s="639" customFormat="1" ht="12" customHeight="1">
      <c r="B491" s="638"/>
      <c r="J491" s="732" t="s">
        <v>1356</v>
      </c>
      <c r="K491" s="733"/>
      <c r="L491" s="730"/>
      <c r="M491" s="731"/>
      <c r="N491" s="1194" t="s">
        <v>2123</v>
      </c>
      <c r="O491" s="1194" t="s">
        <v>2135</v>
      </c>
      <c r="P491" s="1240"/>
      <c r="X491" s="383"/>
      <c r="Y491" s="383"/>
      <c r="Z491" s="383"/>
      <c r="AA491" s="383"/>
      <c r="AB491" s="383"/>
      <c r="AC491" s="383"/>
      <c r="AD491" s="383"/>
      <c r="AE491" s="383"/>
      <c r="AF491" s="383"/>
      <c r="AG491" s="383"/>
      <c r="AH491" s="383"/>
      <c r="AI491" s="383"/>
      <c r="AJ491" s="383"/>
      <c r="AK491" s="383"/>
      <c r="AL491" s="383"/>
      <c r="AM491" s="383"/>
      <c r="AN491" s="383"/>
      <c r="AO491" s="383"/>
      <c r="AP491" s="383"/>
      <c r="AQ491" s="383"/>
      <c r="AR491" s="383"/>
    </row>
    <row r="492" spans="2:44" s="639" customFormat="1" ht="12" customHeight="1">
      <c r="B492" s="638"/>
      <c r="J492" s="732" t="s">
        <v>1606</v>
      </c>
      <c r="K492" s="733"/>
      <c r="L492" s="730"/>
      <c r="M492" s="731"/>
      <c r="N492" s="1194" t="s">
        <v>79</v>
      </c>
      <c r="O492" s="1194" t="s">
        <v>2041</v>
      </c>
      <c r="P492" s="1240"/>
      <c r="X492" s="383"/>
      <c r="Y492" s="383"/>
      <c r="Z492" s="383"/>
      <c r="AA492" s="383"/>
      <c r="AB492" s="383"/>
      <c r="AC492" s="383"/>
      <c r="AD492" s="383"/>
      <c r="AE492" s="383"/>
      <c r="AF492" s="383"/>
      <c r="AG492" s="383"/>
      <c r="AH492" s="383"/>
      <c r="AI492" s="383"/>
      <c r="AJ492" s="383"/>
      <c r="AK492" s="383"/>
      <c r="AL492" s="383"/>
      <c r="AM492" s="383"/>
      <c r="AN492" s="383"/>
      <c r="AO492" s="383"/>
      <c r="AP492" s="383"/>
      <c r="AQ492" s="383"/>
      <c r="AR492" s="383"/>
    </row>
    <row r="493" spans="2:44" s="639" customFormat="1" ht="12" customHeight="1">
      <c r="B493" s="638"/>
      <c r="J493" s="732" t="s">
        <v>867</v>
      </c>
      <c r="K493" s="733"/>
      <c r="L493" s="730"/>
      <c r="M493" s="731"/>
      <c r="N493" s="1194" t="s">
        <v>668</v>
      </c>
      <c r="O493" s="1194" t="s">
        <v>2642</v>
      </c>
      <c r="P493" s="731"/>
      <c r="X493" s="383"/>
      <c r="Y493" s="383"/>
      <c r="Z493" s="383"/>
      <c r="AA493" s="383"/>
      <c r="AB493" s="383"/>
      <c r="AC493" s="383"/>
      <c r="AD493" s="383"/>
      <c r="AE493" s="383"/>
      <c r="AF493" s="383"/>
      <c r="AG493" s="383"/>
      <c r="AH493" s="383"/>
      <c r="AI493" s="383"/>
      <c r="AJ493" s="383"/>
      <c r="AK493" s="383"/>
      <c r="AL493" s="383"/>
      <c r="AM493" s="383"/>
      <c r="AN493" s="383"/>
      <c r="AO493" s="383"/>
      <c r="AP493" s="383"/>
      <c r="AQ493" s="383"/>
      <c r="AR493" s="383"/>
    </row>
    <row r="494" spans="2:44" s="639" customFormat="1" ht="12" customHeight="1">
      <c r="B494" s="638"/>
      <c r="J494" s="732" t="s">
        <v>868</v>
      </c>
      <c r="K494" s="733"/>
      <c r="L494" s="730"/>
      <c r="M494" s="731"/>
      <c r="N494" s="1194" t="s">
        <v>81</v>
      </c>
      <c r="O494" s="1194" t="s">
        <v>182</v>
      </c>
      <c r="P494" s="731"/>
      <c r="X494" s="383"/>
      <c r="Y494" s="383"/>
      <c r="Z494" s="383"/>
      <c r="AA494" s="383"/>
      <c r="AB494" s="383"/>
      <c r="AC494" s="383"/>
      <c r="AD494" s="383"/>
      <c r="AE494" s="383"/>
      <c r="AF494" s="383"/>
      <c r="AG494" s="383"/>
      <c r="AH494" s="383"/>
      <c r="AI494" s="383"/>
      <c r="AJ494" s="383"/>
      <c r="AK494" s="383"/>
      <c r="AL494" s="383"/>
      <c r="AM494" s="383"/>
      <c r="AN494" s="383"/>
      <c r="AO494" s="383"/>
      <c r="AP494" s="383"/>
      <c r="AQ494" s="383"/>
      <c r="AR494" s="383"/>
    </row>
    <row r="495" spans="2:44" s="639" customFormat="1" ht="12" customHeight="1">
      <c r="B495" s="638"/>
      <c r="J495" s="732" t="s">
        <v>870</v>
      </c>
      <c r="K495" s="733"/>
      <c r="L495" s="730"/>
      <c r="M495" s="731"/>
      <c r="N495" s="1194" t="s">
        <v>2568</v>
      </c>
      <c r="O495" s="1194" t="s">
        <v>1541</v>
      </c>
      <c r="P495" s="731"/>
      <c r="X495" s="383"/>
      <c r="Y495" s="383"/>
      <c r="Z495" s="383"/>
      <c r="AA495" s="383"/>
      <c r="AB495" s="383"/>
      <c r="AC495" s="383"/>
      <c r="AD495" s="383"/>
      <c r="AE495" s="383"/>
      <c r="AF495" s="383"/>
      <c r="AG495" s="383"/>
      <c r="AH495" s="383"/>
      <c r="AI495" s="383"/>
      <c r="AJ495" s="383"/>
      <c r="AK495" s="383"/>
      <c r="AL495" s="383"/>
      <c r="AM495" s="383"/>
      <c r="AN495" s="383"/>
      <c r="AO495" s="383"/>
      <c r="AP495" s="383"/>
      <c r="AQ495" s="383"/>
      <c r="AR495" s="383"/>
    </row>
    <row r="496" spans="2:44" s="639" customFormat="1" ht="12" customHeight="1">
      <c r="B496" s="638"/>
      <c r="J496" s="732" t="s">
        <v>871</v>
      </c>
      <c r="K496" s="733"/>
      <c r="L496" s="730"/>
      <c r="M496" s="731"/>
      <c r="N496" s="1194" t="s">
        <v>1113</v>
      </c>
      <c r="O496" s="1194" t="s">
        <v>1618</v>
      </c>
      <c r="P496" s="731"/>
      <c r="X496" s="383"/>
      <c r="Y496" s="383"/>
      <c r="Z496" s="383"/>
      <c r="AA496" s="383"/>
      <c r="AB496" s="383"/>
      <c r="AC496" s="383"/>
      <c r="AD496" s="383"/>
      <c r="AE496" s="383"/>
      <c r="AF496" s="383"/>
      <c r="AG496" s="383"/>
      <c r="AH496" s="383"/>
      <c r="AI496" s="383"/>
      <c r="AJ496" s="383"/>
      <c r="AK496" s="383"/>
      <c r="AL496" s="383"/>
      <c r="AM496" s="383"/>
      <c r="AN496" s="383"/>
      <c r="AO496" s="383"/>
      <c r="AP496" s="383"/>
      <c r="AQ496" s="383"/>
      <c r="AR496" s="383"/>
    </row>
    <row r="497" spans="2:44" s="639" customFormat="1" ht="12" customHeight="1">
      <c r="B497" s="638"/>
      <c r="J497" s="732" t="s">
        <v>122</v>
      </c>
      <c r="K497" s="733"/>
      <c r="L497" s="730"/>
      <c r="M497" s="731"/>
      <c r="N497" s="1194" t="s">
        <v>1114</v>
      </c>
      <c r="O497" s="1194" t="s">
        <v>1169</v>
      </c>
      <c r="P497" s="731"/>
      <c r="X497" s="383"/>
      <c r="Y497" s="383"/>
      <c r="Z497" s="383"/>
      <c r="AA497" s="383"/>
      <c r="AB497" s="383"/>
      <c r="AC497" s="383"/>
      <c r="AD497" s="383"/>
      <c r="AE497" s="383"/>
      <c r="AF497" s="383"/>
      <c r="AG497" s="383"/>
      <c r="AH497" s="383"/>
      <c r="AI497" s="383"/>
      <c r="AJ497" s="383"/>
      <c r="AK497" s="383"/>
      <c r="AL497" s="383"/>
      <c r="AM497" s="383"/>
      <c r="AN497" s="383"/>
      <c r="AO497" s="383"/>
      <c r="AP497" s="383"/>
      <c r="AQ497" s="383"/>
      <c r="AR497" s="383"/>
    </row>
    <row r="498" spans="2:44" s="639" customFormat="1" ht="12" customHeight="1">
      <c r="B498" s="638"/>
      <c r="J498" s="732" t="s">
        <v>262</v>
      </c>
      <c r="K498" s="733"/>
      <c r="L498" s="730"/>
      <c r="M498" s="731"/>
      <c r="N498" s="1194" t="s">
        <v>649</v>
      </c>
      <c r="O498" s="1194" t="s">
        <v>700</v>
      </c>
      <c r="P498" s="731"/>
      <c r="X498" s="383"/>
      <c r="Y498" s="383"/>
      <c r="Z498" s="383"/>
      <c r="AA498" s="383"/>
      <c r="AB498" s="383"/>
      <c r="AC498" s="383"/>
      <c r="AD498" s="383"/>
      <c r="AE498" s="383"/>
      <c r="AF498" s="383"/>
      <c r="AG498" s="383"/>
      <c r="AH498" s="383"/>
      <c r="AI498" s="383"/>
      <c r="AJ498" s="383"/>
      <c r="AK498" s="383"/>
      <c r="AL498" s="383"/>
      <c r="AM498" s="383"/>
      <c r="AN498" s="383"/>
      <c r="AO498" s="383"/>
      <c r="AP498" s="383"/>
      <c r="AQ498" s="383"/>
      <c r="AR498" s="383"/>
    </row>
    <row r="499" spans="2:44" s="639" customFormat="1" ht="12" customHeight="1">
      <c r="B499" s="638"/>
      <c r="J499" s="732" t="s">
        <v>1603</v>
      </c>
      <c r="K499" s="733"/>
      <c r="L499" s="730"/>
      <c r="M499" s="731"/>
      <c r="N499" s="1194" t="s">
        <v>1019</v>
      </c>
      <c r="O499" s="1194" t="s">
        <v>124</v>
      </c>
      <c r="P499" s="731"/>
      <c r="X499" s="383"/>
      <c r="Y499" s="383"/>
      <c r="Z499" s="383"/>
      <c r="AA499" s="383"/>
      <c r="AB499" s="383"/>
      <c r="AC499" s="383"/>
      <c r="AD499" s="383"/>
      <c r="AE499" s="383"/>
      <c r="AF499" s="383"/>
      <c r="AG499" s="383"/>
      <c r="AH499" s="383"/>
      <c r="AI499" s="383"/>
      <c r="AJ499" s="383"/>
      <c r="AK499" s="383"/>
      <c r="AL499" s="383"/>
      <c r="AM499" s="383"/>
      <c r="AN499" s="383"/>
      <c r="AO499" s="383"/>
      <c r="AP499" s="383"/>
      <c r="AQ499" s="383"/>
      <c r="AR499" s="383"/>
    </row>
    <row r="500" spans="2:44" s="639" customFormat="1" ht="12" customHeight="1">
      <c r="B500" s="638"/>
      <c r="J500" s="732" t="s">
        <v>257</v>
      </c>
      <c r="K500" s="733"/>
      <c r="L500" s="730"/>
      <c r="M500" s="731"/>
      <c r="N500" s="1194" t="s">
        <v>1021</v>
      </c>
      <c r="O500" s="1194" t="s">
        <v>1412</v>
      </c>
      <c r="P500" s="731"/>
      <c r="X500" s="383"/>
      <c r="Y500" s="383"/>
      <c r="Z500" s="383"/>
      <c r="AA500" s="383"/>
      <c r="AB500" s="383"/>
      <c r="AC500" s="383"/>
      <c r="AD500" s="383"/>
      <c r="AE500" s="383"/>
      <c r="AF500" s="383"/>
      <c r="AG500" s="383"/>
      <c r="AH500" s="383"/>
      <c r="AI500" s="383"/>
      <c r="AJ500" s="383"/>
      <c r="AK500" s="383"/>
      <c r="AL500" s="383"/>
      <c r="AM500" s="383"/>
      <c r="AN500" s="383"/>
      <c r="AO500" s="383"/>
      <c r="AP500" s="383"/>
      <c r="AQ500" s="383"/>
      <c r="AR500" s="383"/>
    </row>
    <row r="501" spans="2:44" s="639" customFormat="1" ht="12" customHeight="1">
      <c r="B501" s="638"/>
      <c r="J501" s="732" t="s">
        <v>1608</v>
      </c>
      <c r="K501" s="733"/>
      <c r="L501" s="730"/>
      <c r="M501" s="731"/>
      <c r="N501" s="1194" t="s">
        <v>1586</v>
      </c>
      <c r="O501" s="1194" t="s">
        <v>1544</v>
      </c>
      <c r="P501" s="731"/>
      <c r="X501" s="383"/>
      <c r="Y501" s="383"/>
      <c r="Z501" s="383"/>
      <c r="AA501" s="383"/>
      <c r="AB501" s="383"/>
      <c r="AC501" s="383"/>
      <c r="AD501" s="383"/>
      <c r="AE501" s="383"/>
      <c r="AF501" s="383"/>
      <c r="AG501" s="383"/>
      <c r="AH501" s="383"/>
      <c r="AI501" s="383"/>
      <c r="AJ501" s="383"/>
      <c r="AK501" s="383"/>
      <c r="AL501" s="383"/>
      <c r="AM501" s="383"/>
      <c r="AN501" s="383"/>
      <c r="AO501" s="383"/>
      <c r="AP501" s="383"/>
      <c r="AQ501" s="383"/>
      <c r="AR501" s="383"/>
    </row>
    <row r="502" spans="2:44" s="639" customFormat="1" ht="12" customHeight="1">
      <c r="B502" s="638"/>
      <c r="J502" s="732" t="s">
        <v>1610</v>
      </c>
      <c r="K502" s="733"/>
      <c r="L502" s="730"/>
      <c r="M502" s="731"/>
      <c r="N502" s="1194" t="s">
        <v>1588</v>
      </c>
      <c r="O502" s="1194" t="s">
        <v>2693</v>
      </c>
      <c r="P502" s="731"/>
      <c r="X502" s="383"/>
      <c r="Y502" s="383"/>
      <c r="Z502" s="383"/>
      <c r="AA502" s="383"/>
      <c r="AB502" s="383"/>
      <c r="AC502" s="383"/>
      <c r="AD502" s="383"/>
      <c r="AE502" s="383"/>
      <c r="AF502" s="383"/>
      <c r="AG502" s="383"/>
      <c r="AH502" s="383"/>
      <c r="AI502" s="383"/>
      <c r="AJ502" s="383"/>
      <c r="AK502" s="383"/>
      <c r="AL502" s="383"/>
      <c r="AM502" s="383"/>
      <c r="AN502" s="383"/>
      <c r="AO502" s="383"/>
      <c r="AP502" s="383"/>
      <c r="AQ502" s="383"/>
      <c r="AR502" s="383"/>
    </row>
    <row r="503" spans="2:44" s="639" customFormat="1" ht="12" customHeight="1">
      <c r="B503" s="638"/>
      <c r="J503" s="732" t="s">
        <v>1476</v>
      </c>
      <c r="K503" s="733"/>
      <c r="L503" s="730"/>
      <c r="M503" s="731"/>
      <c r="N503" s="1194" t="s">
        <v>1590</v>
      </c>
      <c r="O503" s="1194" t="s">
        <v>2310</v>
      </c>
      <c r="P503" s="731"/>
      <c r="X503" s="383"/>
      <c r="Y503" s="383"/>
      <c r="Z503" s="383"/>
      <c r="AA503" s="383"/>
      <c r="AB503" s="383"/>
      <c r="AC503" s="383"/>
      <c r="AD503" s="383"/>
      <c r="AE503" s="383"/>
      <c r="AF503" s="383"/>
      <c r="AG503" s="383"/>
      <c r="AH503" s="383"/>
      <c r="AI503" s="383"/>
      <c r="AJ503" s="383"/>
      <c r="AK503" s="383"/>
      <c r="AL503" s="383"/>
      <c r="AM503" s="383"/>
      <c r="AN503" s="383"/>
      <c r="AO503" s="383"/>
      <c r="AP503" s="383"/>
      <c r="AQ503" s="383"/>
      <c r="AR503" s="383"/>
    </row>
    <row r="504" spans="2:44" s="639" customFormat="1" ht="12" customHeight="1">
      <c r="B504" s="638"/>
      <c r="J504" s="732" t="s">
        <v>1478</v>
      </c>
      <c r="K504" s="733"/>
      <c r="L504" s="730"/>
      <c r="M504" s="731"/>
      <c r="N504" s="1194" t="s">
        <v>2479</v>
      </c>
      <c r="O504" s="1194" t="s">
        <v>2764</v>
      </c>
      <c r="P504" s="731"/>
      <c r="X504" s="383"/>
      <c r="Y504" s="383"/>
      <c r="Z504" s="383"/>
      <c r="AA504" s="383"/>
      <c r="AB504" s="383"/>
      <c r="AC504" s="383"/>
      <c r="AD504" s="383"/>
      <c r="AE504" s="383"/>
      <c r="AF504" s="383"/>
      <c r="AG504" s="383"/>
      <c r="AH504" s="383"/>
      <c r="AI504" s="383"/>
      <c r="AJ504" s="383"/>
      <c r="AK504" s="383"/>
      <c r="AL504" s="383"/>
      <c r="AM504" s="383"/>
      <c r="AN504" s="383"/>
      <c r="AO504" s="383"/>
      <c r="AP504" s="383"/>
      <c r="AQ504" s="383"/>
      <c r="AR504" s="383"/>
    </row>
    <row r="505" spans="2:44" s="639" customFormat="1" ht="12" customHeight="1">
      <c r="B505" s="638"/>
      <c r="J505" s="732" t="s">
        <v>1480</v>
      </c>
      <c r="K505" s="733"/>
      <c r="L505" s="730"/>
      <c r="M505" s="731"/>
      <c r="N505" s="1194" t="s">
        <v>2481</v>
      </c>
      <c r="O505" s="1194" t="s">
        <v>124</v>
      </c>
      <c r="P505" s="731"/>
      <c r="X505" s="383"/>
      <c r="Y505" s="383"/>
      <c r="Z505" s="383"/>
      <c r="AA505" s="383"/>
      <c r="AB505" s="383"/>
      <c r="AC505" s="383"/>
      <c r="AD505" s="383"/>
      <c r="AE505" s="383"/>
      <c r="AF505" s="383"/>
      <c r="AG505" s="383"/>
      <c r="AH505" s="383"/>
      <c r="AI505" s="383"/>
      <c r="AJ505" s="383"/>
      <c r="AK505" s="383"/>
      <c r="AL505" s="383"/>
      <c r="AM505" s="383"/>
      <c r="AN505" s="383"/>
      <c r="AO505" s="383"/>
      <c r="AP505" s="383"/>
      <c r="AQ505" s="383"/>
      <c r="AR505" s="383"/>
    </row>
    <row r="506" spans="2:44" s="639" customFormat="1" ht="12" customHeight="1">
      <c r="B506" s="638"/>
      <c r="J506" s="732" t="s">
        <v>1481</v>
      </c>
      <c r="K506" s="733"/>
      <c r="L506" s="730"/>
      <c r="M506" s="731"/>
      <c r="N506" s="708" t="s">
        <v>1355</v>
      </c>
      <c r="O506" s="708" t="s">
        <v>1004</v>
      </c>
      <c r="P506" s="731"/>
      <c r="X506" s="383"/>
      <c r="Y506" s="383"/>
      <c r="Z506" s="383"/>
      <c r="AA506" s="383"/>
      <c r="AB506" s="383"/>
      <c r="AC506" s="383"/>
      <c r="AD506" s="383"/>
      <c r="AE506" s="383"/>
      <c r="AF506" s="383"/>
      <c r="AG506" s="383"/>
      <c r="AH506" s="383"/>
      <c r="AI506" s="383"/>
      <c r="AJ506" s="383"/>
      <c r="AK506" s="383"/>
      <c r="AL506" s="383"/>
      <c r="AM506" s="383"/>
      <c r="AN506" s="383"/>
      <c r="AO506" s="383"/>
      <c r="AP506" s="383"/>
      <c r="AQ506" s="383"/>
      <c r="AR506" s="383"/>
    </row>
    <row r="507" spans="2:44" s="639" customFormat="1" ht="12" customHeight="1">
      <c r="B507" s="638"/>
      <c r="J507" s="732" t="s">
        <v>1483</v>
      </c>
      <c r="K507" s="733"/>
      <c r="L507" s="730"/>
      <c r="M507" s="731"/>
      <c r="N507" s="1194" t="s">
        <v>1115</v>
      </c>
      <c r="O507" s="1194" t="s">
        <v>2133</v>
      </c>
      <c r="P507" s="1239"/>
      <c r="X507" s="383"/>
      <c r="Y507" s="383"/>
      <c r="Z507" s="383"/>
      <c r="AA507" s="383"/>
      <c r="AB507" s="383"/>
      <c r="AC507" s="383"/>
      <c r="AD507" s="383"/>
      <c r="AE507" s="383"/>
      <c r="AF507" s="383"/>
      <c r="AG507" s="383"/>
      <c r="AH507" s="383"/>
      <c r="AI507" s="383"/>
      <c r="AJ507" s="383"/>
      <c r="AK507" s="383"/>
      <c r="AL507" s="383"/>
      <c r="AM507" s="383"/>
      <c r="AN507" s="383"/>
      <c r="AO507" s="383"/>
      <c r="AP507" s="383"/>
      <c r="AQ507" s="383"/>
      <c r="AR507" s="383"/>
    </row>
    <row r="508" spans="2:44" s="639" customFormat="1" ht="12" customHeight="1">
      <c r="B508" s="638"/>
      <c r="J508" s="732" t="s">
        <v>1485</v>
      </c>
      <c r="K508" s="733"/>
      <c r="L508" s="730"/>
      <c r="M508" s="731"/>
      <c r="N508" s="1194" t="s">
        <v>1357</v>
      </c>
      <c r="O508" s="1194" t="s">
        <v>1546</v>
      </c>
      <c r="P508" s="731"/>
      <c r="X508" s="383"/>
      <c r="Y508" s="383"/>
      <c r="Z508" s="383"/>
      <c r="AA508" s="383"/>
      <c r="AB508" s="383"/>
      <c r="AC508" s="383"/>
      <c r="AD508" s="383"/>
      <c r="AE508" s="383"/>
      <c r="AF508" s="383"/>
      <c r="AG508" s="383"/>
      <c r="AH508" s="383"/>
      <c r="AI508" s="383"/>
      <c r="AJ508" s="383"/>
      <c r="AK508" s="383"/>
      <c r="AL508" s="383"/>
      <c r="AM508" s="383"/>
      <c r="AN508" s="383"/>
      <c r="AO508" s="383"/>
      <c r="AP508" s="383"/>
      <c r="AQ508" s="383"/>
      <c r="AR508" s="383"/>
    </row>
    <row r="509" spans="2:44" s="639" customFormat="1" ht="12" customHeight="1">
      <c r="B509" s="638"/>
      <c r="J509" s="732" t="s">
        <v>1668</v>
      </c>
      <c r="K509" s="733"/>
      <c r="L509" s="730"/>
      <c r="M509" s="731"/>
      <c r="N509" s="1194" t="s">
        <v>875</v>
      </c>
      <c r="O509" s="1194" t="s">
        <v>2135</v>
      </c>
      <c r="P509" s="731"/>
      <c r="X509" s="383"/>
      <c r="Y509" s="383"/>
      <c r="Z509" s="383"/>
      <c r="AA509" s="383"/>
      <c r="AB509" s="383"/>
      <c r="AC509" s="383"/>
      <c r="AD509" s="383"/>
      <c r="AE509" s="383"/>
      <c r="AF509" s="383"/>
      <c r="AG509" s="383"/>
      <c r="AH509" s="383"/>
      <c r="AI509" s="383"/>
      <c r="AJ509" s="383"/>
      <c r="AK509" s="383"/>
      <c r="AL509" s="383"/>
      <c r="AM509" s="383"/>
      <c r="AN509" s="383"/>
      <c r="AO509" s="383"/>
      <c r="AP509" s="383"/>
      <c r="AQ509" s="383"/>
      <c r="AR509" s="383"/>
    </row>
    <row r="510" spans="2:44" s="639" customFormat="1" ht="12" customHeight="1">
      <c r="B510" s="638"/>
      <c r="J510" s="732" t="s">
        <v>1669</v>
      </c>
      <c r="K510" s="733"/>
      <c r="L510" s="730"/>
      <c r="M510" s="731"/>
      <c r="N510" s="1194" t="s">
        <v>876</v>
      </c>
      <c r="O510" s="1194" t="s">
        <v>922</v>
      </c>
      <c r="P510" s="731"/>
      <c r="X510" s="383"/>
      <c r="Y510" s="383"/>
      <c r="Z510" s="383"/>
      <c r="AA510" s="383"/>
      <c r="AB510" s="383"/>
      <c r="AC510" s="383"/>
      <c r="AD510" s="383"/>
      <c r="AE510" s="383"/>
      <c r="AF510" s="383"/>
      <c r="AG510" s="383"/>
      <c r="AH510" s="383"/>
      <c r="AI510" s="383"/>
      <c r="AJ510" s="383"/>
      <c r="AK510" s="383"/>
      <c r="AL510" s="383"/>
      <c r="AM510" s="383"/>
      <c r="AN510" s="383"/>
      <c r="AO510" s="383"/>
      <c r="AP510" s="383"/>
      <c r="AQ510" s="383"/>
      <c r="AR510" s="383"/>
    </row>
    <row r="511" spans="2:44" s="639" customFormat="1" ht="12" customHeight="1">
      <c r="B511" s="638"/>
      <c r="J511" s="732" t="s">
        <v>1670</v>
      </c>
      <c r="K511" s="733"/>
      <c r="L511" s="730"/>
      <c r="M511" s="731"/>
      <c r="N511" s="1194" t="s">
        <v>869</v>
      </c>
      <c r="O511" s="1194" t="s">
        <v>664</v>
      </c>
      <c r="P511" s="731"/>
      <c r="X511" s="383"/>
      <c r="Y511" s="383"/>
      <c r="Z511" s="383"/>
      <c r="AA511" s="383"/>
      <c r="AB511" s="383"/>
      <c r="AC511" s="383"/>
      <c r="AD511" s="383"/>
      <c r="AE511" s="383"/>
      <c r="AF511" s="383"/>
      <c r="AG511" s="383"/>
      <c r="AH511" s="383"/>
      <c r="AI511" s="383"/>
      <c r="AJ511" s="383"/>
      <c r="AK511" s="383"/>
      <c r="AL511" s="383"/>
      <c r="AM511" s="383"/>
      <c r="AN511" s="383"/>
      <c r="AO511" s="383"/>
      <c r="AP511" s="383"/>
      <c r="AQ511" s="383"/>
      <c r="AR511" s="383"/>
    </row>
    <row r="512" spans="2:44" s="639" customFormat="1" ht="12" customHeight="1">
      <c r="B512" s="638"/>
      <c r="J512" s="732" t="s">
        <v>1671</v>
      </c>
      <c r="K512" s="733"/>
      <c r="L512" s="730"/>
      <c r="M512" s="731"/>
      <c r="N512" s="1194" t="s">
        <v>872</v>
      </c>
      <c r="O512" s="1194" t="s">
        <v>337</v>
      </c>
      <c r="P512" s="731"/>
      <c r="X512" s="383"/>
      <c r="Y512" s="383"/>
      <c r="Z512" s="383"/>
      <c r="AA512" s="383"/>
      <c r="AB512" s="383"/>
      <c r="AC512" s="383"/>
      <c r="AD512" s="383"/>
      <c r="AE512" s="383"/>
      <c r="AF512" s="383"/>
      <c r="AG512" s="383"/>
      <c r="AH512" s="383"/>
      <c r="AI512" s="383"/>
      <c r="AJ512" s="383"/>
      <c r="AK512" s="383"/>
      <c r="AL512" s="383"/>
      <c r="AM512" s="383"/>
      <c r="AN512" s="383"/>
      <c r="AO512" s="383"/>
      <c r="AP512" s="383"/>
      <c r="AQ512" s="383"/>
      <c r="AR512" s="383"/>
    </row>
    <row r="513" spans="2:44" s="639" customFormat="1" ht="12" customHeight="1">
      <c r="B513" s="638"/>
      <c r="J513" s="732" t="s">
        <v>1673</v>
      </c>
      <c r="K513" s="733"/>
      <c r="L513" s="730"/>
      <c r="M513" s="731"/>
      <c r="N513" s="1194" t="s">
        <v>123</v>
      </c>
      <c r="O513" s="1194" t="s">
        <v>2136</v>
      </c>
      <c r="P513" s="731"/>
      <c r="X513" s="383"/>
      <c r="Y513" s="383"/>
      <c r="Z513" s="383"/>
      <c r="AA513" s="383"/>
      <c r="AB513" s="383"/>
      <c r="AC513" s="383"/>
      <c r="AD513" s="383"/>
      <c r="AE513" s="383"/>
      <c r="AF513" s="383"/>
      <c r="AG513" s="383"/>
      <c r="AH513" s="383"/>
      <c r="AI513" s="383"/>
      <c r="AJ513" s="383"/>
      <c r="AK513" s="383"/>
      <c r="AL513" s="383"/>
      <c r="AM513" s="383"/>
      <c r="AN513" s="383"/>
      <c r="AO513" s="383"/>
      <c r="AP513" s="383"/>
      <c r="AQ513" s="383"/>
      <c r="AR513" s="383"/>
    </row>
    <row r="514" spans="2:44" s="639" customFormat="1" ht="12" customHeight="1">
      <c r="B514" s="638"/>
      <c r="J514" s="732" t="s">
        <v>1675</v>
      </c>
      <c r="K514" s="733"/>
      <c r="L514" s="730"/>
      <c r="M514" s="731"/>
      <c r="N514" s="1194" t="s">
        <v>263</v>
      </c>
      <c r="O514" s="1194" t="s">
        <v>2003</v>
      </c>
      <c r="P514" s="731"/>
      <c r="X514" s="383"/>
      <c r="Y514" s="383"/>
      <c r="Z514" s="383"/>
      <c r="AA514" s="383"/>
      <c r="AB514" s="383"/>
      <c r="AC514" s="383"/>
      <c r="AD514" s="383"/>
      <c r="AE514" s="383"/>
      <c r="AF514" s="383"/>
      <c r="AG514" s="383"/>
      <c r="AH514" s="383"/>
      <c r="AI514" s="383"/>
      <c r="AJ514" s="383"/>
      <c r="AK514" s="383"/>
      <c r="AL514" s="383"/>
      <c r="AM514" s="383"/>
      <c r="AN514" s="383"/>
      <c r="AO514" s="383"/>
      <c r="AP514" s="383"/>
      <c r="AQ514" s="383"/>
      <c r="AR514" s="383"/>
    </row>
    <row r="515" spans="2:44" s="639" customFormat="1" ht="12" customHeight="1">
      <c r="B515" s="638"/>
      <c r="J515" s="732" t="s">
        <v>1676</v>
      </c>
      <c r="K515" s="733"/>
      <c r="L515" s="730"/>
      <c r="M515" s="731"/>
      <c r="N515" s="708" t="s">
        <v>1604</v>
      </c>
      <c r="O515" s="708" t="s">
        <v>2135</v>
      </c>
      <c r="P515" s="731"/>
      <c r="X515" s="383"/>
      <c r="Y515" s="383"/>
      <c r="Z515" s="383"/>
      <c r="AA515" s="383"/>
      <c r="AB515" s="383"/>
      <c r="AC515" s="383"/>
      <c r="AD515" s="383"/>
      <c r="AE515" s="383"/>
      <c r="AF515" s="383"/>
      <c r="AG515" s="383"/>
      <c r="AH515" s="383"/>
      <c r="AI515" s="383"/>
      <c r="AJ515" s="383"/>
      <c r="AK515" s="383"/>
      <c r="AL515" s="383"/>
      <c r="AM515" s="383"/>
      <c r="AN515" s="383"/>
      <c r="AO515" s="383"/>
      <c r="AP515" s="383"/>
      <c r="AQ515" s="383"/>
      <c r="AR515" s="383"/>
    </row>
    <row r="516" spans="2:44" s="639" customFormat="1" ht="12" customHeight="1">
      <c r="B516" s="638"/>
      <c r="J516" s="732" t="s">
        <v>1678</v>
      </c>
      <c r="K516" s="733"/>
      <c r="L516" s="730"/>
      <c r="M516" s="731"/>
      <c r="N516" s="1194" t="s">
        <v>1607</v>
      </c>
      <c r="O516" s="1194" t="s">
        <v>346</v>
      </c>
      <c r="P516" s="1239"/>
      <c r="X516" s="383"/>
      <c r="Y516" s="383"/>
      <c r="Z516" s="383"/>
      <c r="AA516" s="383"/>
      <c r="AB516" s="383"/>
      <c r="AC516" s="383"/>
      <c r="AD516" s="383"/>
      <c r="AE516" s="383"/>
      <c r="AF516" s="383"/>
      <c r="AG516" s="383"/>
      <c r="AH516" s="383"/>
      <c r="AI516" s="383"/>
      <c r="AJ516" s="383"/>
      <c r="AK516" s="383"/>
      <c r="AL516" s="383"/>
      <c r="AM516" s="383"/>
      <c r="AN516" s="383"/>
      <c r="AO516" s="383"/>
      <c r="AP516" s="383"/>
      <c r="AQ516" s="383"/>
      <c r="AR516" s="383"/>
    </row>
    <row r="517" spans="2:44" s="639" customFormat="1" ht="12" customHeight="1">
      <c r="B517" s="638"/>
      <c r="J517" s="732" t="s">
        <v>397</v>
      </c>
      <c r="K517" s="733"/>
      <c r="L517" s="730"/>
      <c r="M517" s="731"/>
      <c r="N517" s="1194" t="s">
        <v>1609</v>
      </c>
      <c r="O517" s="1194" t="s">
        <v>2642</v>
      </c>
      <c r="P517" s="731"/>
      <c r="X517" s="383"/>
      <c r="Y517" s="383"/>
      <c r="Z517" s="383"/>
      <c r="AA517" s="383"/>
      <c r="AB517" s="383"/>
      <c r="AC517" s="383"/>
      <c r="AD517" s="383"/>
      <c r="AE517" s="383"/>
      <c r="AF517" s="383"/>
      <c r="AG517" s="383"/>
      <c r="AH517" s="383"/>
      <c r="AI517" s="383"/>
      <c r="AJ517" s="383"/>
      <c r="AK517" s="383"/>
      <c r="AL517" s="383"/>
      <c r="AM517" s="383"/>
      <c r="AN517" s="383"/>
      <c r="AO517" s="383"/>
      <c r="AP517" s="383"/>
      <c r="AQ517" s="383"/>
      <c r="AR517" s="383"/>
    </row>
    <row r="518" spans="2:44" s="639" customFormat="1" ht="12" customHeight="1">
      <c r="B518" s="638"/>
      <c r="J518" s="732" t="s">
        <v>259</v>
      </c>
      <c r="K518" s="733"/>
      <c r="L518" s="730"/>
      <c r="M518" s="731"/>
      <c r="N518" s="1194" t="s">
        <v>508</v>
      </c>
      <c r="O518" s="1194" t="s">
        <v>1548</v>
      </c>
      <c r="P518" s="731"/>
      <c r="X518" s="383"/>
      <c r="Y518" s="383"/>
      <c r="Z518" s="383"/>
      <c r="AA518" s="383"/>
      <c r="AB518" s="383"/>
      <c r="AC518" s="383"/>
      <c r="AD518" s="383"/>
      <c r="AE518" s="383"/>
      <c r="AF518" s="383"/>
      <c r="AG518" s="383"/>
      <c r="AH518" s="383"/>
      <c r="AI518" s="383"/>
      <c r="AJ518" s="383"/>
      <c r="AK518" s="383"/>
      <c r="AL518" s="383"/>
      <c r="AM518" s="383"/>
      <c r="AN518" s="383"/>
      <c r="AO518" s="383"/>
      <c r="AP518" s="383"/>
      <c r="AQ518" s="383"/>
      <c r="AR518" s="383"/>
    </row>
    <row r="519" spans="2:44" s="639" customFormat="1" ht="12" customHeight="1">
      <c r="B519" s="638"/>
      <c r="J519" s="732" t="s">
        <v>261</v>
      </c>
      <c r="K519" s="733"/>
      <c r="L519" s="730"/>
      <c r="M519" s="731"/>
      <c r="N519" s="1194" t="s">
        <v>1477</v>
      </c>
      <c r="O519" s="1194" t="s">
        <v>329</v>
      </c>
      <c r="P519" s="731"/>
      <c r="X519" s="383"/>
      <c r="Y519" s="383"/>
      <c r="Z519" s="383"/>
      <c r="AA519" s="383"/>
      <c r="AB519" s="383"/>
      <c r="AC519" s="383"/>
      <c r="AD519" s="383"/>
      <c r="AE519" s="383"/>
      <c r="AF519" s="383"/>
      <c r="AG519" s="383"/>
      <c r="AH519" s="383"/>
      <c r="AI519" s="383"/>
      <c r="AJ519" s="383"/>
      <c r="AK519" s="383"/>
      <c r="AL519" s="383"/>
      <c r="AM519" s="383"/>
      <c r="AN519" s="383"/>
      <c r="AO519" s="383"/>
      <c r="AP519" s="383"/>
      <c r="AQ519" s="383"/>
      <c r="AR519" s="383"/>
    </row>
    <row r="520" spans="2:44" s="639" customFormat="1" ht="12" customHeight="1">
      <c r="B520" s="638"/>
      <c r="J520" s="732" t="s">
        <v>15</v>
      </c>
      <c r="K520" s="733"/>
      <c r="L520" s="730"/>
      <c r="M520" s="731"/>
      <c r="N520" s="1194" t="s">
        <v>1479</v>
      </c>
      <c r="O520" s="1194" t="s">
        <v>920</v>
      </c>
      <c r="P520" s="731"/>
      <c r="X520" s="383"/>
      <c r="Y520" s="383"/>
      <c r="Z520" s="383"/>
      <c r="AA520" s="383"/>
      <c r="AB520" s="383"/>
      <c r="AC520" s="383"/>
      <c r="AD520" s="383"/>
      <c r="AE520" s="383"/>
      <c r="AF520" s="383"/>
      <c r="AG520" s="383"/>
      <c r="AH520" s="383"/>
      <c r="AI520" s="383"/>
      <c r="AJ520" s="383"/>
      <c r="AK520" s="383"/>
      <c r="AL520" s="383"/>
      <c r="AM520" s="383"/>
      <c r="AN520" s="383"/>
      <c r="AO520" s="383"/>
      <c r="AP520" s="383"/>
      <c r="AQ520" s="383"/>
      <c r="AR520" s="383"/>
    </row>
    <row r="521" spans="2:44" s="639" customFormat="1" ht="12" customHeight="1">
      <c r="B521" s="638"/>
      <c r="J521" s="732" t="s">
        <v>1144</v>
      </c>
      <c r="K521" s="733"/>
      <c r="L521" s="730"/>
      <c r="M521" s="731"/>
      <c r="N521" s="1194" t="s">
        <v>183</v>
      </c>
      <c r="O521" s="1194" t="s">
        <v>2308</v>
      </c>
      <c r="P521" s="731"/>
      <c r="X521" s="383"/>
      <c r="Y521" s="383"/>
      <c r="Z521" s="383"/>
      <c r="AA521" s="383"/>
      <c r="AB521" s="383"/>
      <c r="AC521" s="383"/>
      <c r="AD521" s="383"/>
      <c r="AE521" s="383"/>
      <c r="AF521" s="383"/>
      <c r="AG521" s="383"/>
      <c r="AH521" s="383"/>
      <c r="AI521" s="383"/>
      <c r="AJ521" s="383"/>
      <c r="AK521" s="383"/>
      <c r="AL521" s="383"/>
      <c r="AM521" s="383"/>
      <c r="AN521" s="383"/>
      <c r="AO521" s="383"/>
      <c r="AP521" s="383"/>
      <c r="AQ521" s="383"/>
      <c r="AR521" s="383"/>
    </row>
    <row r="522" spans="2:44" s="639" customFormat="1" ht="12" customHeight="1">
      <c r="B522" s="638"/>
      <c r="J522" s="732" t="s">
        <v>1146</v>
      </c>
      <c r="K522" s="733"/>
      <c r="L522" s="730"/>
      <c r="M522" s="731"/>
      <c r="N522" s="1194" t="s">
        <v>1482</v>
      </c>
      <c r="O522" s="1194" t="s">
        <v>2003</v>
      </c>
      <c r="P522" s="731"/>
      <c r="X522" s="383"/>
      <c r="Y522" s="383"/>
      <c r="Z522" s="383"/>
      <c r="AA522" s="383"/>
      <c r="AB522" s="383"/>
      <c r="AC522" s="383"/>
      <c r="AD522" s="383"/>
      <c r="AE522" s="383"/>
      <c r="AF522" s="383"/>
      <c r="AG522" s="383"/>
      <c r="AH522" s="383"/>
      <c r="AI522" s="383"/>
      <c r="AJ522" s="383"/>
      <c r="AK522" s="383"/>
      <c r="AL522" s="383"/>
      <c r="AM522" s="383"/>
      <c r="AN522" s="383"/>
      <c r="AO522" s="383"/>
      <c r="AP522" s="383"/>
      <c r="AQ522" s="383"/>
      <c r="AR522" s="383"/>
    </row>
    <row r="523" spans="2:44" s="639" customFormat="1" ht="12" customHeight="1">
      <c r="B523" s="638"/>
      <c r="J523" s="732" t="s">
        <v>1148</v>
      </c>
      <c r="K523" s="733"/>
      <c r="L523" s="730"/>
      <c r="M523" s="731"/>
      <c r="N523" s="1194" t="s">
        <v>1484</v>
      </c>
      <c r="O523" s="1194" t="s">
        <v>169</v>
      </c>
      <c r="P523" s="731"/>
      <c r="X523" s="383"/>
      <c r="Y523" s="383"/>
      <c r="Z523" s="383"/>
      <c r="AA523" s="383"/>
      <c r="AB523" s="383"/>
      <c r="AC523" s="383"/>
      <c r="AD523" s="383"/>
      <c r="AE523" s="383"/>
      <c r="AF523" s="383"/>
      <c r="AG523" s="383"/>
      <c r="AH523" s="383"/>
      <c r="AI523" s="383"/>
      <c r="AJ523" s="383"/>
      <c r="AK523" s="383"/>
      <c r="AL523" s="383"/>
      <c r="AM523" s="383"/>
      <c r="AN523" s="383"/>
      <c r="AO523" s="383"/>
      <c r="AP523" s="383"/>
      <c r="AQ523" s="383"/>
      <c r="AR523" s="383"/>
    </row>
    <row r="524" spans="2:44" s="639" customFormat="1" ht="12" customHeight="1">
      <c r="B524" s="638"/>
      <c r="J524" s="732" t="s">
        <v>271</v>
      </c>
      <c r="K524" s="733"/>
      <c r="L524" s="730"/>
      <c r="M524" s="731"/>
      <c r="N524" s="1194" t="s">
        <v>2651</v>
      </c>
      <c r="O524" s="1194" t="s">
        <v>2035</v>
      </c>
      <c r="P524" s="731"/>
      <c r="X524" s="383"/>
      <c r="Y524" s="383"/>
      <c r="Z524" s="383"/>
      <c r="AA524" s="383"/>
      <c r="AB524" s="383"/>
      <c r="AC524" s="383"/>
      <c r="AD524" s="383"/>
      <c r="AE524" s="383"/>
      <c r="AF524" s="383"/>
      <c r="AG524" s="383"/>
      <c r="AH524" s="383"/>
      <c r="AI524" s="383"/>
      <c r="AJ524" s="383"/>
      <c r="AK524" s="383"/>
      <c r="AL524" s="383"/>
      <c r="AM524" s="383"/>
      <c r="AN524" s="383"/>
      <c r="AO524" s="383"/>
      <c r="AP524" s="383"/>
      <c r="AQ524" s="383"/>
      <c r="AR524" s="383"/>
    </row>
    <row r="525" spans="2:44" s="639" customFormat="1" ht="12" customHeight="1">
      <c r="B525" s="638"/>
      <c r="J525" s="732" t="s">
        <v>273</v>
      </c>
      <c r="K525" s="733"/>
      <c r="L525" s="730"/>
      <c r="M525" s="731"/>
      <c r="N525" s="1194" t="s">
        <v>1116</v>
      </c>
      <c r="O525" s="1194" t="s">
        <v>2645</v>
      </c>
      <c r="P525" s="731"/>
      <c r="X525" s="383"/>
      <c r="Y525" s="383"/>
      <c r="Z525" s="383"/>
      <c r="AA525" s="383"/>
      <c r="AB525" s="383"/>
      <c r="AC525" s="383"/>
      <c r="AD525" s="383"/>
      <c r="AE525" s="383"/>
      <c r="AF525" s="383"/>
      <c r="AG525" s="383"/>
      <c r="AH525" s="383"/>
      <c r="AI525" s="383"/>
      <c r="AJ525" s="383"/>
      <c r="AK525" s="383"/>
      <c r="AL525" s="383"/>
      <c r="AM525" s="383"/>
      <c r="AN525" s="383"/>
      <c r="AO525" s="383"/>
      <c r="AP525" s="383"/>
      <c r="AQ525" s="383"/>
      <c r="AR525" s="383"/>
    </row>
    <row r="526" spans="2:44" s="639" customFormat="1" ht="12" customHeight="1">
      <c r="B526" s="638"/>
      <c r="J526" s="732" t="s">
        <v>1729</v>
      </c>
      <c r="K526" s="733"/>
      <c r="L526" s="730"/>
      <c r="M526" s="731"/>
      <c r="N526" s="1194" t="s">
        <v>1400</v>
      </c>
      <c r="O526" s="1194" t="s">
        <v>1399</v>
      </c>
      <c r="P526" s="731"/>
      <c r="X526" s="383"/>
      <c r="Y526" s="383"/>
      <c r="Z526" s="383"/>
      <c r="AA526" s="383"/>
      <c r="AB526" s="383"/>
      <c r="AC526" s="383"/>
      <c r="AD526" s="383"/>
      <c r="AE526" s="383"/>
      <c r="AF526" s="383"/>
      <c r="AG526" s="383"/>
      <c r="AH526" s="383"/>
      <c r="AI526" s="383"/>
      <c r="AJ526" s="383"/>
      <c r="AK526" s="383"/>
      <c r="AL526" s="383"/>
      <c r="AM526" s="383"/>
      <c r="AN526" s="383"/>
      <c r="AO526" s="383"/>
      <c r="AP526" s="383"/>
      <c r="AQ526" s="383"/>
      <c r="AR526" s="383"/>
    </row>
    <row r="527" spans="2:44" s="639" customFormat="1" ht="12" customHeight="1">
      <c r="B527" s="638"/>
      <c r="J527" s="732" t="s">
        <v>2465</v>
      </c>
      <c r="K527" s="733"/>
      <c r="L527" s="730"/>
      <c r="M527" s="731"/>
      <c r="N527" s="1194" t="s">
        <v>186</v>
      </c>
      <c r="O527" s="1194" t="s">
        <v>2757</v>
      </c>
      <c r="P527" s="731"/>
      <c r="X527" s="383"/>
      <c r="Y527" s="383"/>
      <c r="Z527" s="383"/>
      <c r="AA527" s="383"/>
      <c r="AB527" s="383"/>
      <c r="AC527" s="383"/>
      <c r="AD527" s="383"/>
      <c r="AE527" s="383"/>
      <c r="AF527" s="383"/>
      <c r="AG527" s="383"/>
      <c r="AH527" s="383"/>
      <c r="AI527" s="383"/>
      <c r="AJ527" s="383"/>
      <c r="AK527" s="383"/>
      <c r="AL527" s="383"/>
      <c r="AM527" s="383"/>
      <c r="AN527" s="383"/>
      <c r="AO527" s="383"/>
      <c r="AP527" s="383"/>
      <c r="AQ527" s="383"/>
      <c r="AR527" s="383"/>
    </row>
    <row r="528" spans="2:44" s="639" customFormat="1" ht="12" customHeight="1">
      <c r="B528" s="638"/>
      <c r="J528" s="732" t="s">
        <v>506</v>
      </c>
      <c r="K528" s="733"/>
      <c r="L528" s="730"/>
      <c r="M528" s="731"/>
      <c r="N528" s="1194" t="s">
        <v>1672</v>
      </c>
      <c r="O528" s="1194" t="s">
        <v>2316</v>
      </c>
      <c r="P528" s="731"/>
      <c r="X528" s="383"/>
      <c r="Y528" s="383"/>
      <c r="Z528" s="383"/>
      <c r="AA528" s="383"/>
      <c r="AB528" s="383"/>
      <c r="AC528" s="383"/>
      <c r="AD528" s="383"/>
      <c r="AE528" s="383"/>
      <c r="AF528" s="383"/>
      <c r="AG528" s="383"/>
      <c r="AH528" s="383"/>
      <c r="AI528" s="383"/>
      <c r="AJ528" s="383"/>
      <c r="AK528" s="383"/>
      <c r="AL528" s="383"/>
      <c r="AM528" s="383"/>
      <c r="AN528" s="383"/>
      <c r="AO528" s="383"/>
      <c r="AP528" s="383"/>
      <c r="AQ528" s="383"/>
      <c r="AR528" s="383"/>
    </row>
    <row r="529" spans="2:44" s="639" customFormat="1" ht="12" customHeight="1">
      <c r="B529" s="638"/>
      <c r="J529" s="732" t="s">
        <v>1381</v>
      </c>
      <c r="K529" s="733"/>
      <c r="L529" s="730"/>
      <c r="M529" s="731"/>
      <c r="N529" s="1194" t="s">
        <v>1674</v>
      </c>
      <c r="O529" s="1194" t="s">
        <v>2003</v>
      </c>
      <c r="P529" s="731"/>
      <c r="X529" s="383"/>
      <c r="Y529" s="383"/>
      <c r="Z529" s="383"/>
      <c r="AA529" s="383"/>
      <c r="AB529" s="383"/>
      <c r="AC529" s="383"/>
      <c r="AD529" s="383"/>
      <c r="AE529" s="383"/>
      <c r="AF529" s="383"/>
      <c r="AG529" s="383"/>
      <c r="AH529" s="383"/>
      <c r="AI529" s="383"/>
      <c r="AJ529" s="383"/>
      <c r="AK529" s="383"/>
      <c r="AL529" s="383"/>
      <c r="AM529" s="383"/>
      <c r="AN529" s="383"/>
      <c r="AO529" s="383"/>
      <c r="AP529" s="383"/>
      <c r="AQ529" s="383"/>
      <c r="AR529" s="383"/>
    </row>
    <row r="530" spans="2:44" s="639" customFormat="1" ht="12" customHeight="1">
      <c r="B530" s="638"/>
      <c r="J530" s="732" t="s">
        <v>686</v>
      </c>
      <c r="K530" s="733"/>
      <c r="L530" s="730"/>
      <c r="M530" s="731"/>
      <c r="N530" s="1194" t="s">
        <v>1677</v>
      </c>
      <c r="O530" s="1194" t="s">
        <v>2762</v>
      </c>
      <c r="P530" s="731"/>
      <c r="X530" s="383"/>
      <c r="Y530" s="383"/>
      <c r="Z530" s="383"/>
      <c r="AA530" s="383"/>
      <c r="AB530" s="383"/>
      <c r="AC530" s="383"/>
      <c r="AD530" s="383"/>
      <c r="AE530" s="383"/>
      <c r="AF530" s="383"/>
      <c r="AG530" s="383"/>
      <c r="AH530" s="383"/>
      <c r="AI530" s="383"/>
      <c r="AJ530" s="383"/>
      <c r="AK530" s="383"/>
      <c r="AL530" s="383"/>
      <c r="AM530" s="383"/>
      <c r="AN530" s="383"/>
      <c r="AO530" s="383"/>
      <c r="AP530" s="383"/>
      <c r="AQ530" s="383"/>
      <c r="AR530" s="383"/>
    </row>
    <row r="531" spans="2:44" s="639" customFormat="1" ht="12" customHeight="1">
      <c r="B531" s="638"/>
      <c r="J531" s="732" t="s">
        <v>727</v>
      </c>
      <c r="K531" s="733"/>
      <c r="L531" s="730"/>
      <c r="M531" s="731"/>
      <c r="N531" s="1194" t="s">
        <v>396</v>
      </c>
      <c r="O531" s="1194" t="s">
        <v>2645</v>
      </c>
      <c r="P531" s="731"/>
      <c r="X531" s="383"/>
      <c r="Y531" s="383"/>
      <c r="Z531" s="383"/>
      <c r="AA531" s="383"/>
      <c r="AB531" s="383"/>
      <c r="AC531" s="383"/>
      <c r="AD531" s="383"/>
      <c r="AE531" s="383"/>
      <c r="AF531" s="383"/>
      <c r="AG531" s="383"/>
      <c r="AH531" s="383"/>
      <c r="AI531" s="383"/>
      <c r="AJ531" s="383"/>
      <c r="AK531" s="383"/>
      <c r="AL531" s="383"/>
      <c r="AM531" s="383"/>
      <c r="AN531" s="383"/>
      <c r="AO531" s="383"/>
      <c r="AP531" s="383"/>
      <c r="AQ531" s="383"/>
      <c r="AR531" s="383"/>
    </row>
    <row r="532" spans="2:44" s="639" customFormat="1" ht="12" customHeight="1">
      <c r="B532" s="638"/>
      <c r="J532" s="732" t="s">
        <v>728</v>
      </c>
      <c r="K532" s="733"/>
      <c r="L532" s="730"/>
      <c r="M532" s="731"/>
      <c r="N532" s="641" t="s">
        <v>398</v>
      </c>
      <c r="O532" s="1194" t="s">
        <v>1400</v>
      </c>
      <c r="P532" s="731"/>
      <c r="X532" s="383"/>
      <c r="Y532" s="383"/>
      <c r="Z532" s="383"/>
      <c r="AA532" s="383"/>
      <c r="AB532" s="383"/>
      <c r="AC532" s="383"/>
      <c r="AD532" s="383"/>
      <c r="AE532" s="383"/>
      <c r="AF532" s="383"/>
      <c r="AG532" s="383"/>
      <c r="AH532" s="383"/>
      <c r="AI532" s="383"/>
      <c r="AJ532" s="383"/>
      <c r="AK532" s="383"/>
      <c r="AL532" s="383"/>
      <c r="AM532" s="383"/>
      <c r="AN532" s="383"/>
      <c r="AO532" s="383"/>
      <c r="AP532" s="383"/>
      <c r="AQ532" s="383"/>
      <c r="AR532" s="383"/>
    </row>
    <row r="533" spans="2:44" s="639" customFormat="1" ht="12" customHeight="1">
      <c r="B533" s="638"/>
      <c r="J533" s="732" t="s">
        <v>550</v>
      </c>
      <c r="K533" s="733"/>
      <c r="L533" s="730"/>
      <c r="M533" s="731"/>
      <c r="N533" s="641" t="s">
        <v>260</v>
      </c>
      <c r="O533" s="1194" t="s">
        <v>2306</v>
      </c>
      <c r="P533" s="731"/>
      <c r="X533" s="383"/>
      <c r="Y533" s="383"/>
      <c r="Z533" s="383"/>
      <c r="AA533" s="383"/>
      <c r="AB533" s="383"/>
      <c r="AC533" s="383"/>
      <c r="AD533" s="383"/>
      <c r="AE533" s="383"/>
      <c r="AF533" s="383"/>
      <c r="AG533" s="383"/>
      <c r="AH533" s="383"/>
      <c r="AI533" s="383"/>
      <c r="AJ533" s="383"/>
      <c r="AK533" s="383"/>
      <c r="AL533" s="383"/>
      <c r="AM533" s="383"/>
      <c r="AN533" s="383"/>
      <c r="AO533" s="383"/>
      <c r="AP533" s="383"/>
      <c r="AQ533" s="383"/>
      <c r="AR533" s="383"/>
    </row>
    <row r="534" spans="2:44" s="639" customFormat="1" ht="12" customHeight="1">
      <c r="B534" s="638"/>
      <c r="J534" s="732" t="s">
        <v>552</v>
      </c>
      <c r="K534" s="733"/>
      <c r="L534" s="730"/>
      <c r="M534" s="731"/>
      <c r="N534" s="1194" t="s">
        <v>1707</v>
      </c>
      <c r="O534" s="1194" t="s">
        <v>2692</v>
      </c>
      <c r="P534" s="1240"/>
      <c r="X534" s="383"/>
      <c r="Y534" s="383"/>
      <c r="Z534" s="383"/>
      <c r="AA534" s="383"/>
      <c r="AB534" s="383"/>
      <c r="AC534" s="383"/>
      <c r="AD534" s="383"/>
      <c r="AE534" s="383"/>
      <c r="AF534" s="383"/>
      <c r="AG534" s="383"/>
      <c r="AH534" s="383"/>
      <c r="AI534" s="383"/>
      <c r="AJ534" s="383"/>
      <c r="AK534" s="383"/>
      <c r="AL534" s="383"/>
      <c r="AM534" s="383"/>
      <c r="AN534" s="383"/>
      <c r="AO534" s="383"/>
      <c r="AP534" s="383"/>
      <c r="AQ534" s="383"/>
      <c r="AR534" s="383"/>
    </row>
    <row r="535" spans="2:44" s="639" customFormat="1" ht="12" customHeight="1">
      <c r="B535" s="638"/>
      <c r="J535" s="732" t="s">
        <v>554</v>
      </c>
      <c r="K535" s="733"/>
      <c r="L535" s="730"/>
      <c r="M535" s="731"/>
      <c r="N535" s="1194" t="s">
        <v>3251</v>
      </c>
      <c r="O535" s="1194" t="s">
        <v>346</v>
      </c>
      <c r="P535" s="731"/>
      <c r="X535" s="383"/>
      <c r="Y535" s="383"/>
      <c r="Z535" s="383"/>
      <c r="AA535" s="383"/>
      <c r="AB535" s="383"/>
      <c r="AC535" s="383"/>
      <c r="AD535" s="383"/>
      <c r="AE535" s="383"/>
      <c r="AF535" s="383"/>
      <c r="AG535" s="383"/>
      <c r="AH535" s="383"/>
      <c r="AI535" s="383"/>
      <c r="AJ535" s="383"/>
      <c r="AK535" s="383"/>
      <c r="AL535" s="383"/>
      <c r="AM535" s="383"/>
      <c r="AN535" s="383"/>
      <c r="AO535" s="383"/>
      <c r="AP535" s="383"/>
      <c r="AQ535" s="383"/>
      <c r="AR535" s="383"/>
    </row>
    <row r="536" spans="2:44" s="639" customFormat="1" ht="12" customHeight="1">
      <c r="B536" s="638"/>
      <c r="J536" s="732" t="s">
        <v>556</v>
      </c>
      <c r="K536" s="733"/>
      <c r="L536" s="730"/>
      <c r="M536" s="731"/>
      <c r="N536" s="1194" t="s">
        <v>1145</v>
      </c>
      <c r="O536" s="1194" t="s">
        <v>2764</v>
      </c>
      <c r="P536" s="731"/>
      <c r="X536" s="383"/>
      <c r="Y536" s="383"/>
      <c r="Z536" s="383"/>
      <c r="AA536" s="383"/>
      <c r="AB536" s="383"/>
      <c r="AC536" s="383"/>
      <c r="AD536" s="383"/>
      <c r="AE536" s="383"/>
      <c r="AF536" s="383"/>
      <c r="AG536" s="383"/>
      <c r="AH536" s="383"/>
      <c r="AI536" s="383"/>
      <c r="AJ536" s="383"/>
      <c r="AK536" s="383"/>
      <c r="AL536" s="383"/>
      <c r="AM536" s="383"/>
      <c r="AN536" s="383"/>
      <c r="AO536" s="383"/>
      <c r="AP536" s="383"/>
      <c r="AQ536" s="383"/>
      <c r="AR536" s="383"/>
    </row>
    <row r="537" spans="2:44" s="639" customFormat="1" ht="12" customHeight="1">
      <c r="B537" s="638"/>
      <c r="J537" s="732" t="s">
        <v>569</v>
      </c>
      <c r="K537" s="733"/>
      <c r="L537" s="730"/>
      <c r="M537" s="731"/>
      <c r="N537" s="1194" t="s">
        <v>1147</v>
      </c>
      <c r="O537" s="1194" t="s">
        <v>1390</v>
      </c>
      <c r="P537" s="731"/>
      <c r="X537" s="383"/>
      <c r="Y537" s="383"/>
      <c r="Z537" s="383"/>
      <c r="AA537" s="383"/>
      <c r="AB537" s="383"/>
      <c r="AC537" s="383"/>
      <c r="AD537" s="383"/>
      <c r="AE537" s="383"/>
      <c r="AF537" s="383"/>
      <c r="AG537" s="383"/>
      <c r="AH537" s="383"/>
      <c r="AI537" s="383"/>
      <c r="AJ537" s="383"/>
      <c r="AK537" s="383"/>
      <c r="AL537" s="383"/>
      <c r="AM537" s="383"/>
      <c r="AN537" s="383"/>
      <c r="AO537" s="383"/>
      <c r="AP537" s="383"/>
      <c r="AQ537" s="383"/>
      <c r="AR537" s="383"/>
    </row>
    <row r="538" spans="2:44" s="639" customFormat="1" ht="12" customHeight="1">
      <c r="B538" s="638"/>
      <c r="J538" s="732" t="s">
        <v>571</v>
      </c>
      <c r="K538" s="733"/>
      <c r="L538" s="730"/>
      <c r="M538" s="731"/>
      <c r="N538" s="708" t="s">
        <v>1149</v>
      </c>
      <c r="O538" s="708" t="s">
        <v>695</v>
      </c>
      <c r="P538" s="731"/>
      <c r="X538" s="383"/>
      <c r="Y538" s="383"/>
      <c r="Z538" s="383"/>
      <c r="AA538" s="383"/>
      <c r="AB538" s="383"/>
      <c r="AC538" s="383"/>
      <c r="AD538" s="383"/>
      <c r="AE538" s="383"/>
      <c r="AF538" s="383"/>
      <c r="AG538" s="383"/>
      <c r="AH538" s="383"/>
      <c r="AI538" s="383"/>
      <c r="AJ538" s="383"/>
      <c r="AK538" s="383"/>
      <c r="AL538" s="383"/>
      <c r="AM538" s="383"/>
      <c r="AN538" s="383"/>
      <c r="AO538" s="383"/>
      <c r="AP538" s="383"/>
      <c r="AQ538" s="383"/>
      <c r="AR538" s="383"/>
    </row>
    <row r="539" spans="2:44" s="639" customFormat="1" ht="12" customHeight="1">
      <c r="B539" s="638"/>
      <c r="J539" s="732" t="s">
        <v>757</v>
      </c>
      <c r="K539" s="733"/>
      <c r="L539" s="730"/>
      <c r="M539" s="731"/>
      <c r="N539" s="1194" t="s">
        <v>272</v>
      </c>
      <c r="O539" s="1194" t="s">
        <v>337</v>
      </c>
      <c r="P539" s="1239"/>
      <c r="X539" s="383"/>
      <c r="Y539" s="383"/>
      <c r="Z539" s="383"/>
      <c r="AA539" s="383"/>
      <c r="AB539" s="383"/>
      <c r="AC539" s="383"/>
      <c r="AD539" s="383"/>
      <c r="AE539" s="383"/>
      <c r="AF539" s="383"/>
      <c r="AG539" s="383"/>
      <c r="AH539" s="383"/>
      <c r="AI539" s="383"/>
      <c r="AJ539" s="383"/>
      <c r="AK539" s="383"/>
      <c r="AL539" s="383"/>
      <c r="AM539" s="383"/>
      <c r="AN539" s="383"/>
      <c r="AO539" s="383"/>
      <c r="AP539" s="383"/>
      <c r="AQ539" s="383"/>
      <c r="AR539" s="383"/>
    </row>
    <row r="540" spans="2:44" s="639" customFormat="1" ht="12" customHeight="1">
      <c r="B540" s="638"/>
      <c r="J540" s="732" t="s">
        <v>619</v>
      </c>
      <c r="K540" s="733"/>
      <c r="L540" s="730"/>
      <c r="M540" s="731"/>
      <c r="N540" s="1194" t="s">
        <v>274</v>
      </c>
      <c r="O540" s="1194" t="s">
        <v>2550</v>
      </c>
      <c r="P540" s="731"/>
      <c r="X540" s="383"/>
      <c r="Y540" s="383"/>
      <c r="Z540" s="383"/>
      <c r="AA540" s="383"/>
      <c r="AB540" s="383"/>
      <c r="AC540" s="383"/>
      <c r="AD540" s="383"/>
      <c r="AE540" s="383"/>
      <c r="AF540" s="383"/>
      <c r="AG540" s="383"/>
      <c r="AH540" s="383"/>
      <c r="AI540" s="383"/>
      <c r="AJ540" s="383"/>
      <c r="AK540" s="383"/>
      <c r="AL540" s="383"/>
      <c r="AM540" s="383"/>
      <c r="AN540" s="383"/>
      <c r="AO540" s="383"/>
      <c r="AP540" s="383"/>
      <c r="AQ540" s="383"/>
      <c r="AR540" s="383"/>
    </row>
    <row r="541" spans="2:44" s="639" customFormat="1" ht="12" customHeight="1">
      <c r="B541" s="638"/>
      <c r="J541" s="732" t="s">
        <v>620</v>
      </c>
      <c r="K541" s="733"/>
      <c r="L541" s="730"/>
      <c r="M541" s="731"/>
      <c r="N541" s="708" t="s">
        <v>1730</v>
      </c>
      <c r="O541" s="708" t="s">
        <v>920</v>
      </c>
      <c r="P541" s="731"/>
      <c r="X541" s="383"/>
      <c r="Y541" s="383"/>
      <c r="Z541" s="383"/>
      <c r="AA541" s="383"/>
      <c r="AB541" s="383"/>
      <c r="AC541" s="383"/>
      <c r="AD541" s="383"/>
      <c r="AE541" s="383"/>
      <c r="AF541" s="383"/>
      <c r="AG541" s="383"/>
      <c r="AH541" s="383"/>
      <c r="AI541" s="383"/>
      <c r="AJ541" s="383"/>
      <c r="AK541" s="383"/>
      <c r="AL541" s="383"/>
      <c r="AM541" s="383"/>
      <c r="AN541" s="383"/>
      <c r="AO541" s="383"/>
      <c r="AP541" s="383"/>
      <c r="AQ541" s="383"/>
      <c r="AR541" s="383"/>
    </row>
    <row r="542" spans="2:44" s="639" customFormat="1" ht="12" customHeight="1">
      <c r="B542" s="638"/>
      <c r="J542" s="732" t="s">
        <v>2207</v>
      </c>
      <c r="K542" s="733"/>
      <c r="L542" s="730"/>
      <c r="M542" s="731"/>
      <c r="N542" s="1194" t="s">
        <v>2466</v>
      </c>
      <c r="O542" s="1194" t="s">
        <v>1155</v>
      </c>
      <c r="P542" s="1239"/>
      <c r="X542" s="383"/>
      <c r="Y542" s="383"/>
      <c r="Z542" s="383"/>
      <c r="AA542" s="383"/>
      <c r="AB542" s="383"/>
      <c r="AC542" s="383"/>
      <c r="AD542" s="383"/>
      <c r="AE542" s="383"/>
      <c r="AF542" s="383"/>
      <c r="AG542" s="383"/>
      <c r="AH542" s="383"/>
      <c r="AI542" s="383"/>
      <c r="AJ542" s="383"/>
      <c r="AK542" s="383"/>
      <c r="AL542" s="383"/>
      <c r="AM542" s="383"/>
      <c r="AN542" s="383"/>
      <c r="AO542" s="383"/>
      <c r="AP542" s="383"/>
      <c r="AQ542" s="383"/>
      <c r="AR542" s="383"/>
    </row>
    <row r="543" spans="2:44" s="639" customFormat="1" ht="12" customHeight="1">
      <c r="B543" s="638"/>
      <c r="J543" s="732" t="s">
        <v>488</v>
      </c>
      <c r="K543" s="733"/>
      <c r="L543" s="730"/>
      <c r="M543" s="731"/>
      <c r="N543" s="1194" t="s">
        <v>507</v>
      </c>
      <c r="O543" s="1194" t="s">
        <v>1770</v>
      </c>
      <c r="P543" s="731"/>
      <c r="X543" s="383"/>
      <c r="Y543" s="383"/>
      <c r="Z543" s="383"/>
      <c r="AA543" s="383"/>
      <c r="AB543" s="383"/>
      <c r="AC543" s="383"/>
      <c r="AD543" s="383"/>
      <c r="AE543" s="383"/>
      <c r="AF543" s="383"/>
      <c r="AG543" s="383"/>
      <c r="AH543" s="383"/>
      <c r="AI543" s="383"/>
      <c r="AJ543" s="383"/>
      <c r="AK543" s="383"/>
      <c r="AL543" s="383"/>
      <c r="AM543" s="383"/>
      <c r="AN543" s="383"/>
      <c r="AO543" s="383"/>
      <c r="AP543" s="383"/>
      <c r="AQ543" s="383"/>
      <c r="AR543" s="383"/>
    </row>
    <row r="544" spans="2:44" s="639" customFormat="1" ht="12" customHeight="1">
      <c r="B544" s="638"/>
      <c r="J544" s="732" t="s">
        <v>489</v>
      </c>
      <c r="K544" s="733"/>
      <c r="L544" s="730"/>
      <c r="M544" s="731"/>
      <c r="N544" s="1194" t="s">
        <v>3252</v>
      </c>
      <c r="O544" s="1194" t="s">
        <v>2316</v>
      </c>
      <c r="P544" s="731"/>
      <c r="X544" s="383"/>
      <c r="Y544" s="383"/>
      <c r="Z544" s="383"/>
      <c r="AA544" s="383"/>
      <c r="AB544" s="383"/>
      <c r="AC544" s="383"/>
      <c r="AD544" s="383"/>
      <c r="AE544" s="383"/>
      <c r="AF544" s="383"/>
      <c r="AG544" s="383"/>
      <c r="AH544" s="383"/>
      <c r="AI544" s="383"/>
      <c r="AJ544" s="383"/>
      <c r="AK544" s="383"/>
      <c r="AL544" s="383"/>
      <c r="AM544" s="383"/>
      <c r="AN544" s="383"/>
      <c r="AO544" s="383"/>
      <c r="AP544" s="383"/>
      <c r="AQ544" s="383"/>
      <c r="AR544" s="383"/>
    </row>
    <row r="545" spans="2:44" s="639" customFormat="1" ht="12" customHeight="1">
      <c r="B545" s="638"/>
      <c r="J545" s="732" t="s">
        <v>1338</v>
      </c>
      <c r="K545" s="733"/>
      <c r="L545" s="730"/>
      <c r="M545" s="731"/>
      <c r="N545" s="1194" t="s">
        <v>726</v>
      </c>
      <c r="O545" s="1194" t="s">
        <v>169</v>
      </c>
      <c r="P545" s="731"/>
      <c r="X545" s="383"/>
      <c r="Y545" s="383"/>
      <c r="Z545" s="383"/>
      <c r="AA545" s="383"/>
      <c r="AB545" s="383"/>
      <c r="AC545" s="383"/>
      <c r="AD545" s="383"/>
      <c r="AE545" s="383"/>
      <c r="AF545" s="383"/>
      <c r="AG545" s="383"/>
      <c r="AH545" s="383"/>
      <c r="AI545" s="383"/>
      <c r="AJ545" s="383"/>
      <c r="AK545" s="383"/>
      <c r="AL545" s="383"/>
      <c r="AM545" s="383"/>
      <c r="AN545" s="383"/>
      <c r="AO545" s="383"/>
      <c r="AP545" s="383"/>
      <c r="AQ545" s="383"/>
      <c r="AR545" s="383"/>
    </row>
    <row r="546" spans="2:44" s="639" customFormat="1" ht="12" customHeight="1">
      <c r="B546" s="638"/>
      <c r="J546" s="732" t="s">
        <v>1048</v>
      </c>
      <c r="K546" s="733"/>
      <c r="L546" s="730"/>
      <c r="M546" s="731"/>
      <c r="N546" s="1194" t="s">
        <v>549</v>
      </c>
      <c r="O546" s="1194" t="s">
        <v>775</v>
      </c>
      <c r="P546" s="731"/>
      <c r="X546" s="383"/>
      <c r="Y546" s="383"/>
      <c r="Z546" s="383"/>
      <c r="AA546" s="383"/>
      <c r="AB546" s="383"/>
      <c r="AC546" s="383"/>
      <c r="AD546" s="383"/>
      <c r="AE546" s="383"/>
      <c r="AF546" s="383"/>
      <c r="AG546" s="383"/>
      <c r="AH546" s="383"/>
      <c r="AI546" s="383"/>
      <c r="AJ546" s="383"/>
      <c r="AK546" s="383"/>
      <c r="AL546" s="383"/>
      <c r="AM546" s="383"/>
      <c r="AN546" s="383"/>
      <c r="AO546" s="383"/>
      <c r="AP546" s="383"/>
      <c r="AQ546" s="383"/>
      <c r="AR546" s="383"/>
    </row>
    <row r="547" spans="2:44" s="639" customFormat="1" ht="12" customHeight="1">
      <c r="B547" s="638"/>
      <c r="J547" s="732" t="s">
        <v>1050</v>
      </c>
      <c r="K547" s="733"/>
      <c r="L547" s="730"/>
      <c r="M547" s="731"/>
      <c r="N547" s="1194" t="s">
        <v>551</v>
      </c>
      <c r="O547" s="1194" t="s">
        <v>1409</v>
      </c>
      <c r="P547" s="731"/>
      <c r="X547" s="383"/>
      <c r="Y547" s="383"/>
      <c r="Z547" s="383"/>
      <c r="AA547" s="383"/>
      <c r="AB547" s="383"/>
      <c r="AC547" s="383"/>
      <c r="AD547" s="383"/>
      <c r="AE547" s="383"/>
      <c r="AF547" s="383"/>
      <c r="AG547" s="383"/>
      <c r="AH547" s="383"/>
      <c r="AI547" s="383"/>
      <c r="AJ547" s="383"/>
      <c r="AK547" s="383"/>
      <c r="AL547" s="383"/>
      <c r="AM547" s="383"/>
      <c r="AN547" s="383"/>
      <c r="AO547" s="383"/>
      <c r="AP547" s="383"/>
      <c r="AQ547" s="383"/>
      <c r="AR547" s="383"/>
    </row>
    <row r="548" spans="2:44" s="639" customFormat="1" ht="12" customHeight="1">
      <c r="B548" s="638"/>
      <c r="J548" s="732" t="s">
        <v>1051</v>
      </c>
      <c r="K548" s="733"/>
      <c r="L548" s="730"/>
      <c r="M548" s="731"/>
      <c r="N548" s="1194" t="s">
        <v>553</v>
      </c>
      <c r="O548" s="1194" t="s">
        <v>1545</v>
      </c>
      <c r="P548" s="731"/>
      <c r="X548" s="383"/>
      <c r="Y548" s="383"/>
      <c r="Z548" s="383"/>
      <c r="AA548" s="383"/>
      <c r="AB548" s="383"/>
      <c r="AC548" s="383"/>
      <c r="AD548" s="383"/>
      <c r="AE548" s="383"/>
      <c r="AF548" s="383"/>
      <c r="AG548" s="383"/>
      <c r="AH548" s="383"/>
      <c r="AI548" s="383"/>
      <c r="AJ548" s="383"/>
      <c r="AK548" s="383"/>
      <c r="AL548" s="383"/>
      <c r="AM548" s="383"/>
      <c r="AN548" s="383"/>
      <c r="AO548" s="383"/>
      <c r="AP548" s="383"/>
      <c r="AQ548" s="383"/>
      <c r="AR548" s="383"/>
    </row>
    <row r="549" spans="2:44" s="639" customFormat="1" ht="12" customHeight="1">
      <c r="B549" s="638"/>
      <c r="J549" s="732" t="s">
        <v>142</v>
      </c>
      <c r="K549" s="733"/>
      <c r="L549" s="730"/>
      <c r="M549" s="731"/>
      <c r="N549" s="1194" t="s">
        <v>555</v>
      </c>
      <c r="O549" s="1194" t="s">
        <v>920</v>
      </c>
      <c r="P549" s="731"/>
      <c r="X549" s="383"/>
      <c r="Y549" s="383"/>
      <c r="Z549" s="383"/>
      <c r="AA549" s="383"/>
      <c r="AB549" s="383"/>
      <c r="AC549" s="383"/>
      <c r="AD549" s="383"/>
      <c r="AE549" s="383"/>
      <c r="AF549" s="383"/>
      <c r="AG549" s="383"/>
      <c r="AH549" s="383"/>
      <c r="AI549" s="383"/>
      <c r="AJ549" s="383"/>
      <c r="AK549" s="383"/>
      <c r="AL549" s="383"/>
      <c r="AM549" s="383"/>
      <c r="AN549" s="383"/>
      <c r="AO549" s="383"/>
      <c r="AP549" s="383"/>
      <c r="AQ549" s="383"/>
      <c r="AR549" s="383"/>
    </row>
    <row r="550" spans="2:44" s="639" customFormat="1" ht="12" customHeight="1">
      <c r="B550" s="638"/>
      <c r="J550" s="732" t="s">
        <v>143</v>
      </c>
      <c r="K550" s="733"/>
      <c r="L550" s="730"/>
      <c r="M550" s="731"/>
      <c r="N550" s="1194" t="s">
        <v>557</v>
      </c>
      <c r="O550" s="1194" t="s">
        <v>1898</v>
      </c>
      <c r="P550" s="731"/>
      <c r="X550" s="383"/>
      <c r="Y550" s="383"/>
      <c r="Z550" s="383"/>
      <c r="AA550" s="383"/>
      <c r="AB550" s="383"/>
      <c r="AC550" s="383"/>
      <c r="AD550" s="383"/>
      <c r="AE550" s="383"/>
      <c r="AF550" s="383"/>
      <c r="AG550" s="383"/>
      <c r="AH550" s="383"/>
      <c r="AI550" s="383"/>
      <c r="AJ550" s="383"/>
      <c r="AK550" s="383"/>
      <c r="AL550" s="383"/>
      <c r="AM550" s="383"/>
      <c r="AN550" s="383"/>
      <c r="AO550" s="383"/>
      <c r="AP550" s="383"/>
      <c r="AQ550" s="383"/>
      <c r="AR550" s="383"/>
    </row>
    <row r="551" spans="2:44" s="639" customFormat="1" ht="12" customHeight="1">
      <c r="B551" s="638"/>
      <c r="J551" s="732" t="s">
        <v>145</v>
      </c>
      <c r="K551" s="733"/>
      <c r="L551" s="730"/>
      <c r="M551" s="731"/>
      <c r="N551" s="1194" t="s">
        <v>570</v>
      </c>
      <c r="O551" s="1194" t="s">
        <v>348</v>
      </c>
      <c r="P551" s="731"/>
      <c r="X551" s="383"/>
      <c r="Y551" s="383"/>
      <c r="Z551" s="383"/>
      <c r="AA551" s="383"/>
      <c r="AB551" s="383"/>
      <c r="AC551" s="383"/>
      <c r="AD551" s="383"/>
      <c r="AE551" s="383"/>
      <c r="AF551" s="383"/>
      <c r="AG551" s="383"/>
      <c r="AH551" s="383"/>
      <c r="AI551" s="383"/>
      <c r="AJ551" s="383"/>
      <c r="AK551" s="383"/>
      <c r="AL551" s="383"/>
      <c r="AM551" s="383"/>
      <c r="AN551" s="383"/>
      <c r="AO551" s="383"/>
      <c r="AP551" s="383"/>
      <c r="AQ551" s="383"/>
      <c r="AR551" s="383"/>
    </row>
    <row r="552" spans="2:44" s="639" customFormat="1" ht="12" customHeight="1">
      <c r="B552" s="638"/>
      <c r="J552" s="732" t="s">
        <v>2767</v>
      </c>
      <c r="K552" s="733"/>
      <c r="L552" s="730"/>
      <c r="M552" s="731"/>
      <c r="N552" s="1194" t="s">
        <v>572</v>
      </c>
      <c r="O552" s="1194" t="s">
        <v>449</v>
      </c>
      <c r="P552" s="731"/>
      <c r="X552" s="383"/>
      <c r="Y552" s="383"/>
      <c r="Z552" s="383"/>
      <c r="AA552" s="383"/>
      <c r="AB552" s="383"/>
      <c r="AC552" s="383"/>
      <c r="AD552" s="383"/>
      <c r="AE552" s="383"/>
      <c r="AF552" s="383"/>
      <c r="AG552" s="383"/>
      <c r="AH552" s="383"/>
      <c r="AI552" s="383"/>
      <c r="AJ552" s="383"/>
      <c r="AK552" s="383"/>
      <c r="AL552" s="383"/>
      <c r="AM552" s="383"/>
      <c r="AN552" s="383"/>
      <c r="AO552" s="383"/>
      <c r="AP552" s="383"/>
      <c r="AQ552" s="383"/>
      <c r="AR552" s="383"/>
    </row>
    <row r="553" spans="2:44" s="639" customFormat="1" ht="12" customHeight="1">
      <c r="B553" s="638"/>
      <c r="J553" s="732" t="s">
        <v>2224</v>
      </c>
      <c r="K553" s="733"/>
      <c r="L553" s="730"/>
      <c r="M553" s="731"/>
      <c r="N553" s="708" t="s">
        <v>733</v>
      </c>
      <c r="O553" s="708" t="s">
        <v>1277</v>
      </c>
      <c r="P553" s="731"/>
      <c r="X553" s="383"/>
      <c r="Y553" s="383"/>
      <c r="Z553" s="383"/>
      <c r="AA553" s="383"/>
      <c r="AB553" s="383"/>
      <c r="AC553" s="383"/>
      <c r="AD553" s="383"/>
      <c r="AE553" s="383"/>
      <c r="AF553" s="383"/>
      <c r="AG553" s="383"/>
      <c r="AH553" s="383"/>
      <c r="AI553" s="383"/>
      <c r="AJ553" s="383"/>
      <c r="AK553" s="383"/>
      <c r="AL553" s="383"/>
      <c r="AM553" s="383"/>
      <c r="AN553" s="383"/>
      <c r="AO553" s="383"/>
      <c r="AP553" s="383"/>
      <c r="AQ553" s="383"/>
      <c r="AR553" s="383"/>
    </row>
    <row r="554" spans="2:44" s="639" customFormat="1" ht="12" customHeight="1">
      <c r="B554" s="638"/>
      <c r="J554" s="732" t="s">
        <v>2226</v>
      </c>
      <c r="K554" s="733"/>
      <c r="L554" s="730"/>
      <c r="M554" s="731"/>
      <c r="N554" s="1194" t="s">
        <v>877</v>
      </c>
      <c r="O554" s="1194" t="s">
        <v>695</v>
      </c>
      <c r="P554" s="1239"/>
      <c r="X554" s="383"/>
      <c r="Y554" s="383"/>
      <c r="Z554" s="383"/>
      <c r="AA554" s="383"/>
      <c r="AB554" s="383"/>
      <c r="AC554" s="383"/>
      <c r="AD554" s="383"/>
      <c r="AE554" s="383"/>
      <c r="AF554" s="383"/>
      <c r="AG554" s="383"/>
      <c r="AH554" s="383"/>
      <c r="AI554" s="383"/>
      <c r="AJ554" s="383"/>
      <c r="AK554" s="383"/>
      <c r="AL554" s="383"/>
      <c r="AM554" s="383"/>
      <c r="AN554" s="383"/>
      <c r="AO554" s="383"/>
      <c r="AP554" s="383"/>
      <c r="AQ554" s="383"/>
      <c r="AR554" s="383"/>
    </row>
    <row r="555" spans="2:44" s="639" customFormat="1" ht="12" customHeight="1">
      <c r="B555" s="638"/>
      <c r="J555" s="732" t="s">
        <v>621</v>
      </c>
      <c r="K555" s="733"/>
      <c r="L555" s="730"/>
      <c r="M555" s="731"/>
      <c r="N555" s="1194" t="s">
        <v>1735</v>
      </c>
      <c r="O555" s="1194" t="s">
        <v>704</v>
      </c>
      <c r="P555" s="731"/>
      <c r="X555" s="383"/>
      <c r="Y555" s="383"/>
      <c r="Z555" s="383"/>
      <c r="AA555" s="383"/>
      <c r="AB555" s="383"/>
      <c r="AC555" s="383"/>
      <c r="AD555" s="383"/>
      <c r="AE555" s="383"/>
      <c r="AF555" s="383"/>
      <c r="AG555" s="383"/>
      <c r="AH555" s="383"/>
      <c r="AI555" s="383"/>
      <c r="AJ555" s="383"/>
      <c r="AK555" s="383"/>
      <c r="AL555" s="383"/>
      <c r="AM555" s="383"/>
      <c r="AN555" s="383"/>
      <c r="AO555" s="383"/>
      <c r="AP555" s="383"/>
      <c r="AQ555" s="383"/>
      <c r="AR555" s="383"/>
    </row>
    <row r="556" spans="2:44" s="639" customFormat="1" ht="12" customHeight="1">
      <c r="B556" s="638"/>
      <c r="J556" s="732" t="s">
        <v>2484</v>
      </c>
      <c r="K556" s="733"/>
      <c r="L556" s="730"/>
      <c r="M556" s="731"/>
      <c r="N556" s="1194" t="s">
        <v>2208</v>
      </c>
      <c r="O556" s="1194" t="s">
        <v>1155</v>
      </c>
      <c r="P556" s="731"/>
      <c r="X556" s="383"/>
      <c r="Y556" s="383"/>
      <c r="Z556" s="383"/>
      <c r="AA556" s="383"/>
      <c r="AB556" s="383"/>
      <c r="AC556" s="383"/>
      <c r="AD556" s="383"/>
      <c r="AE556" s="383"/>
      <c r="AF556" s="383"/>
      <c r="AG556" s="383"/>
      <c r="AH556" s="383"/>
      <c r="AI556" s="383"/>
      <c r="AJ556" s="383"/>
      <c r="AK556" s="383"/>
      <c r="AL556" s="383"/>
      <c r="AM556" s="383"/>
      <c r="AN556" s="383"/>
      <c r="AO556" s="383"/>
      <c r="AP556" s="383"/>
      <c r="AQ556" s="383"/>
      <c r="AR556" s="383"/>
    </row>
    <row r="557" spans="2:44" s="639" customFormat="1" ht="12" customHeight="1">
      <c r="B557" s="638"/>
      <c r="J557" s="732" t="s">
        <v>745</v>
      </c>
      <c r="K557" s="733"/>
      <c r="L557" s="730"/>
      <c r="M557" s="731"/>
      <c r="N557" s="1194" t="s">
        <v>1737</v>
      </c>
      <c r="O557" s="1194" t="s">
        <v>2136</v>
      </c>
      <c r="P557" s="1240"/>
      <c r="X557" s="383"/>
      <c r="Y557" s="383"/>
      <c r="Z557" s="383"/>
      <c r="AA557" s="383"/>
      <c r="AB557" s="383"/>
      <c r="AC557" s="383"/>
      <c r="AD557" s="383"/>
      <c r="AE557" s="383"/>
      <c r="AF557" s="383"/>
      <c r="AG557" s="383"/>
      <c r="AH557" s="383"/>
      <c r="AI557" s="383"/>
      <c r="AJ557" s="383"/>
      <c r="AK557" s="383"/>
      <c r="AL557" s="383"/>
      <c r="AM557" s="383"/>
      <c r="AN557" s="383"/>
      <c r="AO557" s="383"/>
      <c r="AP557" s="383"/>
      <c r="AQ557" s="383"/>
      <c r="AR557" s="383"/>
    </row>
    <row r="558" spans="2:44" s="639" customFormat="1" ht="12" customHeight="1">
      <c r="B558" s="638"/>
      <c r="J558" s="732" t="s">
        <v>747</v>
      </c>
      <c r="K558" s="733"/>
      <c r="L558" s="730"/>
      <c r="M558" s="731"/>
      <c r="N558" s="1194" t="s">
        <v>490</v>
      </c>
      <c r="O558" s="1194" t="s">
        <v>1400</v>
      </c>
      <c r="P558" s="731"/>
      <c r="X558" s="383"/>
      <c r="Y558" s="383"/>
      <c r="Z558" s="383"/>
      <c r="AA558" s="383"/>
      <c r="AB558" s="383"/>
      <c r="AC558" s="383"/>
      <c r="AD558" s="383"/>
      <c r="AE558" s="383"/>
      <c r="AF558" s="383"/>
      <c r="AG558" s="383"/>
      <c r="AH558" s="383"/>
      <c r="AI558" s="383"/>
      <c r="AJ558" s="383"/>
      <c r="AK558" s="383"/>
      <c r="AL558" s="383"/>
      <c r="AM558" s="383"/>
      <c r="AN558" s="383"/>
      <c r="AO558" s="383"/>
      <c r="AP558" s="383"/>
      <c r="AQ558" s="383"/>
      <c r="AR558" s="383"/>
    </row>
    <row r="559" spans="2:44" s="639" customFormat="1" ht="12" customHeight="1">
      <c r="B559" s="638"/>
      <c r="J559" s="732" t="s">
        <v>2424</v>
      </c>
      <c r="K559" s="733"/>
      <c r="L559" s="730"/>
      <c r="M559" s="731"/>
      <c r="N559" s="1194" t="s">
        <v>191</v>
      </c>
      <c r="O559" s="1194" t="s">
        <v>166</v>
      </c>
      <c r="P559" s="731"/>
      <c r="X559" s="383"/>
      <c r="Y559" s="383"/>
      <c r="Z559" s="383"/>
      <c r="AA559" s="383"/>
      <c r="AB559" s="383"/>
      <c r="AC559" s="383"/>
      <c r="AD559" s="383"/>
      <c r="AE559" s="383"/>
      <c r="AF559" s="383"/>
      <c r="AG559" s="383"/>
      <c r="AH559" s="383"/>
      <c r="AI559" s="383"/>
      <c r="AJ559" s="383"/>
      <c r="AK559" s="383"/>
      <c r="AL559" s="383"/>
      <c r="AM559" s="383"/>
      <c r="AN559" s="383"/>
      <c r="AO559" s="383"/>
      <c r="AP559" s="383"/>
      <c r="AQ559" s="383"/>
      <c r="AR559" s="383"/>
    </row>
    <row r="560" spans="2:44" s="639" customFormat="1" ht="12" customHeight="1">
      <c r="B560" s="638"/>
      <c r="J560" s="732" t="s">
        <v>45</v>
      </c>
      <c r="K560" s="733"/>
      <c r="L560" s="730"/>
      <c r="M560" s="731"/>
      <c r="N560" s="1194" t="s">
        <v>1339</v>
      </c>
      <c r="O560" s="1194" t="s">
        <v>343</v>
      </c>
      <c r="P560" s="731"/>
      <c r="X560" s="383"/>
      <c r="Y560" s="383"/>
      <c r="Z560" s="383"/>
      <c r="AA560" s="383"/>
      <c r="AB560" s="383"/>
      <c r="AC560" s="383"/>
      <c r="AD560" s="383"/>
      <c r="AE560" s="383"/>
      <c r="AF560" s="383"/>
      <c r="AG560" s="383"/>
      <c r="AH560" s="383"/>
      <c r="AI560" s="383"/>
      <c r="AJ560" s="383"/>
      <c r="AK560" s="383"/>
      <c r="AL560" s="383"/>
      <c r="AM560" s="383"/>
      <c r="AN560" s="383"/>
      <c r="AO560" s="383"/>
      <c r="AP560" s="383"/>
      <c r="AQ560" s="383"/>
      <c r="AR560" s="383"/>
    </row>
    <row r="561" spans="2:44" s="639" customFormat="1" ht="12" customHeight="1">
      <c r="B561" s="638"/>
      <c r="J561" s="732" t="s">
        <v>46</v>
      </c>
      <c r="K561" s="733"/>
      <c r="L561" s="730"/>
      <c r="M561" s="731"/>
      <c r="N561" s="1194" t="s">
        <v>1049</v>
      </c>
      <c r="O561" s="1194" t="s">
        <v>1542</v>
      </c>
      <c r="P561" s="731"/>
      <c r="X561" s="383"/>
      <c r="Y561" s="383"/>
      <c r="Z561" s="383"/>
      <c r="AA561" s="383"/>
      <c r="AB561" s="383"/>
      <c r="AC561" s="383"/>
      <c r="AD561" s="383"/>
      <c r="AE561" s="383"/>
      <c r="AF561" s="383"/>
      <c r="AG561" s="383"/>
      <c r="AH561" s="383"/>
      <c r="AI561" s="383"/>
      <c r="AJ561" s="383"/>
      <c r="AK561" s="383"/>
      <c r="AL561" s="383"/>
      <c r="AM561" s="383"/>
      <c r="AN561" s="383"/>
      <c r="AO561" s="383"/>
      <c r="AP561" s="383"/>
      <c r="AQ561" s="383"/>
      <c r="AR561" s="383"/>
    </row>
    <row r="562" spans="2:44" s="639" customFormat="1" ht="12" customHeight="1">
      <c r="B562" s="638"/>
      <c r="J562" s="732" t="s">
        <v>2387</v>
      </c>
      <c r="K562" s="733"/>
      <c r="L562" s="730"/>
      <c r="M562" s="731"/>
      <c r="N562" s="1194" t="s">
        <v>1118</v>
      </c>
      <c r="O562" s="1194" t="s">
        <v>182</v>
      </c>
      <c r="P562" s="731"/>
      <c r="X562" s="383"/>
      <c r="Y562" s="383"/>
      <c r="Z562" s="383"/>
      <c r="AA562" s="383"/>
      <c r="AB562" s="383"/>
      <c r="AC562" s="383"/>
      <c r="AD562" s="383"/>
      <c r="AE562" s="383"/>
      <c r="AF562" s="383"/>
      <c r="AG562" s="383"/>
      <c r="AH562" s="383"/>
      <c r="AI562" s="383"/>
      <c r="AJ562" s="383"/>
      <c r="AK562" s="383"/>
      <c r="AL562" s="383"/>
      <c r="AM562" s="383"/>
      <c r="AN562" s="383"/>
      <c r="AO562" s="383"/>
      <c r="AP562" s="383"/>
      <c r="AQ562" s="383"/>
      <c r="AR562" s="383"/>
    </row>
    <row r="563" spans="2:44" s="639" customFormat="1" ht="12" customHeight="1">
      <c r="B563" s="638"/>
      <c r="J563" s="732" t="s">
        <v>2415</v>
      </c>
      <c r="K563" s="733"/>
      <c r="L563" s="730"/>
      <c r="M563" s="731"/>
      <c r="N563" s="1194" t="s">
        <v>141</v>
      </c>
      <c r="O563" s="1194" t="s">
        <v>2695</v>
      </c>
      <c r="P563" s="731"/>
      <c r="X563" s="383"/>
      <c r="Y563" s="383"/>
      <c r="Z563" s="383"/>
      <c r="AA563" s="383"/>
      <c r="AB563" s="383"/>
      <c r="AC563" s="383"/>
      <c r="AD563" s="383"/>
      <c r="AE563" s="383"/>
      <c r="AF563" s="383"/>
      <c r="AG563" s="383"/>
      <c r="AH563" s="383"/>
      <c r="AI563" s="383"/>
      <c r="AJ563" s="383"/>
      <c r="AK563" s="383"/>
      <c r="AL563" s="383"/>
      <c r="AM563" s="383"/>
      <c r="AN563" s="383"/>
      <c r="AO563" s="383"/>
      <c r="AP563" s="383"/>
      <c r="AQ563" s="383"/>
      <c r="AR563" s="383"/>
    </row>
    <row r="564" spans="2:44" s="639" customFormat="1" ht="12" customHeight="1">
      <c r="B564" s="638"/>
      <c r="J564" s="732" t="s">
        <v>412</v>
      </c>
      <c r="K564" s="733"/>
      <c r="L564" s="730"/>
      <c r="M564" s="731"/>
      <c r="N564" s="1194" t="s">
        <v>2757</v>
      </c>
      <c r="O564" s="1194" t="s">
        <v>1412</v>
      </c>
      <c r="P564" s="731"/>
      <c r="X564" s="383"/>
      <c r="Y564" s="383"/>
      <c r="Z564" s="383"/>
      <c r="AA564" s="383"/>
      <c r="AB564" s="383"/>
      <c r="AC564" s="383"/>
      <c r="AD564" s="383"/>
      <c r="AE564" s="383"/>
      <c r="AF564" s="383"/>
      <c r="AG564" s="383"/>
      <c r="AH564" s="383"/>
      <c r="AI564" s="383"/>
      <c r="AJ564" s="383"/>
      <c r="AK564" s="383"/>
      <c r="AL564" s="383"/>
      <c r="AM564" s="383"/>
      <c r="AN564" s="383"/>
      <c r="AO564" s="383"/>
      <c r="AP564" s="383"/>
      <c r="AQ564" s="383"/>
      <c r="AR564" s="383"/>
    </row>
    <row r="565" spans="2:44" s="639" customFormat="1" ht="12" customHeight="1">
      <c r="B565" s="638"/>
      <c r="J565" s="732" t="s">
        <v>414</v>
      </c>
      <c r="K565" s="733"/>
      <c r="L565" s="730"/>
      <c r="M565" s="731"/>
      <c r="N565" s="1194" t="s">
        <v>144</v>
      </c>
      <c r="O565" s="1194" t="s">
        <v>695</v>
      </c>
      <c r="P565" s="731"/>
      <c r="X565" s="383"/>
      <c r="Y565" s="383"/>
      <c r="Z565" s="383"/>
      <c r="AA565" s="383"/>
      <c r="AB565" s="383"/>
      <c r="AC565" s="383"/>
      <c r="AD565" s="383"/>
      <c r="AE565" s="383"/>
      <c r="AF565" s="383"/>
      <c r="AG565" s="383"/>
      <c r="AH565" s="383"/>
      <c r="AI565" s="383"/>
      <c r="AJ565" s="383"/>
      <c r="AK565" s="383"/>
      <c r="AL565" s="383"/>
      <c r="AM565" s="383"/>
      <c r="AN565" s="383"/>
      <c r="AO565" s="383"/>
      <c r="AP565" s="383"/>
      <c r="AQ565" s="383"/>
      <c r="AR565" s="383"/>
    </row>
    <row r="566" spans="2:44" s="639" customFormat="1" ht="12" customHeight="1">
      <c r="B566" s="638"/>
      <c r="J566" s="732" t="s">
        <v>416</v>
      </c>
      <c r="K566" s="733"/>
      <c r="L566" s="730"/>
      <c r="M566" s="731"/>
      <c r="N566" s="708" t="s">
        <v>146</v>
      </c>
      <c r="O566" s="708" t="s">
        <v>2642</v>
      </c>
      <c r="P566" s="731"/>
      <c r="X566" s="383"/>
      <c r="Y566" s="383"/>
      <c r="Z566" s="383"/>
      <c r="AA566" s="383"/>
      <c r="AB566" s="383"/>
      <c r="AC566" s="383"/>
      <c r="AD566" s="383"/>
      <c r="AE566" s="383"/>
      <c r="AF566" s="383"/>
      <c r="AG566" s="383"/>
      <c r="AH566" s="383"/>
      <c r="AI566" s="383"/>
      <c r="AJ566" s="383"/>
      <c r="AK566" s="383"/>
      <c r="AL566" s="383"/>
      <c r="AM566" s="383"/>
      <c r="AN566" s="383"/>
      <c r="AO566" s="383"/>
      <c r="AP566" s="383"/>
      <c r="AQ566" s="383"/>
      <c r="AR566" s="383"/>
    </row>
    <row r="567" spans="2:44" s="639" customFormat="1" ht="12" customHeight="1">
      <c r="B567" s="638"/>
      <c r="J567" s="732" t="s">
        <v>418</v>
      </c>
      <c r="K567" s="733"/>
      <c r="L567" s="730"/>
      <c r="M567" s="731"/>
      <c r="N567" s="708" t="s">
        <v>2768</v>
      </c>
      <c r="O567" s="708" t="s">
        <v>1404</v>
      </c>
      <c r="P567" s="1239"/>
      <c r="X567" s="383"/>
      <c r="Y567" s="383"/>
      <c r="Z567" s="383"/>
      <c r="AA567" s="383"/>
      <c r="AB567" s="383"/>
      <c r="AC567" s="383"/>
      <c r="AD567" s="383"/>
      <c r="AE567" s="383"/>
      <c r="AF567" s="383"/>
      <c r="AG567" s="383"/>
      <c r="AH567" s="383"/>
      <c r="AI567" s="383"/>
      <c r="AJ567" s="383"/>
      <c r="AK567" s="383"/>
      <c r="AL567" s="383"/>
      <c r="AM567" s="383"/>
      <c r="AN567" s="383"/>
      <c r="AO567" s="383"/>
      <c r="AP567" s="383"/>
      <c r="AQ567" s="383"/>
      <c r="AR567" s="383"/>
    </row>
    <row r="568" spans="2:44" s="639" customFormat="1" ht="12" customHeight="1">
      <c r="B568" s="638"/>
      <c r="J568" s="732" t="s">
        <v>1682</v>
      </c>
      <c r="K568" s="733"/>
      <c r="L568" s="730"/>
      <c r="M568" s="731"/>
      <c r="N568" s="708" t="s">
        <v>2225</v>
      </c>
      <c r="O568" s="708" t="s">
        <v>2648</v>
      </c>
      <c r="P568" s="1239"/>
      <c r="X568" s="383"/>
      <c r="Y568" s="383"/>
      <c r="Z568" s="383"/>
      <c r="AA568" s="383"/>
      <c r="AB568" s="383"/>
      <c r="AC568" s="383"/>
      <c r="AD568" s="383"/>
      <c r="AE568" s="383"/>
      <c r="AF568" s="383"/>
      <c r="AG568" s="383"/>
      <c r="AH568" s="383"/>
      <c r="AI568" s="383"/>
      <c r="AJ568" s="383"/>
      <c r="AK568" s="383"/>
      <c r="AL568" s="383"/>
      <c r="AM568" s="383"/>
      <c r="AN568" s="383"/>
      <c r="AO568" s="383"/>
      <c r="AP568" s="383"/>
      <c r="AQ568" s="383"/>
      <c r="AR568" s="383"/>
    </row>
    <row r="569" spans="2:44" s="639" customFormat="1" ht="12" customHeight="1">
      <c r="B569" s="638"/>
      <c r="J569" s="732" t="s">
        <v>1684</v>
      </c>
      <c r="K569" s="733"/>
      <c r="L569" s="730"/>
      <c r="M569" s="731"/>
      <c r="N569" s="1194" t="s">
        <v>798</v>
      </c>
      <c r="O569" s="1194" t="s">
        <v>125</v>
      </c>
      <c r="P569" s="1239"/>
      <c r="X569" s="383"/>
      <c r="Y569" s="383"/>
      <c r="Z569" s="383"/>
      <c r="AA569" s="383"/>
      <c r="AB569" s="383"/>
      <c r="AC569" s="383"/>
      <c r="AD569" s="383"/>
      <c r="AE569" s="383"/>
      <c r="AF569" s="383"/>
      <c r="AG569" s="383"/>
      <c r="AH569" s="383"/>
      <c r="AI569" s="383"/>
      <c r="AJ569" s="383"/>
      <c r="AK569" s="383"/>
      <c r="AL569" s="383"/>
      <c r="AM569" s="383"/>
      <c r="AN569" s="383"/>
      <c r="AO569" s="383"/>
      <c r="AP569" s="383"/>
      <c r="AQ569" s="383"/>
      <c r="AR569" s="383"/>
    </row>
    <row r="570" spans="2:44" s="639" customFormat="1" ht="12" customHeight="1">
      <c r="B570" s="638"/>
      <c r="J570" s="732" t="s">
        <v>1686</v>
      </c>
      <c r="K570" s="733"/>
      <c r="L570" s="730"/>
      <c r="M570" s="731"/>
      <c r="N570" s="1194" t="s">
        <v>799</v>
      </c>
      <c r="O570" s="1194" t="s">
        <v>191</v>
      </c>
      <c r="P570" s="731"/>
      <c r="X570" s="383"/>
      <c r="Y570" s="383"/>
      <c r="Z570" s="383"/>
      <c r="AA570" s="383"/>
      <c r="AB570" s="383"/>
      <c r="AC570" s="383"/>
      <c r="AD570" s="383"/>
      <c r="AE570" s="383"/>
      <c r="AF570" s="383"/>
      <c r="AG570" s="383"/>
      <c r="AH570" s="383"/>
      <c r="AI570" s="383"/>
      <c r="AJ570" s="383"/>
      <c r="AK570" s="383"/>
      <c r="AL570" s="383"/>
      <c r="AM570" s="383"/>
      <c r="AN570" s="383"/>
      <c r="AO570" s="383"/>
      <c r="AP570" s="383"/>
      <c r="AQ570" s="383"/>
      <c r="AR570" s="383"/>
    </row>
    <row r="571" spans="2:44" s="639" customFormat="1" ht="12" customHeight="1">
      <c r="B571" s="638"/>
      <c r="J571" s="732" t="s">
        <v>2766</v>
      </c>
      <c r="K571" s="733"/>
      <c r="L571" s="730"/>
      <c r="M571" s="731"/>
      <c r="N571" s="1194" t="s">
        <v>746</v>
      </c>
      <c r="O571" s="1194" t="s">
        <v>777</v>
      </c>
      <c r="P571" s="731"/>
      <c r="X571" s="383"/>
      <c r="Y571" s="383"/>
      <c r="Z571" s="383"/>
      <c r="AA571" s="383"/>
      <c r="AB571" s="383"/>
      <c r="AC571" s="383"/>
      <c r="AD571" s="383"/>
      <c r="AE571" s="383"/>
      <c r="AF571" s="383"/>
      <c r="AG571" s="383"/>
      <c r="AH571" s="383"/>
      <c r="AI571" s="383"/>
      <c r="AJ571" s="383"/>
      <c r="AK571" s="383"/>
      <c r="AL571" s="383"/>
      <c r="AM571" s="383"/>
      <c r="AN571" s="383"/>
      <c r="AO571" s="383"/>
      <c r="AP571" s="383"/>
      <c r="AQ571" s="383"/>
      <c r="AR571" s="383"/>
    </row>
    <row r="572" spans="2:44" s="639" customFormat="1" ht="12" customHeight="1">
      <c r="B572" s="638"/>
      <c r="J572" s="732" t="s">
        <v>2609</v>
      </c>
      <c r="K572" s="733"/>
      <c r="L572" s="730"/>
      <c r="M572" s="731"/>
      <c r="N572" s="1194" t="s">
        <v>748</v>
      </c>
      <c r="O572" s="1194" t="s">
        <v>1164</v>
      </c>
      <c r="P572" s="731"/>
      <c r="X572" s="383"/>
      <c r="Y572" s="383"/>
      <c r="Z572" s="383"/>
      <c r="AA572" s="383"/>
      <c r="AB572" s="383"/>
      <c r="AC572" s="383"/>
      <c r="AD572" s="383"/>
      <c r="AE572" s="383"/>
      <c r="AF572" s="383"/>
      <c r="AG572" s="383"/>
      <c r="AH572" s="383"/>
      <c r="AI572" s="383"/>
      <c r="AJ572" s="383"/>
      <c r="AK572" s="383"/>
      <c r="AL572" s="383"/>
      <c r="AM572" s="383"/>
      <c r="AN572" s="383"/>
      <c r="AO572" s="383"/>
      <c r="AP572" s="383"/>
      <c r="AQ572" s="383"/>
      <c r="AR572" s="383"/>
    </row>
    <row r="573" spans="2:44" s="639" customFormat="1" ht="12" customHeight="1">
      <c r="B573" s="638"/>
      <c r="J573" s="732" t="s">
        <v>1947</v>
      </c>
      <c r="K573" s="733"/>
      <c r="L573" s="730"/>
      <c r="M573" s="731"/>
      <c r="N573" s="1194" t="s">
        <v>2425</v>
      </c>
      <c r="O573" s="1194" t="s">
        <v>1277</v>
      </c>
      <c r="P573" s="731"/>
      <c r="X573" s="383"/>
      <c r="Y573" s="383"/>
      <c r="Z573" s="383"/>
      <c r="AA573" s="383"/>
      <c r="AB573" s="383"/>
      <c r="AC573" s="383"/>
      <c r="AD573" s="383"/>
      <c r="AE573" s="383"/>
      <c r="AF573" s="383"/>
      <c r="AG573" s="383"/>
      <c r="AH573" s="383"/>
      <c r="AI573" s="383"/>
      <c r="AJ573" s="383"/>
      <c r="AK573" s="383"/>
      <c r="AL573" s="383"/>
      <c r="AM573" s="383"/>
      <c r="AN573" s="383"/>
      <c r="AO573" s="383"/>
      <c r="AP573" s="383"/>
      <c r="AQ573" s="383"/>
      <c r="AR573" s="383"/>
    </row>
    <row r="574" spans="2:44" s="639" customFormat="1" ht="12" customHeight="1">
      <c r="B574" s="638"/>
      <c r="J574" s="732" t="s">
        <v>1949</v>
      </c>
      <c r="K574" s="733"/>
      <c r="L574" s="730"/>
      <c r="M574" s="731"/>
      <c r="N574" s="1194" t="s">
        <v>2425</v>
      </c>
      <c r="O574" s="1194" t="s">
        <v>1277</v>
      </c>
      <c r="P574" s="731"/>
      <c r="X574" s="383"/>
      <c r="Y574" s="383"/>
      <c r="Z574" s="383"/>
      <c r="AA574" s="383"/>
      <c r="AB574" s="383"/>
      <c r="AC574" s="383"/>
      <c r="AD574" s="383"/>
      <c r="AE574" s="383"/>
      <c r="AF574" s="383"/>
      <c r="AG574" s="383"/>
      <c r="AH574" s="383"/>
      <c r="AI574" s="383"/>
      <c r="AJ574" s="383"/>
      <c r="AK574" s="383"/>
      <c r="AL574" s="383"/>
      <c r="AM574" s="383"/>
      <c r="AN574" s="383"/>
      <c r="AO574" s="383"/>
      <c r="AP574" s="383"/>
      <c r="AQ574" s="383"/>
      <c r="AR574" s="383"/>
    </row>
    <row r="575" spans="2:44" s="639" customFormat="1" ht="12" customHeight="1">
      <c r="B575" s="638"/>
      <c r="J575" s="732" t="s">
        <v>1951</v>
      </c>
      <c r="K575" s="733"/>
      <c r="L575" s="730"/>
      <c r="M575" s="731"/>
      <c r="N575" s="1194" t="s">
        <v>47</v>
      </c>
      <c r="O575" s="1194" t="s">
        <v>1403</v>
      </c>
      <c r="P575" s="731"/>
      <c r="X575" s="383"/>
      <c r="Y575" s="383"/>
      <c r="Z575" s="383"/>
      <c r="AA575" s="383"/>
      <c r="AB575" s="383"/>
      <c r="AC575" s="383"/>
      <c r="AD575" s="383"/>
      <c r="AE575" s="383"/>
      <c r="AF575" s="383"/>
      <c r="AG575" s="383"/>
      <c r="AH575" s="383"/>
      <c r="AI575" s="383"/>
      <c r="AJ575" s="383"/>
      <c r="AK575" s="383"/>
      <c r="AL575" s="383"/>
      <c r="AM575" s="383"/>
      <c r="AN575" s="383"/>
      <c r="AO575" s="383"/>
      <c r="AP575" s="383"/>
      <c r="AQ575" s="383"/>
      <c r="AR575" s="383"/>
    </row>
    <row r="576" spans="2:44" s="639" customFormat="1" ht="12" customHeight="1">
      <c r="B576" s="638"/>
      <c r="J576" s="732" t="s">
        <v>1952</v>
      </c>
      <c r="K576" s="733"/>
      <c r="L576" s="730"/>
      <c r="M576" s="731"/>
      <c r="N576" s="1194" t="s">
        <v>2388</v>
      </c>
      <c r="O576" s="1194" t="s">
        <v>1397</v>
      </c>
      <c r="P576" s="731"/>
      <c r="X576" s="383"/>
      <c r="Y576" s="383"/>
      <c r="Z576" s="383"/>
      <c r="AA576" s="383"/>
      <c r="AB576" s="383"/>
      <c r="AC576" s="383"/>
      <c r="AD576" s="383"/>
      <c r="AE576" s="383"/>
      <c r="AF576" s="383"/>
      <c r="AG576" s="383"/>
      <c r="AH576" s="383"/>
      <c r="AI576" s="383"/>
      <c r="AJ576" s="383"/>
      <c r="AK576" s="383"/>
      <c r="AL576" s="383"/>
      <c r="AM576" s="383"/>
      <c r="AN576" s="383"/>
      <c r="AO576" s="383"/>
      <c r="AP576" s="383"/>
      <c r="AQ576" s="383"/>
      <c r="AR576" s="383"/>
    </row>
    <row r="577" spans="2:44" s="639" customFormat="1" ht="12" customHeight="1">
      <c r="B577" s="638"/>
      <c r="J577" s="732" t="s">
        <v>1954</v>
      </c>
      <c r="K577" s="733"/>
      <c r="L577" s="730"/>
      <c r="M577" s="731"/>
      <c r="N577" s="1194" t="s">
        <v>878</v>
      </c>
      <c r="O577" s="1194" t="s">
        <v>182</v>
      </c>
      <c r="P577" s="731"/>
      <c r="X577" s="383"/>
      <c r="Y577" s="383"/>
      <c r="Z577" s="383"/>
      <c r="AA577" s="383"/>
      <c r="AB577" s="383"/>
      <c r="AC577" s="383"/>
      <c r="AD577" s="383"/>
      <c r="AE577" s="383"/>
      <c r="AF577" s="383"/>
      <c r="AG577" s="383"/>
      <c r="AH577" s="383"/>
      <c r="AI577" s="383"/>
      <c r="AJ577" s="383"/>
      <c r="AK577" s="383"/>
      <c r="AL577" s="383"/>
      <c r="AM577" s="383"/>
      <c r="AN577" s="383"/>
      <c r="AO577" s="383"/>
      <c r="AP577" s="383"/>
      <c r="AQ577" s="383"/>
      <c r="AR577" s="383"/>
    </row>
    <row r="578" spans="2:44" s="639" customFormat="1" ht="12" customHeight="1">
      <c r="B578" s="638"/>
      <c r="J578" s="732" t="s">
        <v>1956</v>
      </c>
      <c r="K578" s="733"/>
      <c r="L578" s="730"/>
      <c r="M578" s="731"/>
      <c r="N578" s="1194" t="s">
        <v>1086</v>
      </c>
      <c r="O578" s="1194" t="s">
        <v>1152</v>
      </c>
      <c r="P578" s="731"/>
      <c r="X578" s="383"/>
      <c r="Y578" s="383"/>
      <c r="Z578" s="383"/>
      <c r="AA578" s="383"/>
      <c r="AB578" s="383"/>
      <c r="AC578" s="383"/>
      <c r="AD578" s="383"/>
      <c r="AE578" s="383"/>
      <c r="AF578" s="383"/>
      <c r="AG578" s="383"/>
      <c r="AH578" s="383"/>
      <c r="AI578" s="383"/>
      <c r="AJ578" s="383"/>
      <c r="AK578" s="383"/>
      <c r="AL578" s="383"/>
      <c r="AM578" s="383"/>
      <c r="AN578" s="383"/>
      <c r="AO578" s="383"/>
      <c r="AP578" s="383"/>
      <c r="AQ578" s="383"/>
      <c r="AR578" s="383"/>
    </row>
    <row r="579" spans="2:44" s="639" customFormat="1" ht="12" customHeight="1">
      <c r="B579" s="638"/>
      <c r="J579" s="732" t="s">
        <v>1958</v>
      </c>
      <c r="K579" s="733"/>
      <c r="L579" s="730"/>
      <c r="M579" s="731"/>
      <c r="N579" s="1194" t="s">
        <v>413</v>
      </c>
      <c r="O579" s="1194" t="s">
        <v>2762</v>
      </c>
      <c r="P579" s="731"/>
      <c r="X579" s="383"/>
      <c r="Y579" s="383"/>
      <c r="Z579" s="383"/>
      <c r="AA579" s="383"/>
      <c r="AB579" s="383"/>
      <c r="AC579" s="383"/>
      <c r="AD579" s="383"/>
      <c r="AE579" s="383"/>
      <c r="AF579" s="383"/>
      <c r="AG579" s="383"/>
      <c r="AH579" s="383"/>
      <c r="AI579" s="383"/>
      <c r="AJ579" s="383"/>
      <c r="AK579" s="383"/>
      <c r="AL579" s="383"/>
      <c r="AM579" s="383"/>
      <c r="AN579" s="383"/>
      <c r="AO579" s="383"/>
      <c r="AP579" s="383"/>
      <c r="AQ579" s="383"/>
      <c r="AR579" s="383"/>
    </row>
    <row r="580" spans="2:44" s="639" customFormat="1" ht="12" customHeight="1">
      <c r="B580" s="638"/>
      <c r="J580" s="732" t="s">
        <v>1960</v>
      </c>
      <c r="K580" s="733"/>
      <c r="L580" s="730"/>
      <c r="M580" s="731"/>
      <c r="N580" s="1194" t="s">
        <v>415</v>
      </c>
      <c r="O580" s="1194" t="s">
        <v>2301</v>
      </c>
      <c r="P580" s="731"/>
      <c r="X580" s="383"/>
      <c r="Y580" s="383"/>
      <c r="Z580" s="383"/>
      <c r="AA580" s="383"/>
      <c r="AB580" s="383"/>
      <c r="AC580" s="383"/>
      <c r="AD580" s="383"/>
      <c r="AE580" s="383"/>
      <c r="AF580" s="383"/>
      <c r="AG580" s="383"/>
      <c r="AH580" s="383"/>
      <c r="AI580" s="383"/>
      <c r="AJ580" s="383"/>
      <c r="AK580" s="383"/>
      <c r="AL580" s="383"/>
      <c r="AM580" s="383"/>
      <c r="AN580" s="383"/>
      <c r="AO580" s="383"/>
      <c r="AP580" s="383"/>
      <c r="AQ580" s="383"/>
      <c r="AR580" s="383"/>
    </row>
    <row r="581" spans="2:44" s="639" customFormat="1" ht="12" customHeight="1">
      <c r="B581" s="638"/>
      <c r="J581" s="732" t="s">
        <v>1961</v>
      </c>
      <c r="K581" s="733"/>
      <c r="L581" s="730"/>
      <c r="M581" s="731"/>
      <c r="N581" s="1194" t="s">
        <v>417</v>
      </c>
      <c r="O581" s="1194" t="s">
        <v>2695</v>
      </c>
      <c r="P581" s="731"/>
      <c r="X581" s="383"/>
      <c r="Y581" s="383"/>
      <c r="Z581" s="383"/>
      <c r="AA581" s="383"/>
      <c r="AB581" s="383"/>
      <c r="AC581" s="383"/>
      <c r="AD581" s="383"/>
      <c r="AE581" s="383"/>
      <c r="AF581" s="383"/>
      <c r="AG581" s="383"/>
      <c r="AH581" s="383"/>
      <c r="AI581" s="383"/>
      <c r="AJ581" s="383"/>
      <c r="AK581" s="383"/>
      <c r="AL581" s="383"/>
      <c r="AM581" s="383"/>
      <c r="AN581" s="383"/>
      <c r="AO581" s="383"/>
      <c r="AP581" s="383"/>
      <c r="AQ581" s="383"/>
      <c r="AR581" s="383"/>
    </row>
    <row r="582" spans="2:44" s="639" customFormat="1" ht="12" customHeight="1">
      <c r="B582" s="638"/>
      <c r="J582" s="732" t="s">
        <v>1927</v>
      </c>
      <c r="K582" s="733"/>
      <c r="L582" s="730"/>
      <c r="M582" s="731"/>
      <c r="N582" s="1194" t="s">
        <v>2762</v>
      </c>
      <c r="O582" s="1194" t="s">
        <v>1896</v>
      </c>
      <c r="P582" s="1240"/>
      <c r="X582" s="383"/>
      <c r="Y582" s="383"/>
      <c r="Z582" s="383"/>
      <c r="AA582" s="383"/>
      <c r="AB582" s="383"/>
      <c r="AC582" s="383"/>
      <c r="AD582" s="383"/>
      <c r="AE582" s="383"/>
      <c r="AF582" s="383"/>
      <c r="AG582" s="383"/>
      <c r="AH582" s="383"/>
      <c r="AI582" s="383"/>
      <c r="AJ582" s="383"/>
      <c r="AK582" s="383"/>
      <c r="AL582" s="383"/>
      <c r="AM582" s="383"/>
      <c r="AN582" s="383"/>
      <c r="AO582" s="383"/>
      <c r="AP582" s="383"/>
      <c r="AQ582" s="383"/>
      <c r="AR582" s="383"/>
    </row>
    <row r="583" spans="2:44" s="639" customFormat="1" ht="12" customHeight="1">
      <c r="B583" s="638"/>
      <c r="J583" s="732" t="s">
        <v>1745</v>
      </c>
      <c r="K583" s="733"/>
      <c r="L583" s="730"/>
      <c r="M583" s="731"/>
      <c r="N583" s="1194" t="s">
        <v>1683</v>
      </c>
      <c r="O583" s="1194" t="s">
        <v>2646</v>
      </c>
      <c r="P583" s="731"/>
      <c r="X583" s="383"/>
      <c r="Y583" s="383"/>
      <c r="Z583" s="383"/>
      <c r="AA583" s="383"/>
      <c r="AB583" s="383"/>
      <c r="AC583" s="383"/>
      <c r="AD583" s="383"/>
      <c r="AE583" s="383"/>
      <c r="AF583" s="383"/>
      <c r="AG583" s="383"/>
      <c r="AH583" s="383"/>
      <c r="AI583" s="383"/>
      <c r="AJ583" s="383"/>
      <c r="AK583" s="383"/>
      <c r="AL583" s="383"/>
      <c r="AM583" s="383"/>
      <c r="AN583" s="383"/>
      <c r="AO583" s="383"/>
      <c r="AP583" s="383"/>
      <c r="AQ583" s="383"/>
      <c r="AR583" s="383"/>
    </row>
    <row r="584" spans="2:44" s="639" customFormat="1" ht="12" customHeight="1">
      <c r="B584" s="638"/>
      <c r="J584" s="732" t="s">
        <v>1746</v>
      </c>
      <c r="K584" s="733"/>
      <c r="L584" s="730"/>
      <c r="M584" s="731"/>
      <c r="N584" s="1194" t="s">
        <v>1685</v>
      </c>
      <c r="O584" s="1194" t="s">
        <v>341</v>
      </c>
      <c r="P584" s="731"/>
      <c r="X584" s="383"/>
      <c r="Y584" s="383"/>
      <c r="Z584" s="383"/>
      <c r="AA584" s="383"/>
      <c r="AB584" s="383"/>
      <c r="AC584" s="383"/>
      <c r="AD584" s="383"/>
      <c r="AE584" s="383"/>
      <c r="AF584" s="383"/>
      <c r="AG584" s="383"/>
      <c r="AH584" s="383"/>
      <c r="AI584" s="383"/>
      <c r="AJ584" s="383"/>
      <c r="AK584" s="383"/>
      <c r="AL584" s="383"/>
      <c r="AM584" s="383"/>
      <c r="AN584" s="383"/>
      <c r="AO584" s="383"/>
      <c r="AP584" s="383"/>
      <c r="AQ584" s="383"/>
      <c r="AR584" s="383"/>
    </row>
    <row r="585" spans="2:44" s="639" customFormat="1" ht="12" customHeight="1">
      <c r="B585" s="638"/>
      <c r="J585" s="732" t="s">
        <v>1748</v>
      </c>
      <c r="K585" s="733"/>
      <c r="L585" s="730"/>
      <c r="M585" s="731"/>
      <c r="N585" s="1194" t="s">
        <v>1526</v>
      </c>
      <c r="O585" s="1194" t="s">
        <v>124</v>
      </c>
      <c r="P585" s="731"/>
      <c r="X585" s="383"/>
      <c r="Y585" s="383"/>
      <c r="Z585" s="383"/>
      <c r="AA585" s="383"/>
      <c r="AB585" s="383"/>
      <c r="AC585" s="383"/>
      <c r="AD585" s="383"/>
      <c r="AE585" s="383"/>
      <c r="AF585" s="383"/>
      <c r="AG585" s="383"/>
      <c r="AH585" s="383"/>
      <c r="AI585" s="383"/>
      <c r="AJ585" s="383"/>
      <c r="AK585" s="383"/>
      <c r="AL585" s="383"/>
      <c r="AM585" s="383"/>
      <c r="AN585" s="383"/>
      <c r="AO585" s="383"/>
      <c r="AP585" s="383"/>
      <c r="AQ585" s="383"/>
      <c r="AR585" s="383"/>
    </row>
    <row r="586" spans="2:44" s="639" customFormat="1" ht="12" customHeight="1">
      <c r="B586" s="638"/>
      <c r="J586" s="732" t="s">
        <v>2413</v>
      </c>
      <c r="K586" s="733"/>
      <c r="L586" s="730"/>
      <c r="M586" s="731"/>
      <c r="N586" s="708" t="s">
        <v>2608</v>
      </c>
      <c r="O586" s="708" t="s">
        <v>2648</v>
      </c>
      <c r="P586" s="731"/>
      <c r="X586" s="383"/>
      <c r="Y586" s="383"/>
      <c r="Z586" s="383"/>
      <c r="AA586" s="383"/>
      <c r="AB586" s="383"/>
      <c r="AC586" s="383"/>
      <c r="AD586" s="383"/>
      <c r="AE586" s="383"/>
      <c r="AF586" s="383"/>
      <c r="AG586" s="383"/>
      <c r="AH586" s="383"/>
      <c r="AI586" s="383"/>
      <c r="AJ586" s="383"/>
      <c r="AK586" s="383"/>
      <c r="AL586" s="383"/>
      <c r="AM586" s="383"/>
      <c r="AN586" s="383"/>
      <c r="AO586" s="383"/>
      <c r="AP586" s="383"/>
      <c r="AQ586" s="383"/>
      <c r="AR586" s="383"/>
    </row>
    <row r="587" spans="2:44" s="639" customFormat="1" ht="12" customHeight="1">
      <c r="B587" s="638"/>
      <c r="J587" s="732" t="s">
        <v>587</v>
      </c>
      <c r="K587" s="733"/>
      <c r="L587" s="730"/>
      <c r="M587" s="731"/>
      <c r="N587" s="1194" t="s">
        <v>1119</v>
      </c>
      <c r="O587" s="1194" t="s">
        <v>664</v>
      </c>
      <c r="P587" s="1239"/>
      <c r="X587" s="383"/>
      <c r="Y587" s="383"/>
      <c r="Z587" s="383"/>
      <c r="AA587" s="383"/>
      <c r="AB587" s="383"/>
      <c r="AC587" s="383"/>
      <c r="AD587" s="383"/>
      <c r="AE587" s="383"/>
      <c r="AF587" s="383"/>
      <c r="AG587" s="383"/>
      <c r="AH587" s="383"/>
      <c r="AI587" s="383"/>
      <c r="AJ587" s="383"/>
      <c r="AK587" s="383"/>
      <c r="AL587" s="383"/>
      <c r="AM587" s="383"/>
      <c r="AN587" s="383"/>
      <c r="AO587" s="383"/>
      <c r="AP587" s="383"/>
      <c r="AQ587" s="383"/>
      <c r="AR587" s="383"/>
    </row>
    <row r="588" spans="2:44" s="639" customFormat="1" ht="12" customHeight="1">
      <c r="B588" s="638"/>
      <c r="J588" s="732" t="s">
        <v>589</v>
      </c>
      <c r="K588" s="733"/>
      <c r="L588" s="730"/>
      <c r="M588" s="731"/>
      <c r="N588" s="1194" t="s">
        <v>1120</v>
      </c>
      <c r="O588" s="1194" t="s">
        <v>664</v>
      </c>
      <c r="P588" s="731"/>
      <c r="X588" s="383"/>
      <c r="Y588" s="383"/>
      <c r="Z588" s="383"/>
      <c r="AA588" s="383"/>
      <c r="AB588" s="383"/>
      <c r="AC588" s="383"/>
      <c r="AD588" s="383"/>
      <c r="AE588" s="383"/>
      <c r="AF588" s="383"/>
      <c r="AG588" s="383"/>
      <c r="AH588" s="383"/>
      <c r="AI588" s="383"/>
      <c r="AJ588" s="383"/>
      <c r="AK588" s="383"/>
      <c r="AL588" s="383"/>
      <c r="AM588" s="383"/>
      <c r="AN588" s="383"/>
      <c r="AO588" s="383"/>
      <c r="AP588" s="383"/>
      <c r="AQ588" s="383"/>
      <c r="AR588" s="383"/>
    </row>
    <row r="589" spans="2:44" s="639" customFormat="1" ht="12" customHeight="1">
      <c r="B589" s="638"/>
      <c r="J589" s="732" t="s">
        <v>591</v>
      </c>
      <c r="K589" s="733"/>
      <c r="L589" s="730"/>
      <c r="M589" s="731"/>
      <c r="N589" s="1194" t="s">
        <v>1121</v>
      </c>
      <c r="O589" s="1194" t="s">
        <v>664</v>
      </c>
      <c r="P589" s="731"/>
      <c r="X589" s="383"/>
      <c r="Y589" s="383"/>
      <c r="Z589" s="383"/>
      <c r="AA589" s="383"/>
      <c r="AB589" s="383"/>
      <c r="AC589" s="383"/>
      <c r="AD589" s="383"/>
      <c r="AE589" s="383"/>
      <c r="AF589" s="383"/>
      <c r="AG589" s="383"/>
      <c r="AH589" s="383"/>
      <c r="AI589" s="383"/>
      <c r="AJ589" s="383"/>
      <c r="AK589" s="383"/>
      <c r="AL589" s="383"/>
      <c r="AM589" s="383"/>
      <c r="AN589" s="383"/>
      <c r="AO589" s="383"/>
      <c r="AP589" s="383"/>
      <c r="AQ589" s="383"/>
      <c r="AR589" s="383"/>
    </row>
    <row r="590" spans="2:44" s="639" customFormat="1" ht="12" customHeight="1">
      <c r="B590" s="638"/>
      <c r="J590" s="732" t="s">
        <v>2183</v>
      </c>
      <c r="K590" s="733"/>
      <c r="L590" s="730"/>
      <c r="M590" s="731"/>
      <c r="N590" s="1194" t="s">
        <v>1937</v>
      </c>
      <c r="O590" s="1194" t="s">
        <v>2763</v>
      </c>
      <c r="P590" s="731"/>
      <c r="X590" s="383"/>
      <c r="Y590" s="383"/>
      <c r="Z590" s="383"/>
      <c r="AA590" s="383"/>
      <c r="AB590" s="383"/>
      <c r="AC590" s="383"/>
      <c r="AD590" s="383"/>
      <c r="AE590" s="383"/>
      <c r="AF590" s="383"/>
      <c r="AG590" s="383"/>
      <c r="AH590" s="383"/>
      <c r="AI590" s="383"/>
      <c r="AJ590" s="383"/>
      <c r="AK590" s="383"/>
      <c r="AL590" s="383"/>
      <c r="AM590" s="383"/>
      <c r="AN590" s="383"/>
      <c r="AO590" s="383"/>
      <c r="AP590" s="383"/>
      <c r="AQ590" s="383"/>
      <c r="AR590" s="383"/>
    </row>
    <row r="591" spans="2:44" s="639" customFormat="1" ht="12" customHeight="1">
      <c r="B591" s="638"/>
      <c r="J591" s="732" t="s">
        <v>1536</v>
      </c>
      <c r="K591" s="733"/>
      <c r="L591" s="730"/>
      <c r="M591" s="731"/>
      <c r="N591" s="1194" t="s">
        <v>1948</v>
      </c>
      <c r="O591" s="1194" t="s">
        <v>107</v>
      </c>
      <c r="P591" s="731"/>
      <c r="X591" s="383"/>
      <c r="Y591" s="383"/>
      <c r="Z591" s="383"/>
      <c r="AA591" s="383"/>
      <c r="AB591" s="383"/>
      <c r="AC591" s="383"/>
      <c r="AD591" s="383"/>
      <c r="AE591" s="383"/>
      <c r="AF591" s="383"/>
      <c r="AG591" s="383"/>
      <c r="AH591" s="383"/>
      <c r="AI591" s="383"/>
      <c r="AJ591" s="383"/>
      <c r="AK591" s="383"/>
      <c r="AL591" s="383"/>
      <c r="AM591" s="383"/>
      <c r="AN591" s="383"/>
      <c r="AO591" s="383"/>
      <c r="AP591" s="383"/>
      <c r="AQ591" s="383"/>
      <c r="AR591" s="383"/>
    </row>
    <row r="592" spans="2:44" s="639" customFormat="1" ht="12" customHeight="1">
      <c r="B592" s="638"/>
      <c r="J592" s="732" t="s">
        <v>1538</v>
      </c>
      <c r="K592" s="733"/>
      <c r="L592" s="730"/>
      <c r="M592" s="731"/>
      <c r="N592" s="1194" t="s">
        <v>1950</v>
      </c>
      <c r="O592" s="1194" t="s">
        <v>2382</v>
      </c>
      <c r="P592" s="731"/>
      <c r="X592" s="383"/>
      <c r="Y592" s="383"/>
      <c r="Z592" s="383"/>
      <c r="AA592" s="383"/>
      <c r="AB592" s="383"/>
      <c r="AC592" s="383"/>
      <c r="AD592" s="383"/>
      <c r="AE592" s="383"/>
      <c r="AF592" s="383"/>
      <c r="AG592" s="383"/>
      <c r="AH592" s="383"/>
      <c r="AI592" s="383"/>
      <c r="AJ592" s="383"/>
      <c r="AK592" s="383"/>
      <c r="AL592" s="383"/>
      <c r="AM592" s="383"/>
      <c r="AN592" s="383"/>
      <c r="AO592" s="383"/>
      <c r="AP592" s="383"/>
      <c r="AQ592" s="383"/>
      <c r="AR592" s="383"/>
    </row>
    <row r="593" spans="2:44" s="639" customFormat="1" ht="12" customHeight="1">
      <c r="B593" s="638"/>
      <c r="J593" s="732" t="s">
        <v>1539</v>
      </c>
      <c r="K593" s="733"/>
      <c r="L593" s="730"/>
      <c r="M593" s="731"/>
      <c r="N593" s="1194" t="s">
        <v>1953</v>
      </c>
      <c r="O593" s="1194" t="s">
        <v>2382</v>
      </c>
      <c r="P593" s="731"/>
      <c r="X593" s="383"/>
      <c r="Y593" s="383"/>
      <c r="Z593" s="383"/>
      <c r="AA593" s="383"/>
      <c r="AB593" s="383"/>
      <c r="AC593" s="383"/>
      <c r="AD593" s="383"/>
      <c r="AE593" s="383"/>
      <c r="AF593" s="383"/>
      <c r="AG593" s="383"/>
      <c r="AH593" s="383"/>
      <c r="AI593" s="383"/>
      <c r="AJ593" s="383"/>
      <c r="AK593" s="383"/>
      <c r="AL593" s="383"/>
      <c r="AM593" s="383"/>
      <c r="AN593" s="383"/>
      <c r="AO593" s="383"/>
      <c r="AP593" s="383"/>
      <c r="AQ593" s="383"/>
      <c r="AR593" s="383"/>
    </row>
    <row r="594" spans="2:44" s="639" customFormat="1" ht="12" customHeight="1">
      <c r="B594" s="638"/>
      <c r="J594" s="732" t="s">
        <v>1680</v>
      </c>
      <c r="K594" s="733"/>
      <c r="L594" s="730"/>
      <c r="M594" s="731"/>
      <c r="N594" s="1194" t="s">
        <v>1955</v>
      </c>
      <c r="O594" s="1194" t="s">
        <v>329</v>
      </c>
      <c r="P594" s="731"/>
      <c r="X594" s="383"/>
      <c r="Y594" s="383"/>
      <c r="Z594" s="383"/>
      <c r="AA594" s="383"/>
      <c r="AB594" s="383"/>
      <c r="AC594" s="383"/>
      <c r="AD594" s="383"/>
      <c r="AE594" s="383"/>
      <c r="AF594" s="383"/>
      <c r="AG594" s="383"/>
      <c r="AH594" s="383"/>
      <c r="AI594" s="383"/>
      <c r="AJ594" s="383"/>
      <c r="AK594" s="383"/>
      <c r="AL594" s="383"/>
      <c r="AM594" s="383"/>
      <c r="AN594" s="383"/>
      <c r="AO594" s="383"/>
      <c r="AP594" s="383"/>
      <c r="AQ594" s="383"/>
      <c r="AR594" s="383"/>
    </row>
    <row r="595" spans="2:44" s="639" customFormat="1" ht="12" customHeight="1">
      <c r="B595" s="638"/>
      <c r="J595" s="732" t="s">
        <v>2249</v>
      </c>
      <c r="K595" s="733"/>
      <c r="L595" s="730"/>
      <c r="M595" s="731"/>
      <c r="N595" s="1194" t="s">
        <v>1957</v>
      </c>
      <c r="O595" s="1194" t="s">
        <v>1770</v>
      </c>
      <c r="P595" s="731"/>
      <c r="X595" s="383"/>
      <c r="Y595" s="383"/>
      <c r="Z595" s="383"/>
      <c r="AA595" s="383"/>
      <c r="AB595" s="383"/>
      <c r="AC595" s="383"/>
      <c r="AD595" s="383"/>
      <c r="AE595" s="383"/>
      <c r="AF595" s="383"/>
      <c r="AG595" s="383"/>
      <c r="AH595" s="383"/>
      <c r="AI595" s="383"/>
      <c r="AJ595" s="383"/>
      <c r="AK595" s="383"/>
      <c r="AL595" s="383"/>
      <c r="AM595" s="383"/>
      <c r="AN595" s="383"/>
      <c r="AO595" s="383"/>
      <c r="AP595" s="383"/>
      <c r="AQ595" s="383"/>
      <c r="AR595" s="383"/>
    </row>
    <row r="596" spans="2:44" s="639" customFormat="1" ht="12" customHeight="1">
      <c r="B596" s="638"/>
      <c r="J596" s="732" t="s">
        <v>2251</v>
      </c>
      <c r="K596" s="733"/>
      <c r="L596" s="730"/>
      <c r="M596" s="731"/>
      <c r="N596" s="1194" t="s">
        <v>1959</v>
      </c>
      <c r="O596" s="1194" t="s">
        <v>339</v>
      </c>
      <c r="P596" s="731"/>
      <c r="R596" s="708" t="s">
        <v>97</v>
      </c>
      <c r="S596" s="708" t="s">
        <v>99</v>
      </c>
      <c r="T596" s="708" t="s">
        <v>98</v>
      </c>
      <c r="X596" s="383"/>
      <c r="Y596" s="383"/>
      <c r="Z596" s="383"/>
      <c r="AA596" s="383"/>
      <c r="AB596" s="383"/>
      <c r="AC596" s="383"/>
      <c r="AD596" s="383"/>
      <c r="AE596" s="383"/>
      <c r="AF596" s="383"/>
      <c r="AG596" s="383"/>
      <c r="AH596" s="383"/>
      <c r="AI596" s="383"/>
      <c r="AJ596" s="383"/>
      <c r="AK596" s="383"/>
      <c r="AL596" s="383"/>
      <c r="AM596" s="383"/>
      <c r="AN596" s="383"/>
      <c r="AO596" s="383"/>
      <c r="AP596" s="383"/>
      <c r="AQ596" s="383"/>
      <c r="AR596" s="383"/>
    </row>
    <row r="597" spans="2:44" s="639" customFormat="1" ht="12" customHeight="1">
      <c r="B597" s="638"/>
      <c r="J597" s="732" t="s">
        <v>2253</v>
      </c>
      <c r="K597" s="733"/>
      <c r="L597" s="730"/>
      <c r="M597" s="731"/>
      <c r="N597" s="708" t="s">
        <v>2763</v>
      </c>
      <c r="O597" s="708" t="s">
        <v>109</v>
      </c>
      <c r="P597" s="731"/>
      <c r="R597" s="708" t="s">
        <v>2734</v>
      </c>
      <c r="S597" s="708" t="s">
        <v>664</v>
      </c>
      <c r="T597" s="1239" t="s">
        <v>2272</v>
      </c>
      <c r="X597" s="383"/>
      <c r="Y597" s="383"/>
      <c r="Z597" s="383"/>
      <c r="AA597" s="383"/>
      <c r="AB597" s="383"/>
      <c r="AC597" s="383"/>
      <c r="AD597" s="383"/>
      <c r="AE597" s="383"/>
      <c r="AF597" s="383"/>
      <c r="AG597" s="383"/>
      <c r="AH597" s="383"/>
      <c r="AI597" s="383"/>
      <c r="AJ597" s="383"/>
      <c r="AK597" s="383"/>
      <c r="AL597" s="383"/>
      <c r="AM597" s="383"/>
      <c r="AN597" s="383"/>
      <c r="AO597" s="383"/>
      <c r="AP597" s="383"/>
      <c r="AQ597" s="383"/>
      <c r="AR597" s="383"/>
    </row>
    <row r="598" spans="2:44" s="639" customFormat="1" ht="12" customHeight="1">
      <c r="B598" s="638"/>
      <c r="J598" s="732" t="s">
        <v>1528</v>
      </c>
      <c r="K598" s="733"/>
      <c r="L598" s="730"/>
      <c r="M598" s="731"/>
      <c r="N598" s="1194" t="s">
        <v>2072</v>
      </c>
      <c r="O598" s="1194" t="s">
        <v>111</v>
      </c>
      <c r="P598" s="1239"/>
      <c r="R598" s="708" t="s">
        <v>2735</v>
      </c>
      <c r="S598" s="708" t="s">
        <v>337</v>
      </c>
      <c r="T598" s="1239" t="s">
        <v>2272</v>
      </c>
      <c r="X598" s="383"/>
      <c r="Y598" s="383"/>
      <c r="Z598" s="383"/>
      <c r="AA598" s="383"/>
      <c r="AB598" s="383"/>
      <c r="AC598" s="383"/>
      <c r="AD598" s="383"/>
      <c r="AE598" s="383"/>
      <c r="AF598" s="383"/>
      <c r="AG598" s="383"/>
      <c r="AH598" s="383"/>
      <c r="AI598" s="383"/>
      <c r="AJ598" s="383"/>
      <c r="AK598" s="383"/>
      <c r="AL598" s="383"/>
      <c r="AM598" s="383"/>
      <c r="AN598" s="383"/>
      <c r="AO598" s="383"/>
      <c r="AP598" s="383"/>
      <c r="AQ598" s="383"/>
      <c r="AR598" s="383"/>
    </row>
    <row r="599" spans="2:44" s="639" customFormat="1" ht="12" customHeight="1">
      <c r="B599" s="638"/>
      <c r="J599" s="732" t="s">
        <v>1530</v>
      </c>
      <c r="K599" s="733"/>
      <c r="L599" s="730"/>
      <c r="M599" s="731"/>
      <c r="N599" s="1194" t="s">
        <v>1928</v>
      </c>
      <c r="O599" s="1194" t="s">
        <v>1153</v>
      </c>
      <c r="P599" s="731"/>
      <c r="R599" s="708" t="s">
        <v>2736</v>
      </c>
      <c r="S599" s="708" t="s">
        <v>2642</v>
      </c>
      <c r="T599" s="1239" t="s">
        <v>2272</v>
      </c>
      <c r="X599" s="383"/>
      <c r="Y599" s="383"/>
      <c r="Z599" s="383"/>
      <c r="AA599" s="383"/>
      <c r="AB599" s="383"/>
      <c r="AC599" s="383"/>
      <c r="AD599" s="383"/>
      <c r="AE599" s="383"/>
      <c r="AF599" s="383"/>
      <c r="AG599" s="383"/>
      <c r="AH599" s="383"/>
      <c r="AI599" s="383"/>
      <c r="AJ599" s="383"/>
      <c r="AK599" s="383"/>
      <c r="AL599" s="383"/>
      <c r="AM599" s="383"/>
      <c r="AN599" s="383"/>
      <c r="AO599" s="383"/>
      <c r="AP599" s="383"/>
      <c r="AQ599" s="383"/>
      <c r="AR599" s="383"/>
    </row>
    <row r="600" spans="2:44" s="639" customFormat="1" ht="12" customHeight="1">
      <c r="B600" s="638"/>
      <c r="J600" s="732" t="s">
        <v>1654</v>
      </c>
      <c r="K600" s="733"/>
      <c r="L600" s="730"/>
      <c r="M600" s="731"/>
      <c r="N600" s="1194" t="s">
        <v>2764</v>
      </c>
      <c r="O600" s="1194" t="s">
        <v>1400</v>
      </c>
      <c r="P600" s="731"/>
      <c r="R600" s="708" t="s">
        <v>2737</v>
      </c>
      <c r="S600" s="708"/>
      <c r="T600" s="1239" t="s">
        <v>2272</v>
      </c>
      <c r="X600" s="383"/>
      <c r="Y600" s="383"/>
      <c r="Z600" s="383"/>
      <c r="AA600" s="383"/>
      <c r="AB600" s="383"/>
      <c r="AC600" s="383"/>
      <c r="AD600" s="383"/>
      <c r="AE600" s="383"/>
      <c r="AF600" s="383"/>
      <c r="AG600" s="383"/>
      <c r="AH600" s="383"/>
      <c r="AI600" s="383"/>
      <c r="AJ600" s="383"/>
      <c r="AK600" s="383"/>
      <c r="AL600" s="383"/>
      <c r="AM600" s="383"/>
      <c r="AN600" s="383"/>
      <c r="AO600" s="383"/>
      <c r="AP600" s="383"/>
      <c r="AQ600" s="383"/>
      <c r="AR600" s="383"/>
    </row>
    <row r="601" spans="2:44" s="639" customFormat="1" ht="12" customHeight="1">
      <c r="B601" s="638"/>
      <c r="J601" s="732" t="s">
        <v>1656</v>
      </c>
      <c r="K601" s="733"/>
      <c r="L601" s="730"/>
      <c r="M601" s="731"/>
      <c r="N601" s="1194" t="s">
        <v>1747</v>
      </c>
      <c r="O601" s="1194" t="s">
        <v>2301</v>
      </c>
      <c r="P601" s="731"/>
      <c r="R601" s="708" t="s">
        <v>2738</v>
      </c>
      <c r="S601" s="708" t="s">
        <v>2135</v>
      </c>
      <c r="T601" s="1239" t="s">
        <v>2272</v>
      </c>
      <c r="X601" s="383"/>
      <c r="Y601" s="383"/>
      <c r="Z601" s="383"/>
      <c r="AA601" s="383"/>
      <c r="AB601" s="383"/>
      <c r="AC601" s="383"/>
      <c r="AD601" s="383"/>
      <c r="AE601" s="383"/>
      <c r="AF601" s="383"/>
      <c r="AG601" s="383"/>
      <c r="AH601" s="383"/>
      <c r="AI601" s="383"/>
      <c r="AJ601" s="383"/>
      <c r="AK601" s="383"/>
      <c r="AL601" s="383"/>
      <c r="AM601" s="383"/>
      <c r="AN601" s="383"/>
      <c r="AO601" s="383"/>
      <c r="AP601" s="383"/>
      <c r="AQ601" s="383"/>
      <c r="AR601" s="383"/>
    </row>
    <row r="602" spans="2:44" s="639" customFormat="1" ht="12" customHeight="1">
      <c r="B602" s="638"/>
      <c r="J602" s="732" t="s">
        <v>2181</v>
      </c>
      <c r="K602" s="733"/>
      <c r="L602" s="730"/>
      <c r="M602" s="731"/>
      <c r="N602" s="1194" t="s">
        <v>879</v>
      </c>
      <c r="O602" s="1194" t="s">
        <v>2308</v>
      </c>
      <c r="P602" s="731"/>
      <c r="R602" s="708" t="s">
        <v>2739</v>
      </c>
      <c r="S602" s="708" t="s">
        <v>2642</v>
      </c>
      <c r="T602" s="1239" t="s">
        <v>2272</v>
      </c>
      <c r="X602" s="383"/>
      <c r="Y602" s="383"/>
      <c r="Z602" s="383"/>
      <c r="AA602" s="383"/>
      <c r="AB602" s="383"/>
      <c r="AC602" s="383"/>
      <c r="AD602" s="383"/>
      <c r="AE602" s="383"/>
      <c r="AF602" s="383"/>
      <c r="AG602" s="383"/>
      <c r="AH602" s="383"/>
      <c r="AI602" s="383"/>
      <c r="AJ602" s="383"/>
      <c r="AK602" s="383"/>
      <c r="AL602" s="383"/>
      <c r="AM602" s="383"/>
      <c r="AN602" s="383"/>
      <c r="AO602" s="383"/>
      <c r="AP602" s="383"/>
      <c r="AQ602" s="383"/>
      <c r="AR602" s="383"/>
    </row>
    <row r="603" spans="2:44" s="639" customFormat="1" ht="12" customHeight="1">
      <c r="B603" s="638"/>
      <c r="J603" s="732" t="s">
        <v>1994</v>
      </c>
      <c r="K603" s="733"/>
      <c r="L603" s="730"/>
      <c r="M603" s="731"/>
      <c r="N603" s="1194" t="s">
        <v>2412</v>
      </c>
      <c r="O603" s="1194" t="s">
        <v>1772</v>
      </c>
      <c r="P603" s="731"/>
      <c r="R603" s="708" t="s">
        <v>2740</v>
      </c>
      <c r="S603" s="708" t="s">
        <v>1407</v>
      </c>
      <c r="T603" s="1239" t="s">
        <v>2272</v>
      </c>
      <c r="X603" s="383"/>
      <c r="Y603" s="383"/>
      <c r="Z603" s="383"/>
      <c r="AA603" s="383"/>
      <c r="AB603" s="383"/>
      <c r="AC603" s="383"/>
      <c r="AD603" s="383"/>
      <c r="AE603" s="383"/>
      <c r="AF603" s="383"/>
      <c r="AG603" s="383"/>
      <c r="AH603" s="383"/>
      <c r="AI603" s="383"/>
      <c r="AJ603" s="383"/>
      <c r="AK603" s="383"/>
      <c r="AL603" s="383"/>
      <c r="AM603" s="383"/>
      <c r="AN603" s="383"/>
      <c r="AO603" s="383"/>
      <c r="AP603" s="383"/>
      <c r="AQ603" s="383"/>
      <c r="AR603" s="383"/>
    </row>
    <row r="604" spans="2:44" s="639" customFormat="1" ht="12" customHeight="1">
      <c r="B604" s="638"/>
      <c r="J604" s="732" t="s">
        <v>292</v>
      </c>
      <c r="K604" s="733"/>
      <c r="L604" s="730"/>
      <c r="M604" s="731"/>
      <c r="N604" s="1194" t="s">
        <v>2414</v>
      </c>
      <c r="O604" s="1194" t="s">
        <v>2305</v>
      </c>
      <c r="P604" s="731"/>
      <c r="R604" s="708" t="s">
        <v>2741</v>
      </c>
      <c r="S604" s="708" t="s">
        <v>2137</v>
      </c>
      <c r="T604" s="1239" t="s">
        <v>2272</v>
      </c>
      <c r="X604" s="383"/>
      <c r="Y604" s="383"/>
      <c r="Z604" s="383"/>
      <c r="AA604" s="383"/>
      <c r="AB604" s="383"/>
      <c r="AC604" s="383"/>
      <c r="AD604" s="383"/>
      <c r="AE604" s="383"/>
      <c r="AF604" s="383"/>
      <c r="AG604" s="383"/>
      <c r="AH604" s="383"/>
      <c r="AI604" s="383"/>
      <c r="AJ604" s="383"/>
      <c r="AK604" s="383"/>
      <c r="AL604" s="383"/>
      <c r="AM604" s="383"/>
      <c r="AN604" s="383"/>
      <c r="AO604" s="383"/>
      <c r="AP604" s="383"/>
      <c r="AQ604" s="383"/>
      <c r="AR604" s="383"/>
    </row>
    <row r="605" spans="2:44" s="639" customFormat="1" ht="12" customHeight="1">
      <c r="B605" s="638"/>
      <c r="J605" s="732" t="s">
        <v>1794</v>
      </c>
      <c r="K605" s="733"/>
      <c r="L605" s="730"/>
      <c r="M605" s="731"/>
      <c r="N605" s="1194" t="s">
        <v>588</v>
      </c>
      <c r="O605" s="1194" t="s">
        <v>2762</v>
      </c>
      <c r="P605" s="731"/>
      <c r="R605" s="708" t="s">
        <v>2742</v>
      </c>
      <c r="S605" s="708" t="s">
        <v>706</v>
      </c>
      <c r="T605" s="1239" t="s">
        <v>2272</v>
      </c>
      <c r="X605" s="383"/>
      <c r="Y605" s="383"/>
      <c r="Z605" s="383"/>
      <c r="AA605" s="383"/>
      <c r="AB605" s="383"/>
      <c r="AC605" s="383"/>
      <c r="AD605" s="383"/>
      <c r="AE605" s="383"/>
      <c r="AF605" s="383"/>
      <c r="AG605" s="383"/>
      <c r="AH605" s="383"/>
      <c r="AI605" s="383"/>
      <c r="AJ605" s="383"/>
      <c r="AK605" s="383"/>
      <c r="AL605" s="383"/>
      <c r="AM605" s="383"/>
      <c r="AN605" s="383"/>
      <c r="AO605" s="383"/>
      <c r="AP605" s="383"/>
      <c r="AQ605" s="383"/>
      <c r="AR605" s="383"/>
    </row>
    <row r="606" spans="2:44" s="639" customFormat="1" ht="12" customHeight="1">
      <c r="B606" s="638"/>
      <c r="J606" s="732" t="s">
        <v>275</v>
      </c>
      <c r="K606" s="733"/>
      <c r="L606" s="730"/>
      <c r="M606" s="731"/>
      <c r="N606" s="1194" t="s">
        <v>590</v>
      </c>
      <c r="O606" s="1194" t="s">
        <v>1277</v>
      </c>
      <c r="P606" s="731"/>
      <c r="R606" s="708" t="s">
        <v>2743</v>
      </c>
      <c r="S606" s="708" t="s">
        <v>664</v>
      </c>
      <c r="T606" s="1239" t="s">
        <v>2272</v>
      </c>
      <c r="X606" s="383"/>
      <c r="Y606" s="383"/>
      <c r="Z606" s="383"/>
      <c r="AA606" s="383"/>
      <c r="AB606" s="383"/>
      <c r="AC606" s="383"/>
      <c r="AD606" s="383"/>
      <c r="AE606" s="383"/>
      <c r="AF606" s="383"/>
      <c r="AG606" s="383"/>
      <c r="AH606" s="383"/>
      <c r="AI606" s="383"/>
      <c r="AJ606" s="383"/>
      <c r="AK606" s="383"/>
      <c r="AL606" s="383"/>
      <c r="AM606" s="383"/>
      <c r="AN606" s="383"/>
      <c r="AO606" s="383"/>
      <c r="AP606" s="383"/>
      <c r="AQ606" s="383"/>
      <c r="AR606" s="383"/>
    </row>
    <row r="607" spans="2:44" s="639" customFormat="1" ht="12" customHeight="1">
      <c r="B607" s="638"/>
      <c r="J607" s="732" t="s">
        <v>289</v>
      </c>
      <c r="K607" s="733"/>
      <c r="L607" s="730"/>
      <c r="M607" s="731"/>
      <c r="N607" s="1194" t="s">
        <v>1122</v>
      </c>
      <c r="O607" s="1194" t="s">
        <v>664</v>
      </c>
      <c r="P607" s="731"/>
      <c r="R607" s="708" t="s">
        <v>2744</v>
      </c>
      <c r="S607" s="708" t="s">
        <v>2305</v>
      </c>
      <c r="T607" s="1239" t="s">
        <v>2272</v>
      </c>
      <c r="X607" s="383"/>
      <c r="Y607" s="383"/>
      <c r="Z607" s="383"/>
      <c r="AA607" s="383"/>
      <c r="AB607" s="383"/>
      <c r="AC607" s="383"/>
      <c r="AD607" s="383"/>
      <c r="AE607" s="383"/>
      <c r="AF607" s="383"/>
      <c r="AG607" s="383"/>
      <c r="AH607" s="383"/>
      <c r="AI607" s="383"/>
      <c r="AJ607" s="383"/>
      <c r="AK607" s="383"/>
      <c r="AL607" s="383"/>
      <c r="AM607" s="383"/>
      <c r="AN607" s="383"/>
      <c r="AO607" s="383"/>
      <c r="AP607" s="383"/>
      <c r="AQ607" s="383"/>
      <c r="AR607" s="383"/>
    </row>
    <row r="608" spans="2:44" s="639" customFormat="1" ht="12" customHeight="1">
      <c r="B608" s="638"/>
      <c r="J608" s="732" t="s">
        <v>1249</v>
      </c>
      <c r="K608" s="733"/>
      <c r="L608" s="730"/>
      <c r="M608" s="731"/>
      <c r="N608" s="1194" t="s">
        <v>592</v>
      </c>
      <c r="O608" s="1194" t="s">
        <v>1769</v>
      </c>
      <c r="P608" s="731"/>
      <c r="R608" s="708" t="s">
        <v>2745</v>
      </c>
      <c r="S608" s="708" t="s">
        <v>2695</v>
      </c>
      <c r="T608" s="1239" t="s">
        <v>2272</v>
      </c>
      <c r="X608" s="383"/>
      <c r="Y608" s="383"/>
      <c r="Z608" s="383"/>
      <c r="AA608" s="383"/>
      <c r="AB608" s="383"/>
      <c r="AC608" s="383"/>
      <c r="AD608" s="383"/>
      <c r="AE608" s="383"/>
      <c r="AF608" s="383"/>
      <c r="AG608" s="383"/>
      <c r="AH608" s="383"/>
      <c r="AI608" s="383"/>
      <c r="AJ608" s="383"/>
      <c r="AK608" s="383"/>
      <c r="AL608" s="383"/>
      <c r="AM608" s="383"/>
      <c r="AN608" s="383"/>
      <c r="AO608" s="383"/>
      <c r="AP608" s="383"/>
      <c r="AQ608" s="383"/>
      <c r="AR608" s="383"/>
    </row>
    <row r="609" spans="2:44" s="639" customFormat="1" ht="12" customHeight="1">
      <c r="B609" s="638"/>
      <c r="J609" s="732" t="s">
        <v>787</v>
      </c>
      <c r="K609" s="733"/>
      <c r="L609" s="730"/>
      <c r="M609" s="731"/>
      <c r="N609" s="1194" t="s">
        <v>1243</v>
      </c>
      <c r="O609" s="1194" t="s">
        <v>1153</v>
      </c>
      <c r="P609" s="731"/>
      <c r="R609" s="708" t="s">
        <v>2384</v>
      </c>
      <c r="S609" s="708" t="s">
        <v>2692</v>
      </c>
      <c r="T609" s="1239" t="s">
        <v>2272</v>
      </c>
      <c r="X609" s="383"/>
      <c r="Y609" s="383"/>
      <c r="Z609" s="383"/>
      <c r="AA609" s="383"/>
      <c r="AB609" s="383"/>
      <c r="AC609" s="383"/>
      <c r="AD609" s="383"/>
      <c r="AE609" s="383"/>
      <c r="AF609" s="383"/>
      <c r="AG609" s="383"/>
      <c r="AH609" s="383"/>
      <c r="AI609" s="383"/>
      <c r="AJ609" s="383"/>
      <c r="AK609" s="383"/>
      <c r="AL609" s="383"/>
      <c r="AM609" s="383"/>
      <c r="AN609" s="383"/>
      <c r="AO609" s="383"/>
      <c r="AP609" s="383"/>
      <c r="AQ609" s="383"/>
      <c r="AR609" s="383"/>
    </row>
    <row r="610" spans="2:44" s="639" customFormat="1" ht="12" customHeight="1">
      <c r="B610" s="638"/>
      <c r="J610" s="732" t="s">
        <v>789</v>
      </c>
      <c r="K610" s="733"/>
      <c r="L610" s="730"/>
      <c r="M610" s="731"/>
      <c r="N610" s="1194" t="s">
        <v>1537</v>
      </c>
      <c r="O610" s="1194" t="s">
        <v>1770</v>
      </c>
      <c r="P610" s="731"/>
      <c r="R610" s="708" t="s">
        <v>2746</v>
      </c>
      <c r="S610" s="708" t="s">
        <v>2305</v>
      </c>
      <c r="T610" s="1239" t="s">
        <v>2272</v>
      </c>
      <c r="X610" s="383"/>
      <c r="Y610" s="383"/>
      <c r="Z610" s="383"/>
      <c r="AA610" s="383"/>
      <c r="AB610" s="383"/>
      <c r="AC610" s="383"/>
      <c r="AD610" s="383"/>
      <c r="AE610" s="383"/>
      <c r="AF610" s="383"/>
      <c r="AG610" s="383"/>
      <c r="AH610" s="383"/>
      <c r="AI610" s="383"/>
      <c r="AJ610" s="383"/>
      <c r="AK610" s="383"/>
      <c r="AL610" s="383"/>
      <c r="AM610" s="383"/>
      <c r="AN610" s="383"/>
      <c r="AO610" s="383"/>
      <c r="AP610" s="383"/>
      <c r="AQ610" s="383"/>
      <c r="AR610" s="383"/>
    </row>
    <row r="611" spans="2:44" s="639" customFormat="1" ht="12" customHeight="1">
      <c r="B611" s="638"/>
      <c r="J611" s="732" t="s">
        <v>1083</v>
      </c>
      <c r="K611" s="733"/>
      <c r="L611" s="730"/>
      <c r="M611" s="731"/>
      <c r="N611" s="1194" t="s">
        <v>3253</v>
      </c>
      <c r="O611" s="1194" t="s">
        <v>1399</v>
      </c>
      <c r="P611" s="731"/>
      <c r="R611" s="708" t="s">
        <v>2747</v>
      </c>
      <c r="S611" s="708" t="s">
        <v>2645</v>
      </c>
      <c r="T611" s="1239" t="s">
        <v>2272</v>
      </c>
      <c r="X611" s="383"/>
      <c r="Y611" s="383"/>
      <c r="Z611" s="383"/>
      <c r="AA611" s="383"/>
      <c r="AB611" s="383"/>
      <c r="AC611" s="383"/>
      <c r="AD611" s="383"/>
      <c r="AE611" s="383"/>
      <c r="AF611" s="383"/>
      <c r="AG611" s="383"/>
      <c r="AH611" s="383"/>
      <c r="AI611" s="383"/>
      <c r="AJ611" s="383"/>
      <c r="AK611" s="383"/>
      <c r="AL611" s="383"/>
      <c r="AM611" s="383"/>
      <c r="AN611" s="383"/>
      <c r="AO611" s="383"/>
      <c r="AP611" s="383"/>
      <c r="AQ611" s="383"/>
      <c r="AR611" s="383"/>
    </row>
    <row r="612" spans="2:44" s="639" customFormat="1" ht="12" customHeight="1">
      <c r="B612" s="638"/>
      <c r="J612" s="732" t="s">
        <v>1085</v>
      </c>
      <c r="K612" s="733"/>
      <c r="L612" s="730"/>
      <c r="M612" s="731"/>
      <c r="N612" s="1194" t="s">
        <v>1540</v>
      </c>
      <c r="O612" s="1194" t="s">
        <v>697</v>
      </c>
      <c r="P612" s="1240"/>
      <c r="R612" s="708" t="s">
        <v>2748</v>
      </c>
      <c r="S612" s="708" t="s">
        <v>2135</v>
      </c>
      <c r="T612" s="1239" t="s">
        <v>2272</v>
      </c>
      <c r="X612" s="383"/>
      <c r="Y612" s="383"/>
      <c r="Z612" s="383"/>
      <c r="AA612" s="383"/>
      <c r="AB612" s="383"/>
      <c r="AC612" s="383"/>
      <c r="AD612" s="383"/>
      <c r="AE612" s="383"/>
      <c r="AF612" s="383"/>
      <c r="AG612" s="383"/>
      <c r="AH612" s="383"/>
      <c r="AI612" s="383"/>
      <c r="AJ612" s="383"/>
      <c r="AK612" s="383"/>
      <c r="AL612" s="383"/>
      <c r="AM612" s="383"/>
      <c r="AN612" s="383"/>
      <c r="AO612" s="383"/>
      <c r="AP612" s="383"/>
      <c r="AQ612" s="383"/>
      <c r="AR612" s="383"/>
    </row>
    <row r="613" spans="2:44" s="639" customFormat="1" ht="12" customHeight="1">
      <c r="B613" s="638"/>
      <c r="J613" s="732" t="s">
        <v>1932</v>
      </c>
      <c r="K613" s="733"/>
      <c r="L613" s="730"/>
      <c r="M613" s="731"/>
      <c r="N613" s="708" t="s">
        <v>3254</v>
      </c>
      <c r="O613" s="708" t="s">
        <v>124</v>
      </c>
      <c r="P613" s="731"/>
      <c r="R613" s="708" t="s">
        <v>1104</v>
      </c>
      <c r="S613" s="708" t="s">
        <v>1545</v>
      </c>
      <c r="T613" s="1239" t="s">
        <v>2272</v>
      </c>
      <c r="X613" s="383"/>
      <c r="Y613" s="383"/>
      <c r="Z613" s="383"/>
      <c r="AA613" s="383"/>
      <c r="AB613" s="383"/>
      <c r="AC613" s="383"/>
      <c r="AD613" s="383"/>
      <c r="AE613" s="383"/>
      <c r="AF613" s="383"/>
      <c r="AG613" s="383"/>
      <c r="AH613" s="383"/>
      <c r="AI613" s="383"/>
      <c r="AJ613" s="383"/>
      <c r="AK613" s="383"/>
      <c r="AL613" s="383"/>
      <c r="AM613" s="383"/>
      <c r="AN613" s="383"/>
      <c r="AO613" s="383"/>
      <c r="AP613" s="383"/>
      <c r="AQ613" s="383"/>
      <c r="AR613" s="383"/>
    </row>
    <row r="614" spans="2:44" s="639" customFormat="1" ht="12" customHeight="1">
      <c r="B614" s="638"/>
      <c r="J614" s="732" t="s">
        <v>1934</v>
      </c>
      <c r="K614" s="733"/>
      <c r="L614" s="730"/>
      <c r="M614" s="731"/>
      <c r="N614" s="1194" t="s">
        <v>1681</v>
      </c>
      <c r="O614" s="1194" t="s">
        <v>1892</v>
      </c>
      <c r="P614" s="1239"/>
      <c r="R614" s="708" t="s">
        <v>954</v>
      </c>
      <c r="S614" s="708" t="s">
        <v>1162</v>
      </c>
      <c r="T614" s="1239" t="s">
        <v>2272</v>
      </c>
      <c r="X614" s="383"/>
      <c r="Y614" s="383"/>
      <c r="Z614" s="383"/>
      <c r="AA614" s="383"/>
      <c r="AB614" s="383"/>
      <c r="AC614" s="383"/>
      <c r="AD614" s="383"/>
      <c r="AE614" s="383"/>
      <c r="AF614" s="383"/>
      <c r="AG614" s="383"/>
      <c r="AH614" s="383"/>
      <c r="AI614" s="383"/>
      <c r="AJ614" s="383"/>
      <c r="AK614" s="383"/>
      <c r="AL614" s="383"/>
      <c r="AM614" s="383"/>
      <c r="AN614" s="383"/>
      <c r="AO614" s="383"/>
      <c r="AP614" s="383"/>
      <c r="AQ614" s="383"/>
      <c r="AR614" s="383"/>
    </row>
    <row r="615" spans="2:44" s="639" customFormat="1" ht="12" customHeight="1">
      <c r="B615" s="638"/>
      <c r="J615" s="732" t="s">
        <v>1935</v>
      </c>
      <c r="K615" s="733"/>
      <c r="L615" s="730"/>
      <c r="M615" s="731"/>
      <c r="N615" s="1194" t="s">
        <v>2250</v>
      </c>
      <c r="O615" s="1194" t="s">
        <v>1735</v>
      </c>
      <c r="P615" s="731"/>
      <c r="R615" s="708" t="s">
        <v>1105</v>
      </c>
      <c r="S615" s="708" t="s">
        <v>664</v>
      </c>
      <c r="T615" s="1239" t="s">
        <v>2272</v>
      </c>
      <c r="X615" s="383"/>
      <c r="Y615" s="383"/>
      <c r="Z615" s="383"/>
      <c r="AA615" s="383"/>
      <c r="AB615" s="383"/>
      <c r="AC615" s="383"/>
      <c r="AD615" s="383"/>
      <c r="AE615" s="383"/>
      <c r="AF615" s="383"/>
      <c r="AG615" s="383"/>
      <c r="AH615" s="383"/>
      <c r="AI615" s="383"/>
      <c r="AJ615" s="383"/>
      <c r="AK615" s="383"/>
      <c r="AL615" s="383"/>
      <c r="AM615" s="383"/>
      <c r="AN615" s="383"/>
      <c r="AO615" s="383"/>
      <c r="AP615" s="383"/>
      <c r="AQ615" s="383"/>
      <c r="AR615" s="383"/>
    </row>
    <row r="616" spans="2:44" s="639" customFormat="1" ht="12" customHeight="1">
      <c r="B616" s="638"/>
      <c r="J616" s="732" t="s">
        <v>1197</v>
      </c>
      <c r="K616" s="733"/>
      <c r="L616" s="730"/>
      <c r="M616" s="731"/>
      <c r="N616" s="708" t="s">
        <v>2252</v>
      </c>
      <c r="O616" s="708" t="s">
        <v>1405</v>
      </c>
      <c r="P616" s="731"/>
      <c r="R616" s="708" t="s">
        <v>1106</v>
      </c>
      <c r="S616" s="708" t="s">
        <v>2037</v>
      </c>
      <c r="T616" s="1239" t="s">
        <v>2272</v>
      </c>
      <c r="X616" s="383"/>
      <c r="Y616" s="383"/>
      <c r="Z616" s="383"/>
      <c r="AA616" s="383"/>
      <c r="AB616" s="383"/>
      <c r="AC616" s="383"/>
      <c r="AD616" s="383"/>
      <c r="AE616" s="383"/>
      <c r="AF616" s="383"/>
      <c r="AG616" s="383"/>
      <c r="AH616" s="383"/>
      <c r="AI616" s="383"/>
      <c r="AJ616" s="383"/>
      <c r="AK616" s="383"/>
      <c r="AL616" s="383"/>
      <c r="AM616" s="383"/>
      <c r="AN616" s="383"/>
      <c r="AO616" s="383"/>
      <c r="AP616" s="383"/>
      <c r="AQ616" s="383"/>
      <c r="AR616" s="383"/>
    </row>
    <row r="617" spans="2:44" s="639" customFormat="1" ht="12" customHeight="1">
      <c r="B617" s="638"/>
      <c r="J617" s="732" t="s">
        <v>420</v>
      </c>
      <c r="K617" s="733"/>
      <c r="L617" s="730"/>
      <c r="M617" s="731"/>
      <c r="N617" s="1194" t="s">
        <v>1527</v>
      </c>
      <c r="O617" s="1194" t="s">
        <v>341</v>
      </c>
      <c r="P617" s="1239"/>
      <c r="R617" s="708" t="s">
        <v>1107</v>
      </c>
      <c r="S617" s="708" t="s">
        <v>2133</v>
      </c>
      <c r="T617" s="1239" t="s">
        <v>2272</v>
      </c>
      <c r="X617" s="383"/>
      <c r="Y617" s="383"/>
      <c r="Z617" s="383"/>
      <c r="AA617" s="383"/>
      <c r="AB617" s="383"/>
      <c r="AC617" s="383"/>
      <c r="AD617" s="383"/>
      <c r="AE617" s="383"/>
      <c r="AF617" s="383"/>
      <c r="AG617" s="383"/>
      <c r="AH617" s="383"/>
      <c r="AI617" s="383"/>
      <c r="AJ617" s="383"/>
      <c r="AK617" s="383"/>
      <c r="AL617" s="383"/>
      <c r="AM617" s="383"/>
      <c r="AN617" s="383"/>
      <c r="AO617" s="383"/>
      <c r="AP617" s="383"/>
      <c r="AQ617" s="383"/>
      <c r="AR617" s="383"/>
    </row>
    <row r="618" spans="2:44" s="639" customFormat="1" ht="12" customHeight="1">
      <c r="B618" s="638"/>
      <c r="J618" s="732" t="s">
        <v>4</v>
      </c>
      <c r="K618" s="733"/>
      <c r="L618" s="730"/>
      <c r="M618" s="731"/>
      <c r="N618" s="1194" t="s">
        <v>3255</v>
      </c>
      <c r="O618" s="1194" t="s">
        <v>348</v>
      </c>
      <c r="P618" s="731"/>
      <c r="R618" s="708" t="s">
        <v>1108</v>
      </c>
      <c r="S618" s="708" t="s">
        <v>1155</v>
      </c>
      <c r="T618" s="1239" t="s">
        <v>2272</v>
      </c>
      <c r="X618" s="383"/>
      <c r="Y618" s="383"/>
      <c r="Z618" s="383"/>
      <c r="AA618" s="383"/>
      <c r="AB618" s="383"/>
      <c r="AC618" s="383"/>
      <c r="AD618" s="383"/>
      <c r="AE618" s="383"/>
      <c r="AF618" s="383"/>
      <c r="AG618" s="383"/>
      <c r="AH618" s="383"/>
      <c r="AI618" s="383"/>
      <c r="AJ618" s="383"/>
      <c r="AK618" s="383"/>
      <c r="AL618" s="383"/>
      <c r="AM618" s="383"/>
      <c r="AN618" s="383"/>
      <c r="AO618" s="383"/>
      <c r="AP618" s="383"/>
      <c r="AQ618" s="383"/>
      <c r="AR618" s="383"/>
    </row>
    <row r="619" spans="2:44" s="639" customFormat="1" ht="12" customHeight="1">
      <c r="B619" s="638"/>
      <c r="J619" s="732" t="s">
        <v>6</v>
      </c>
      <c r="K619" s="733"/>
      <c r="L619" s="730"/>
      <c r="M619" s="731"/>
      <c r="N619" s="1194" t="s">
        <v>1529</v>
      </c>
      <c r="O619" s="1194" t="s">
        <v>338</v>
      </c>
      <c r="P619" s="731"/>
      <c r="Q619" s="1241"/>
      <c r="R619" s="708" t="s">
        <v>1109</v>
      </c>
      <c r="S619" s="708" t="s">
        <v>1618</v>
      </c>
      <c r="T619" s="1239" t="s">
        <v>2272</v>
      </c>
      <c r="X619" s="383"/>
      <c r="Y619" s="383"/>
      <c r="Z619" s="383"/>
      <c r="AA619" s="383"/>
      <c r="AB619" s="383"/>
      <c r="AC619" s="383"/>
      <c r="AD619" s="383"/>
      <c r="AE619" s="383"/>
      <c r="AF619" s="383"/>
      <c r="AG619" s="383"/>
      <c r="AH619" s="383"/>
      <c r="AI619" s="383"/>
      <c r="AJ619" s="383"/>
      <c r="AK619" s="383"/>
      <c r="AL619" s="383"/>
      <c r="AM619" s="383"/>
      <c r="AN619" s="383"/>
      <c r="AO619" s="383"/>
      <c r="AP619" s="383"/>
      <c r="AQ619" s="383"/>
      <c r="AR619" s="383"/>
    </row>
    <row r="620" spans="2:44" s="639" customFormat="1" ht="12" customHeight="1">
      <c r="B620" s="638"/>
      <c r="J620" s="732" t="s">
        <v>8</v>
      </c>
      <c r="K620" s="733"/>
      <c r="L620" s="730"/>
      <c r="M620" s="731"/>
      <c r="N620" s="708" t="s">
        <v>1123</v>
      </c>
      <c r="O620" s="708" t="s">
        <v>1772</v>
      </c>
      <c r="P620" s="731"/>
      <c r="R620" s="708" t="s">
        <v>1110</v>
      </c>
      <c r="S620" s="708" t="s">
        <v>2642</v>
      </c>
      <c r="T620" s="1239" t="s">
        <v>2272</v>
      </c>
      <c r="X620" s="383"/>
      <c r="Y620" s="383"/>
      <c r="Z620" s="383"/>
      <c r="AA620" s="383"/>
      <c r="AB620" s="383"/>
      <c r="AC620" s="383"/>
      <c r="AD620" s="383"/>
      <c r="AE620" s="383"/>
      <c r="AF620" s="383"/>
      <c r="AG620" s="383"/>
      <c r="AH620" s="383"/>
      <c r="AI620" s="383"/>
      <c r="AJ620" s="383"/>
      <c r="AK620" s="383"/>
      <c r="AL620" s="383"/>
      <c r="AM620" s="383"/>
      <c r="AN620" s="383"/>
      <c r="AO620" s="383"/>
      <c r="AP620" s="383"/>
      <c r="AQ620" s="383"/>
      <c r="AR620" s="383"/>
    </row>
    <row r="621" spans="2:44" s="639" customFormat="1" ht="12" customHeight="1">
      <c r="B621" s="638"/>
      <c r="J621" s="732" t="s">
        <v>10</v>
      </c>
      <c r="K621" s="733"/>
      <c r="L621" s="730"/>
      <c r="M621" s="731"/>
      <c r="N621" s="708" t="s">
        <v>1531</v>
      </c>
      <c r="O621" s="708" t="s">
        <v>664</v>
      </c>
      <c r="P621" s="1239"/>
      <c r="R621" s="708" t="s">
        <v>1111</v>
      </c>
      <c r="S621" s="708" t="s">
        <v>166</v>
      </c>
      <c r="T621" s="1239" t="s">
        <v>2272</v>
      </c>
      <c r="X621" s="383"/>
      <c r="Y621" s="383"/>
      <c r="Z621" s="383"/>
      <c r="AA621" s="383"/>
      <c r="AB621" s="383"/>
      <c r="AC621" s="383"/>
      <c r="AD621" s="383"/>
      <c r="AE621" s="383"/>
      <c r="AF621" s="383"/>
      <c r="AG621" s="383"/>
      <c r="AH621" s="383"/>
      <c r="AI621" s="383"/>
      <c r="AJ621" s="383"/>
      <c r="AK621" s="383"/>
      <c r="AL621" s="383"/>
      <c r="AM621" s="383"/>
      <c r="AN621" s="383"/>
      <c r="AO621" s="383"/>
      <c r="AP621" s="383"/>
      <c r="AQ621" s="383"/>
      <c r="AR621" s="383"/>
    </row>
    <row r="622" spans="2:44" s="639" customFormat="1" ht="12" customHeight="1">
      <c r="B622" s="638"/>
      <c r="J622" s="732" t="s">
        <v>2274</v>
      </c>
      <c r="K622" s="733"/>
      <c r="L622" s="730"/>
      <c r="M622" s="731"/>
      <c r="N622" s="1194" t="s">
        <v>1655</v>
      </c>
      <c r="O622" s="1194" t="s">
        <v>333</v>
      </c>
      <c r="P622" s="1239"/>
      <c r="R622" s="708" t="s">
        <v>1112</v>
      </c>
      <c r="S622" s="708" t="s">
        <v>1414</v>
      </c>
      <c r="T622" s="1239" t="s">
        <v>2272</v>
      </c>
      <c r="X622" s="383"/>
      <c r="Y622" s="383"/>
      <c r="Z622" s="383"/>
      <c r="AA622" s="383"/>
      <c r="AB622" s="383"/>
      <c r="AC622" s="383"/>
      <c r="AD622" s="383"/>
      <c r="AE622" s="383"/>
      <c r="AF622" s="383"/>
      <c r="AG622" s="383"/>
      <c r="AH622" s="383"/>
      <c r="AI622" s="383"/>
      <c r="AJ622" s="383"/>
      <c r="AK622" s="383"/>
      <c r="AL622" s="383"/>
      <c r="AM622" s="383"/>
      <c r="AN622" s="383"/>
      <c r="AO622" s="383"/>
      <c r="AP622" s="383"/>
      <c r="AQ622" s="383"/>
      <c r="AR622" s="383"/>
    </row>
    <row r="623" spans="2:44" s="639" customFormat="1" ht="12" customHeight="1">
      <c r="B623" s="638"/>
      <c r="J623" s="732" t="s">
        <v>2276</v>
      </c>
      <c r="K623" s="733"/>
      <c r="L623" s="730"/>
      <c r="M623" s="731"/>
      <c r="N623" s="1194" t="s">
        <v>2182</v>
      </c>
      <c r="O623" s="1194" t="s">
        <v>1004</v>
      </c>
      <c r="P623" s="731"/>
      <c r="R623" s="708" t="s">
        <v>1113</v>
      </c>
      <c r="S623" s="708" t="s">
        <v>1618</v>
      </c>
      <c r="T623" s="1239" t="s">
        <v>2272</v>
      </c>
      <c r="X623" s="383"/>
      <c r="Y623" s="383"/>
      <c r="Z623" s="383"/>
      <c r="AA623" s="383"/>
      <c r="AB623" s="383"/>
      <c r="AC623" s="383"/>
      <c r="AD623" s="383"/>
      <c r="AE623" s="383"/>
      <c r="AF623" s="383"/>
      <c r="AG623" s="383"/>
      <c r="AH623" s="383"/>
      <c r="AI623" s="383"/>
      <c r="AJ623" s="383"/>
      <c r="AK623" s="383"/>
      <c r="AL623" s="383"/>
      <c r="AM623" s="383"/>
      <c r="AN623" s="383"/>
      <c r="AO623" s="383"/>
      <c r="AP623" s="383"/>
      <c r="AQ623" s="383"/>
      <c r="AR623" s="383"/>
    </row>
    <row r="624" spans="2:44" s="639" customFormat="1" ht="12" customHeight="1">
      <c r="B624" s="638"/>
      <c r="J624" s="732" t="s">
        <v>2278</v>
      </c>
      <c r="K624" s="733"/>
      <c r="L624" s="730"/>
      <c r="M624" s="731"/>
      <c r="N624" s="1194" t="s">
        <v>1995</v>
      </c>
      <c r="O624" s="1194" t="s">
        <v>2077</v>
      </c>
      <c r="P624" s="731"/>
      <c r="R624" s="708" t="s">
        <v>1114</v>
      </c>
      <c r="S624" s="708" t="s">
        <v>1169</v>
      </c>
      <c r="T624" s="1239" t="s">
        <v>2272</v>
      </c>
      <c r="X624" s="383"/>
      <c r="Y624" s="383"/>
      <c r="Z624" s="383"/>
      <c r="AA624" s="383"/>
      <c r="AB624" s="383"/>
      <c r="AC624" s="383"/>
      <c r="AD624" s="383"/>
      <c r="AE624" s="383"/>
      <c r="AF624" s="383"/>
      <c r="AG624" s="383"/>
      <c r="AH624" s="383"/>
      <c r="AI624" s="383"/>
      <c r="AJ624" s="383"/>
      <c r="AK624" s="383"/>
      <c r="AL624" s="383"/>
      <c r="AM624" s="383"/>
      <c r="AN624" s="383"/>
      <c r="AO624" s="383"/>
      <c r="AP624" s="383"/>
      <c r="AQ624" s="383"/>
      <c r="AR624" s="383"/>
    </row>
    <row r="625" spans="2:44" s="639" customFormat="1" ht="12" customHeight="1">
      <c r="B625" s="638"/>
      <c r="J625" s="732" t="s">
        <v>2280</v>
      </c>
      <c r="K625" s="733"/>
      <c r="L625" s="730"/>
      <c r="M625" s="731"/>
      <c r="N625" s="1194" t="s">
        <v>293</v>
      </c>
      <c r="O625" s="1194" t="s">
        <v>2077</v>
      </c>
      <c r="P625" s="731"/>
      <c r="R625" s="708" t="s">
        <v>1115</v>
      </c>
      <c r="S625" s="708" t="s">
        <v>2133</v>
      </c>
      <c r="T625" s="1239" t="s">
        <v>2272</v>
      </c>
      <c r="X625" s="383"/>
      <c r="Y625" s="383"/>
      <c r="Z625" s="383"/>
      <c r="AA625" s="383"/>
      <c r="AB625" s="383"/>
      <c r="AC625" s="383"/>
      <c r="AD625" s="383"/>
      <c r="AE625" s="383"/>
      <c r="AF625" s="383"/>
      <c r="AG625" s="383"/>
      <c r="AH625" s="383"/>
      <c r="AI625" s="383"/>
      <c r="AJ625" s="383"/>
      <c r="AK625" s="383"/>
      <c r="AL625" s="383"/>
      <c r="AM625" s="383"/>
      <c r="AN625" s="383"/>
      <c r="AO625" s="383"/>
      <c r="AP625" s="383"/>
      <c r="AQ625" s="383"/>
      <c r="AR625" s="383"/>
    </row>
    <row r="626" spans="2:44" s="639" customFormat="1" ht="12" customHeight="1">
      <c r="B626" s="638"/>
      <c r="J626" s="732" t="s">
        <v>2282</v>
      </c>
      <c r="K626" s="733"/>
      <c r="L626" s="730"/>
      <c r="M626" s="731"/>
      <c r="N626" s="1194" t="s">
        <v>1795</v>
      </c>
      <c r="O626" s="1194" t="s">
        <v>2310</v>
      </c>
      <c r="P626" s="731"/>
      <c r="R626" s="1194" t="s">
        <v>876</v>
      </c>
      <c r="S626" s="1194" t="s">
        <v>922</v>
      </c>
      <c r="T626" s="1239" t="s">
        <v>2272</v>
      </c>
      <c r="X626" s="383"/>
      <c r="Y626" s="383"/>
      <c r="Z626" s="383"/>
      <c r="AA626" s="383"/>
      <c r="AB626" s="383"/>
      <c r="AC626" s="383"/>
      <c r="AD626" s="383"/>
      <c r="AE626" s="383"/>
      <c r="AF626" s="383"/>
      <c r="AG626" s="383"/>
      <c r="AH626" s="383"/>
      <c r="AI626" s="383"/>
      <c r="AJ626" s="383"/>
      <c r="AK626" s="383"/>
      <c r="AL626" s="383"/>
      <c r="AM626" s="383"/>
      <c r="AN626" s="383"/>
      <c r="AO626" s="383"/>
      <c r="AP626" s="383"/>
      <c r="AQ626" s="383"/>
      <c r="AR626" s="383"/>
    </row>
    <row r="627" spans="2:44" s="639" customFormat="1" ht="12" customHeight="1">
      <c r="B627" s="638"/>
      <c r="J627" s="732" t="s">
        <v>91</v>
      </c>
      <c r="K627" s="733"/>
      <c r="L627" s="730"/>
      <c r="M627" s="731"/>
      <c r="N627" s="1194" t="s">
        <v>276</v>
      </c>
      <c r="O627" s="1194" t="s">
        <v>707</v>
      </c>
      <c r="P627" s="731"/>
      <c r="R627" s="708" t="s">
        <v>1116</v>
      </c>
      <c r="S627" s="708" t="s">
        <v>2645</v>
      </c>
      <c r="T627" s="1239" t="s">
        <v>2272</v>
      </c>
      <c r="X627" s="383"/>
      <c r="Y627" s="383"/>
      <c r="Z627" s="383"/>
      <c r="AA627" s="383"/>
      <c r="AB627" s="383"/>
      <c r="AC627" s="383"/>
      <c r="AD627" s="383"/>
      <c r="AE627" s="383"/>
      <c r="AF627" s="383"/>
      <c r="AG627" s="383"/>
      <c r="AH627" s="383"/>
      <c r="AI627" s="383"/>
      <c r="AJ627" s="383"/>
      <c r="AK627" s="383"/>
      <c r="AL627" s="383"/>
      <c r="AM627" s="383"/>
      <c r="AN627" s="383"/>
      <c r="AO627" s="383"/>
      <c r="AP627" s="383"/>
      <c r="AQ627" s="383"/>
      <c r="AR627" s="383"/>
    </row>
    <row r="628" spans="2:44" s="639" customFormat="1" ht="12" customHeight="1">
      <c r="B628" s="638"/>
      <c r="J628" s="732" t="s">
        <v>2145</v>
      </c>
      <c r="K628" s="733"/>
      <c r="L628" s="730"/>
      <c r="M628" s="731"/>
      <c r="N628" s="1194" t="s">
        <v>1248</v>
      </c>
      <c r="O628" s="1194" t="s">
        <v>166</v>
      </c>
      <c r="P628" s="731"/>
      <c r="R628" s="708" t="s">
        <v>1707</v>
      </c>
      <c r="S628" s="708" t="s">
        <v>2692</v>
      </c>
      <c r="T628" s="1239" t="s">
        <v>2272</v>
      </c>
      <c r="X628" s="383"/>
      <c r="Y628" s="383"/>
      <c r="Z628" s="383"/>
      <c r="AA628" s="383"/>
      <c r="AB628" s="383"/>
      <c r="AC628" s="383"/>
      <c r="AD628" s="383"/>
      <c r="AE628" s="383"/>
      <c r="AF628" s="383"/>
      <c r="AG628" s="383"/>
      <c r="AH628" s="383"/>
      <c r="AI628" s="383"/>
      <c r="AJ628" s="383"/>
      <c r="AK628" s="383"/>
      <c r="AL628" s="383"/>
      <c r="AM628" s="383"/>
      <c r="AN628" s="383"/>
      <c r="AO628" s="383"/>
      <c r="AP628" s="383"/>
      <c r="AQ628" s="383"/>
      <c r="AR628" s="383"/>
    </row>
    <row r="629" spans="2:44" s="639" customFormat="1" ht="12" customHeight="1">
      <c r="B629" s="638"/>
      <c r="J629" s="732" t="s">
        <v>1612</v>
      </c>
      <c r="K629" s="733"/>
      <c r="L629" s="730"/>
      <c r="M629" s="731"/>
      <c r="N629" s="1194" t="s">
        <v>1250</v>
      </c>
      <c r="O629" s="1194" t="s">
        <v>166</v>
      </c>
      <c r="P629" s="731"/>
      <c r="R629" s="708" t="s">
        <v>1117</v>
      </c>
      <c r="S629" s="708"/>
      <c r="T629" s="1239" t="s">
        <v>2272</v>
      </c>
      <c r="X629" s="383"/>
      <c r="Y629" s="383"/>
      <c r="Z629" s="383"/>
      <c r="AA629" s="383"/>
      <c r="AB629" s="383"/>
      <c r="AC629" s="383"/>
      <c r="AD629" s="383"/>
      <c r="AE629" s="383"/>
      <c r="AF629" s="383"/>
      <c r="AG629" s="383"/>
      <c r="AH629" s="383"/>
      <c r="AI629" s="383"/>
      <c r="AJ629" s="383"/>
      <c r="AK629" s="383"/>
      <c r="AL629" s="383"/>
      <c r="AM629" s="383"/>
      <c r="AN629" s="383"/>
      <c r="AO629" s="383"/>
      <c r="AP629" s="383"/>
      <c r="AQ629" s="383"/>
      <c r="AR629" s="383"/>
    </row>
    <row r="630" spans="2:44" s="639" customFormat="1" ht="12" customHeight="1">
      <c r="B630" s="638"/>
      <c r="J630" s="732" t="s">
        <v>1614</v>
      </c>
      <c r="K630" s="733"/>
      <c r="L630" s="730"/>
      <c r="M630" s="731"/>
      <c r="N630" s="1194" t="s">
        <v>788</v>
      </c>
      <c r="O630" s="1194" t="s">
        <v>1407</v>
      </c>
      <c r="P630" s="731"/>
      <c r="R630" s="708" t="s">
        <v>191</v>
      </c>
      <c r="S630" s="708" t="s">
        <v>166</v>
      </c>
      <c r="T630" s="1239" t="s">
        <v>2272</v>
      </c>
      <c r="X630" s="383"/>
      <c r="Y630" s="383"/>
      <c r="Z630" s="383"/>
      <c r="AA630" s="383"/>
      <c r="AB630" s="383"/>
      <c r="AC630" s="383"/>
      <c r="AD630" s="383"/>
      <c r="AE630" s="383"/>
      <c r="AF630" s="383"/>
      <c r="AG630" s="383"/>
      <c r="AH630" s="383"/>
      <c r="AI630" s="383"/>
      <c r="AJ630" s="383"/>
      <c r="AK630" s="383"/>
      <c r="AL630" s="383"/>
      <c r="AM630" s="383"/>
      <c r="AN630" s="383"/>
      <c r="AO630" s="383"/>
      <c r="AP630" s="383"/>
      <c r="AQ630" s="383"/>
      <c r="AR630" s="383"/>
    </row>
    <row r="631" spans="2:44" s="639" customFormat="1" ht="12" customHeight="1">
      <c r="B631" s="638"/>
      <c r="J631" s="732" t="s">
        <v>1616</v>
      </c>
      <c r="K631" s="733"/>
      <c r="L631" s="730"/>
      <c r="M631" s="731"/>
      <c r="N631" s="1194" t="s">
        <v>258</v>
      </c>
      <c r="O631" s="1194" t="s">
        <v>2762</v>
      </c>
      <c r="P631" s="731"/>
      <c r="R631" s="708" t="s">
        <v>1118</v>
      </c>
      <c r="S631" s="708" t="s">
        <v>182</v>
      </c>
      <c r="T631" s="1239" t="s">
        <v>2272</v>
      </c>
      <c r="X631" s="383"/>
      <c r="Y631" s="383"/>
      <c r="Z631" s="383"/>
      <c r="AA631" s="383"/>
      <c r="AB631" s="383"/>
      <c r="AC631" s="383"/>
      <c r="AD631" s="383"/>
      <c r="AE631" s="383"/>
      <c r="AF631" s="383"/>
      <c r="AG631" s="383"/>
      <c r="AH631" s="383"/>
      <c r="AI631" s="383"/>
      <c r="AJ631" s="383"/>
      <c r="AK631" s="383"/>
      <c r="AL631" s="383"/>
      <c r="AM631" s="383"/>
      <c r="AN631" s="383"/>
      <c r="AO631" s="383"/>
      <c r="AP631" s="383"/>
      <c r="AQ631" s="383"/>
      <c r="AR631" s="383"/>
    </row>
    <row r="632" spans="2:44" s="639" customFormat="1" ht="12" customHeight="1">
      <c r="B632" s="638"/>
      <c r="J632" s="732" t="s">
        <v>65</v>
      </c>
      <c r="K632" s="733"/>
      <c r="L632" s="730"/>
      <c r="M632" s="731"/>
      <c r="N632" s="1194" t="s">
        <v>1084</v>
      </c>
      <c r="O632" s="1194" t="s">
        <v>2552</v>
      </c>
      <c r="P632" s="731"/>
      <c r="R632" s="708" t="s">
        <v>2425</v>
      </c>
      <c r="S632" s="708" t="s">
        <v>1277</v>
      </c>
      <c r="T632" s="1239" t="s">
        <v>2272</v>
      </c>
      <c r="X632" s="383"/>
      <c r="Y632" s="383"/>
      <c r="Z632" s="383"/>
      <c r="AA632" s="383"/>
      <c r="AB632" s="383"/>
      <c r="AC632" s="383"/>
      <c r="AD632" s="383"/>
      <c r="AE632" s="383"/>
      <c r="AF632" s="383"/>
      <c r="AG632" s="383"/>
      <c r="AH632" s="383"/>
      <c r="AI632" s="383"/>
      <c r="AJ632" s="383"/>
      <c r="AK632" s="383"/>
      <c r="AL632" s="383"/>
      <c r="AM632" s="383"/>
      <c r="AN632" s="383"/>
      <c r="AO632" s="383"/>
      <c r="AP632" s="383"/>
      <c r="AQ632" s="383"/>
      <c r="AR632" s="383"/>
    </row>
    <row r="633" spans="2:44" s="639" customFormat="1" ht="12" customHeight="1">
      <c r="B633" s="638"/>
      <c r="J633" s="732" t="s">
        <v>67</v>
      </c>
      <c r="K633" s="733"/>
      <c r="L633" s="730"/>
      <c r="M633" s="731"/>
      <c r="N633" s="1194" t="s">
        <v>1864</v>
      </c>
      <c r="O633" s="1194" t="s">
        <v>2645</v>
      </c>
      <c r="P633" s="731"/>
      <c r="R633" s="708" t="s">
        <v>1119</v>
      </c>
      <c r="S633" s="708" t="s">
        <v>664</v>
      </c>
      <c r="T633" s="1239" t="s">
        <v>2272</v>
      </c>
      <c r="X633" s="383"/>
      <c r="Y633" s="383"/>
      <c r="Z633" s="383"/>
      <c r="AA633" s="383"/>
      <c r="AB633" s="383"/>
      <c r="AC633" s="383"/>
      <c r="AD633" s="383"/>
      <c r="AE633" s="383"/>
      <c r="AF633" s="383"/>
      <c r="AG633" s="383"/>
      <c r="AH633" s="383"/>
      <c r="AI633" s="383"/>
      <c r="AJ633" s="383"/>
      <c r="AK633" s="383"/>
      <c r="AL633" s="383"/>
      <c r="AM633" s="383"/>
      <c r="AN633" s="383"/>
      <c r="AO633" s="383"/>
      <c r="AP633" s="383"/>
      <c r="AQ633" s="383"/>
      <c r="AR633" s="383"/>
    </row>
    <row r="634" spans="2:44" s="639" customFormat="1" ht="12" customHeight="1">
      <c r="B634" s="638"/>
      <c r="J634" s="732" t="s">
        <v>69</v>
      </c>
      <c r="K634" s="733"/>
      <c r="L634" s="730"/>
      <c r="M634" s="731"/>
      <c r="N634" s="1194" t="s">
        <v>1933</v>
      </c>
      <c r="O634" s="1194" t="s">
        <v>113</v>
      </c>
      <c r="P634" s="731"/>
      <c r="R634" s="708" t="s">
        <v>1120</v>
      </c>
      <c r="S634" s="708" t="s">
        <v>664</v>
      </c>
      <c r="T634" s="1239" t="s">
        <v>2272</v>
      </c>
      <c r="X634" s="383"/>
      <c r="Y634" s="383"/>
      <c r="Z634" s="383"/>
      <c r="AA634" s="383"/>
      <c r="AB634" s="383"/>
      <c r="AC634" s="383"/>
      <c r="AD634" s="383"/>
      <c r="AE634" s="383"/>
      <c r="AF634" s="383"/>
      <c r="AG634" s="383"/>
      <c r="AH634" s="383"/>
      <c r="AI634" s="383"/>
      <c r="AJ634" s="383"/>
      <c r="AK634" s="383"/>
      <c r="AL634" s="383"/>
      <c r="AM634" s="383"/>
      <c r="AN634" s="383"/>
      <c r="AO634" s="383"/>
      <c r="AP634" s="383"/>
      <c r="AQ634" s="383"/>
      <c r="AR634" s="383"/>
    </row>
    <row r="635" spans="2:44" s="639" customFormat="1" ht="12" customHeight="1">
      <c r="B635" s="638"/>
      <c r="J635" s="732" t="s">
        <v>71</v>
      </c>
      <c r="K635" s="733"/>
      <c r="L635" s="730"/>
      <c r="M635" s="731"/>
      <c r="N635" s="1194" t="s">
        <v>1158</v>
      </c>
      <c r="O635" s="1194" t="s">
        <v>775</v>
      </c>
      <c r="P635" s="731"/>
      <c r="R635" s="708" t="s">
        <v>1121</v>
      </c>
      <c r="S635" s="708" t="s">
        <v>664</v>
      </c>
      <c r="T635" s="1239" t="s">
        <v>2272</v>
      </c>
      <c r="X635" s="383"/>
      <c r="Y635" s="383"/>
      <c r="Z635" s="383"/>
      <c r="AA635" s="383"/>
      <c r="AB635" s="383"/>
      <c r="AC635" s="383"/>
      <c r="AD635" s="383"/>
      <c r="AE635" s="383"/>
      <c r="AF635" s="383"/>
      <c r="AG635" s="383"/>
      <c r="AH635" s="383"/>
      <c r="AI635" s="383"/>
      <c r="AJ635" s="383"/>
      <c r="AK635" s="383"/>
      <c r="AL635" s="383"/>
      <c r="AM635" s="383"/>
      <c r="AN635" s="383"/>
      <c r="AO635" s="383"/>
      <c r="AP635" s="383"/>
      <c r="AQ635" s="383"/>
      <c r="AR635" s="383"/>
    </row>
    <row r="636" spans="2:44" s="639" customFormat="1" ht="12" customHeight="1">
      <c r="B636" s="638"/>
      <c r="J636" s="732" t="s">
        <v>73</v>
      </c>
      <c r="K636" s="733"/>
      <c r="L636" s="730"/>
      <c r="M636" s="731"/>
      <c r="N636" s="1194" t="s">
        <v>1124</v>
      </c>
      <c r="O636" s="1194" t="s">
        <v>1006</v>
      </c>
      <c r="P636" s="731"/>
      <c r="R636" s="708" t="s">
        <v>1122</v>
      </c>
      <c r="S636" s="708" t="s">
        <v>664</v>
      </c>
      <c r="T636" s="1239" t="s">
        <v>2272</v>
      </c>
      <c r="X636" s="383"/>
      <c r="Y636" s="383"/>
      <c r="Z636" s="383"/>
      <c r="AA636" s="383"/>
      <c r="AB636" s="383"/>
      <c r="AC636" s="383"/>
      <c r="AD636" s="383"/>
      <c r="AE636" s="383"/>
      <c r="AF636" s="383"/>
      <c r="AG636" s="383"/>
      <c r="AH636" s="383"/>
      <c r="AI636" s="383"/>
      <c r="AJ636" s="383"/>
      <c r="AK636" s="383"/>
      <c r="AL636" s="383"/>
      <c r="AM636" s="383"/>
      <c r="AN636" s="383"/>
      <c r="AO636" s="383"/>
      <c r="AP636" s="383"/>
      <c r="AQ636" s="383"/>
      <c r="AR636" s="383"/>
    </row>
    <row r="637" spans="2:44" s="639" customFormat="1" ht="12" customHeight="1">
      <c r="B637" s="638"/>
      <c r="J637" s="732" t="s">
        <v>822</v>
      </c>
      <c r="K637" s="733"/>
      <c r="L637" s="730"/>
      <c r="M637" s="731"/>
      <c r="N637" s="1194" t="s">
        <v>1162</v>
      </c>
      <c r="O637" s="1194" t="s">
        <v>1404</v>
      </c>
      <c r="P637" s="731"/>
      <c r="R637" s="708" t="s">
        <v>1123</v>
      </c>
      <c r="S637" s="708" t="s">
        <v>1772</v>
      </c>
      <c r="T637" s="1239" t="s">
        <v>2272</v>
      </c>
      <c r="X637" s="383"/>
      <c r="Y637" s="383"/>
      <c r="Z637" s="383"/>
      <c r="AA637" s="383"/>
      <c r="AB637" s="383"/>
      <c r="AC637" s="383"/>
      <c r="AD637" s="383"/>
      <c r="AE637" s="383"/>
      <c r="AF637" s="383"/>
      <c r="AG637" s="383"/>
      <c r="AH637" s="383"/>
      <c r="AI637" s="383"/>
      <c r="AJ637" s="383"/>
      <c r="AK637" s="383"/>
      <c r="AL637" s="383"/>
      <c r="AM637" s="383"/>
      <c r="AN637" s="383"/>
      <c r="AO637" s="383"/>
      <c r="AP637" s="383"/>
      <c r="AQ637" s="383"/>
      <c r="AR637" s="383"/>
    </row>
    <row r="638" spans="2:44" s="639" customFormat="1" ht="12" customHeight="1">
      <c r="B638" s="638"/>
      <c r="J638" s="732" t="s">
        <v>771</v>
      </c>
      <c r="K638" s="733"/>
      <c r="L638" s="730"/>
      <c r="M638" s="731"/>
      <c r="N638" s="1194" t="s">
        <v>421</v>
      </c>
      <c r="O638" s="1194" t="s">
        <v>707</v>
      </c>
      <c r="P638" s="731"/>
      <c r="R638" s="708" t="s">
        <v>1124</v>
      </c>
      <c r="S638" s="708" t="s">
        <v>1006</v>
      </c>
      <c r="T638" s="1239" t="s">
        <v>2272</v>
      </c>
      <c r="X638" s="383"/>
      <c r="Y638" s="383"/>
      <c r="Z638" s="383"/>
      <c r="AA638" s="383"/>
      <c r="AB638" s="383"/>
      <c r="AC638" s="383"/>
      <c r="AD638" s="383"/>
      <c r="AE638" s="383"/>
      <c r="AF638" s="383"/>
      <c r="AG638" s="383"/>
      <c r="AH638" s="383"/>
      <c r="AI638" s="383"/>
      <c r="AJ638" s="383"/>
      <c r="AK638" s="383"/>
      <c r="AL638" s="383"/>
      <c r="AM638" s="383"/>
      <c r="AN638" s="383"/>
      <c r="AO638" s="383"/>
      <c r="AP638" s="383"/>
      <c r="AQ638" s="383"/>
      <c r="AR638" s="383"/>
    </row>
    <row r="639" spans="2:44" s="639" customFormat="1" ht="12" customHeight="1">
      <c r="B639" s="638"/>
      <c r="J639" s="732" t="s">
        <v>773</v>
      </c>
      <c r="K639" s="733"/>
      <c r="L639" s="730"/>
      <c r="M639" s="731"/>
      <c r="N639" s="708" t="s">
        <v>1125</v>
      </c>
      <c r="O639" s="708" t="s">
        <v>125</v>
      </c>
      <c r="P639" s="731"/>
      <c r="R639" s="708" t="s">
        <v>1125</v>
      </c>
      <c r="S639" s="708" t="s">
        <v>125</v>
      </c>
      <c r="T639" s="1239" t="s">
        <v>2272</v>
      </c>
      <c r="X639" s="383"/>
      <c r="Y639" s="383"/>
      <c r="Z639" s="383"/>
      <c r="AA639" s="383"/>
      <c r="AB639" s="383"/>
      <c r="AC639" s="383"/>
      <c r="AD639" s="383"/>
      <c r="AE639" s="383"/>
      <c r="AF639" s="383"/>
      <c r="AG639" s="383"/>
      <c r="AH639" s="383"/>
      <c r="AI639" s="383"/>
      <c r="AJ639" s="383"/>
      <c r="AK639" s="383"/>
      <c r="AL639" s="383"/>
      <c r="AM639" s="383"/>
      <c r="AN639" s="383"/>
      <c r="AO639" s="383"/>
      <c r="AP639" s="383"/>
      <c r="AQ639" s="383"/>
      <c r="AR639" s="383"/>
    </row>
    <row r="640" spans="2:44" s="639" customFormat="1" ht="12" customHeight="1">
      <c r="B640" s="638"/>
      <c r="J640" s="732" t="s">
        <v>1244</v>
      </c>
      <c r="K640" s="733"/>
      <c r="L640" s="730"/>
      <c r="M640" s="731"/>
      <c r="N640" s="1194" t="s">
        <v>5</v>
      </c>
      <c r="O640" s="1194" t="s">
        <v>1397</v>
      </c>
      <c r="P640" s="1239"/>
      <c r="R640" s="708" t="s">
        <v>1126</v>
      </c>
      <c r="S640" s="708" t="s">
        <v>664</v>
      </c>
      <c r="T640" s="1239" t="s">
        <v>2272</v>
      </c>
      <c r="X640" s="383"/>
      <c r="Y640" s="383"/>
      <c r="Z640" s="383"/>
      <c r="AA640" s="383"/>
      <c r="AB640" s="383"/>
      <c r="AC640" s="383"/>
      <c r="AD640" s="383"/>
      <c r="AE640" s="383"/>
      <c r="AF640" s="383"/>
      <c r="AG640" s="383"/>
      <c r="AH640" s="383"/>
      <c r="AI640" s="383"/>
      <c r="AJ640" s="383"/>
      <c r="AK640" s="383"/>
      <c r="AL640" s="383"/>
      <c r="AM640" s="383"/>
      <c r="AN640" s="383"/>
      <c r="AO640" s="383"/>
      <c r="AP640" s="383"/>
      <c r="AQ640" s="383"/>
      <c r="AR640" s="383"/>
    </row>
    <row r="641" spans="2:44" s="639" customFormat="1" ht="12" customHeight="1">
      <c r="B641" s="638"/>
      <c r="J641" s="732" t="s">
        <v>1099</v>
      </c>
      <c r="K641" s="733"/>
      <c r="L641" s="730"/>
      <c r="M641" s="731"/>
      <c r="N641" s="1194" t="s">
        <v>7</v>
      </c>
      <c r="O641" s="1194" t="s">
        <v>2548</v>
      </c>
      <c r="P641" s="731"/>
      <c r="R641" s="708" t="s">
        <v>1127</v>
      </c>
      <c r="S641" s="708" t="s">
        <v>334</v>
      </c>
      <c r="T641" s="1239" t="s">
        <v>2272</v>
      </c>
      <c r="X641" s="383"/>
      <c r="Y641" s="383"/>
      <c r="Z641" s="383"/>
      <c r="AA641" s="383"/>
      <c r="AB641" s="383"/>
      <c r="AC641" s="383"/>
      <c r="AD641" s="383"/>
      <c r="AE641" s="383"/>
      <c r="AF641" s="383"/>
      <c r="AG641" s="383"/>
      <c r="AH641" s="383"/>
      <c r="AI641" s="383"/>
      <c r="AJ641" s="383"/>
      <c r="AK641" s="383"/>
      <c r="AL641" s="383"/>
      <c r="AM641" s="383"/>
      <c r="AN641" s="383"/>
      <c r="AO641" s="383"/>
      <c r="AP641" s="383"/>
      <c r="AQ641" s="383"/>
      <c r="AR641" s="383"/>
    </row>
    <row r="642" spans="2:44" s="639" customFormat="1" ht="12" customHeight="1">
      <c r="B642" s="638"/>
      <c r="J642" s="732" t="s">
        <v>1100</v>
      </c>
      <c r="K642" s="733"/>
      <c r="L642" s="730"/>
      <c r="M642" s="731"/>
      <c r="N642" s="1194" t="s">
        <v>9</v>
      </c>
      <c r="O642" s="1194" t="s">
        <v>2043</v>
      </c>
      <c r="P642" s="731"/>
      <c r="R642" s="708" t="s">
        <v>1128</v>
      </c>
      <c r="S642" s="708" t="s">
        <v>338</v>
      </c>
      <c r="T642" s="1239" t="s">
        <v>2272</v>
      </c>
      <c r="X642" s="383"/>
      <c r="Y642" s="383"/>
      <c r="Z642" s="383"/>
      <c r="AA642" s="383"/>
      <c r="AB642" s="383"/>
      <c r="AC642" s="383"/>
      <c r="AD642" s="383"/>
      <c r="AE642" s="383"/>
      <c r="AF642" s="383"/>
      <c r="AG642" s="383"/>
      <c r="AH642" s="383"/>
      <c r="AI642" s="383"/>
      <c r="AJ642" s="383"/>
      <c r="AK642" s="383"/>
      <c r="AL642" s="383"/>
      <c r="AM642" s="383"/>
      <c r="AN642" s="383"/>
      <c r="AO642" s="383"/>
      <c r="AP642" s="383"/>
      <c r="AQ642" s="383"/>
      <c r="AR642" s="383"/>
    </row>
    <row r="643" spans="2:44" s="639" customFormat="1" ht="12" customHeight="1">
      <c r="B643" s="638"/>
      <c r="J643" s="732" t="s">
        <v>1102</v>
      </c>
      <c r="K643" s="733"/>
      <c r="L643" s="730"/>
      <c r="M643" s="731"/>
      <c r="N643" s="1194" t="s">
        <v>1126</v>
      </c>
      <c r="O643" s="1194" t="s">
        <v>664</v>
      </c>
      <c r="P643" s="731"/>
      <c r="R643" s="708" t="s">
        <v>880</v>
      </c>
      <c r="S643" s="708" t="s">
        <v>1393</v>
      </c>
      <c r="T643" s="1239" t="s">
        <v>2272</v>
      </c>
      <c r="X643" s="383"/>
      <c r="Y643" s="383"/>
      <c r="Z643" s="383"/>
      <c r="AA643" s="383"/>
      <c r="AB643" s="383"/>
      <c r="AC643" s="383"/>
      <c r="AD643" s="383"/>
      <c r="AE643" s="383"/>
      <c r="AF643" s="383"/>
      <c r="AG643" s="383"/>
      <c r="AH643" s="383"/>
      <c r="AI643" s="383"/>
      <c r="AJ643" s="383"/>
      <c r="AK643" s="383"/>
      <c r="AL643" s="383"/>
      <c r="AM643" s="383"/>
      <c r="AN643" s="383"/>
      <c r="AO643" s="383"/>
      <c r="AP643" s="383"/>
      <c r="AQ643" s="383"/>
      <c r="AR643" s="383"/>
    </row>
    <row r="644" spans="2:44" s="639" customFormat="1" ht="12" customHeight="1">
      <c r="B644" s="638"/>
      <c r="J644" s="732" t="s">
        <v>2405</v>
      </c>
      <c r="K644" s="733"/>
      <c r="L644" s="730"/>
      <c r="M644" s="731"/>
      <c r="N644" s="1194" t="s">
        <v>1127</v>
      </c>
      <c r="O644" s="1194" t="s">
        <v>334</v>
      </c>
      <c r="P644" s="731"/>
      <c r="R644" s="708" t="s">
        <v>1129</v>
      </c>
      <c r="S644" s="708" t="s">
        <v>706</v>
      </c>
      <c r="T644" s="1239" t="s">
        <v>2272</v>
      </c>
      <c r="X644" s="383"/>
      <c r="Y644" s="383"/>
      <c r="Z644" s="383"/>
      <c r="AA644" s="383"/>
      <c r="AB644" s="383"/>
      <c r="AC644" s="383"/>
      <c r="AD644" s="383"/>
      <c r="AE644" s="383"/>
      <c r="AF644" s="383"/>
      <c r="AG644" s="383"/>
      <c r="AH644" s="383"/>
      <c r="AI644" s="383"/>
      <c r="AJ644" s="383"/>
      <c r="AK644" s="383"/>
      <c r="AL644" s="383"/>
      <c r="AM644" s="383"/>
      <c r="AN644" s="383"/>
      <c r="AO644" s="383"/>
      <c r="AP644" s="383"/>
      <c r="AQ644" s="383"/>
      <c r="AR644" s="383"/>
    </row>
    <row r="645" spans="2:44" s="639" customFormat="1" ht="12" customHeight="1">
      <c r="B645" s="638"/>
      <c r="J645" s="732" t="s">
        <v>2407</v>
      </c>
      <c r="K645" s="733"/>
      <c r="L645" s="730"/>
      <c r="M645" s="731"/>
      <c r="N645" s="1194" t="s">
        <v>2273</v>
      </c>
      <c r="O645" s="1194" t="s">
        <v>1407</v>
      </c>
      <c r="P645" s="731"/>
      <c r="R645" s="708" t="s">
        <v>1130</v>
      </c>
      <c r="S645" s="708" t="s">
        <v>1618</v>
      </c>
      <c r="T645" s="1239" t="s">
        <v>2272</v>
      </c>
      <c r="X645" s="383"/>
      <c r="Y645" s="383"/>
      <c r="Z645" s="383"/>
      <c r="AA645" s="383"/>
      <c r="AB645" s="383"/>
      <c r="AC645" s="383"/>
      <c r="AD645" s="383"/>
      <c r="AE645" s="383"/>
      <c r="AF645" s="383"/>
      <c r="AG645" s="383"/>
      <c r="AH645" s="383"/>
      <c r="AI645" s="383"/>
      <c r="AJ645" s="383"/>
      <c r="AK645" s="383"/>
      <c r="AL645" s="383"/>
      <c r="AM645" s="383"/>
      <c r="AN645" s="383"/>
      <c r="AO645" s="383"/>
      <c r="AP645" s="383"/>
      <c r="AQ645" s="383"/>
      <c r="AR645" s="383"/>
    </row>
    <row r="646" spans="2:44" s="639" customFormat="1" ht="12" customHeight="1">
      <c r="B646" s="638"/>
      <c r="J646" s="732" t="s">
        <v>1884</v>
      </c>
      <c r="K646" s="733"/>
      <c r="L646" s="730"/>
      <c r="M646" s="731"/>
      <c r="N646" s="1194" t="s">
        <v>2275</v>
      </c>
      <c r="O646" s="1194" t="s">
        <v>2316</v>
      </c>
      <c r="P646" s="731"/>
      <c r="R646" s="708" t="s">
        <v>1131</v>
      </c>
      <c r="S646" s="708" t="s">
        <v>664</v>
      </c>
      <c r="T646" s="1239" t="s">
        <v>2272</v>
      </c>
      <c r="X646" s="383"/>
      <c r="Y646" s="383"/>
      <c r="Z646" s="383"/>
      <c r="AA646" s="383"/>
      <c r="AB646" s="383"/>
      <c r="AC646" s="383"/>
      <c r="AD646" s="383"/>
      <c r="AE646" s="383"/>
      <c r="AF646" s="383"/>
      <c r="AG646" s="383"/>
      <c r="AH646" s="383"/>
      <c r="AI646" s="383"/>
      <c r="AJ646" s="383"/>
      <c r="AK646" s="383"/>
      <c r="AL646" s="383"/>
      <c r="AM646" s="383"/>
      <c r="AN646" s="383"/>
      <c r="AO646" s="383"/>
      <c r="AP646" s="383"/>
      <c r="AQ646" s="383"/>
      <c r="AR646" s="383"/>
    </row>
    <row r="647" spans="2:44" s="639" customFormat="1" ht="12" customHeight="1">
      <c r="B647" s="638"/>
      <c r="J647" s="732" t="s">
        <v>2682</v>
      </c>
      <c r="K647" s="733"/>
      <c r="L647" s="730"/>
      <c r="M647" s="731"/>
      <c r="N647" s="1194" t="s">
        <v>2277</v>
      </c>
      <c r="O647" s="1194" t="s">
        <v>182</v>
      </c>
      <c r="P647" s="731"/>
      <c r="R647" s="708" t="s">
        <v>1132</v>
      </c>
      <c r="S647" s="708" t="s">
        <v>698</v>
      </c>
      <c r="T647" s="1239" t="s">
        <v>2272</v>
      </c>
      <c r="X647" s="383"/>
      <c r="Y647" s="383"/>
      <c r="Z647" s="383"/>
      <c r="AA647" s="383"/>
      <c r="AB647" s="383"/>
      <c r="AC647" s="383"/>
      <c r="AD647" s="383"/>
      <c r="AE647" s="383"/>
      <c r="AF647" s="383"/>
      <c r="AG647" s="383"/>
      <c r="AH647" s="383"/>
      <c r="AI647" s="383"/>
      <c r="AJ647" s="383"/>
      <c r="AK647" s="383"/>
      <c r="AL647" s="383"/>
      <c r="AM647" s="383"/>
      <c r="AN647" s="383"/>
      <c r="AO647" s="383"/>
      <c r="AP647" s="383"/>
      <c r="AQ647" s="383"/>
      <c r="AR647" s="383"/>
    </row>
    <row r="648" spans="2:44" s="639" customFormat="1" ht="12" customHeight="1">
      <c r="B648" s="638"/>
      <c r="J648" s="732" t="s">
        <v>2295</v>
      </c>
      <c r="K648" s="733"/>
      <c r="L648" s="730"/>
      <c r="M648" s="731"/>
      <c r="N648" s="1194" t="s">
        <v>2279</v>
      </c>
      <c r="O648" s="1194" t="s">
        <v>1542</v>
      </c>
      <c r="P648" s="731"/>
      <c r="R648" s="708" t="s">
        <v>1133</v>
      </c>
      <c r="S648" s="708" t="s">
        <v>166</v>
      </c>
      <c r="T648" s="1239" t="s">
        <v>2272</v>
      </c>
      <c r="X648" s="383"/>
      <c r="Y648" s="383"/>
      <c r="Z648" s="383"/>
      <c r="AA648" s="383"/>
      <c r="AB648" s="383"/>
      <c r="AC648" s="383"/>
      <c r="AD648" s="383"/>
      <c r="AE648" s="383"/>
      <c r="AF648" s="383"/>
      <c r="AG648" s="383"/>
      <c r="AH648" s="383"/>
      <c r="AI648" s="383"/>
      <c r="AJ648" s="383"/>
      <c r="AK648" s="383"/>
      <c r="AL648" s="383"/>
      <c r="AM648" s="383"/>
      <c r="AN648" s="383"/>
      <c r="AO648" s="383"/>
      <c r="AP648" s="383"/>
      <c r="AQ648" s="383"/>
      <c r="AR648" s="383"/>
    </row>
    <row r="649" spans="2:44" s="639" customFormat="1" ht="12" customHeight="1">
      <c r="B649" s="638"/>
      <c r="J649" s="732" t="s">
        <v>1712</v>
      </c>
      <c r="K649" s="733"/>
      <c r="L649" s="730"/>
      <c r="M649" s="731"/>
      <c r="N649" s="708" t="s">
        <v>2281</v>
      </c>
      <c r="O649" s="708" t="s">
        <v>707</v>
      </c>
      <c r="P649" s="1240"/>
      <c r="R649" s="708" t="s">
        <v>1134</v>
      </c>
      <c r="S649" s="708" t="s">
        <v>2037</v>
      </c>
      <c r="T649" s="1239" t="s">
        <v>2272</v>
      </c>
      <c r="X649" s="383"/>
      <c r="Y649" s="383"/>
      <c r="Z649" s="383"/>
      <c r="AA649" s="383"/>
      <c r="AB649" s="383"/>
      <c r="AC649" s="383"/>
      <c r="AD649" s="383"/>
      <c r="AE649" s="383"/>
      <c r="AF649" s="383"/>
      <c r="AG649" s="383"/>
      <c r="AH649" s="383"/>
      <c r="AI649" s="383"/>
      <c r="AJ649" s="383"/>
      <c r="AK649" s="383"/>
      <c r="AL649" s="383"/>
      <c r="AM649" s="383"/>
      <c r="AN649" s="383"/>
      <c r="AO649" s="383"/>
      <c r="AP649" s="383"/>
      <c r="AQ649" s="383"/>
      <c r="AR649" s="383"/>
    </row>
    <row r="650" spans="2:44" s="639" customFormat="1" ht="12" customHeight="1">
      <c r="B650" s="638"/>
      <c r="J650" s="732" t="s">
        <v>1713</v>
      </c>
      <c r="K650" s="733"/>
      <c r="L650" s="730"/>
      <c r="M650" s="731"/>
      <c r="N650" s="1194" t="s">
        <v>92</v>
      </c>
      <c r="O650" s="1194" t="s">
        <v>124</v>
      </c>
      <c r="P650" s="1239"/>
      <c r="R650" s="708" t="s">
        <v>1135</v>
      </c>
      <c r="S650" s="708" t="s">
        <v>2133</v>
      </c>
      <c r="T650" s="1239" t="s">
        <v>2272</v>
      </c>
      <c r="X650" s="383"/>
      <c r="Y650" s="383"/>
      <c r="Z650" s="383"/>
      <c r="AA650" s="383"/>
      <c r="AB650" s="383"/>
      <c r="AC650" s="383"/>
      <c r="AD650" s="383"/>
      <c r="AE650" s="383"/>
      <c r="AF650" s="383"/>
      <c r="AG650" s="383"/>
      <c r="AH650" s="383"/>
      <c r="AI650" s="383"/>
      <c r="AJ650" s="383"/>
      <c r="AK650" s="383"/>
      <c r="AL650" s="383"/>
      <c r="AM650" s="383"/>
      <c r="AN650" s="383"/>
      <c r="AO650" s="383"/>
      <c r="AP650" s="383"/>
      <c r="AQ650" s="383"/>
      <c r="AR650" s="383"/>
    </row>
    <row r="651" spans="2:44" s="639" customFormat="1" ht="12" customHeight="1">
      <c r="B651" s="638"/>
      <c r="J651" s="732" t="s">
        <v>1715</v>
      </c>
      <c r="K651" s="733"/>
      <c r="L651" s="730"/>
      <c r="M651" s="731"/>
      <c r="N651" s="1194" t="s">
        <v>1611</v>
      </c>
      <c r="O651" s="1194" t="s">
        <v>2318</v>
      </c>
      <c r="P651" s="731"/>
      <c r="R651" s="708" t="s">
        <v>1136</v>
      </c>
      <c r="S651" s="708" t="s">
        <v>664</v>
      </c>
      <c r="T651" s="1239" t="s">
        <v>2272</v>
      </c>
      <c r="X651" s="383"/>
      <c r="Y651" s="383"/>
      <c r="Z651" s="383"/>
      <c r="AA651" s="383"/>
      <c r="AB651" s="383"/>
      <c r="AC651" s="383"/>
      <c r="AD651" s="383"/>
      <c r="AE651" s="383"/>
      <c r="AF651" s="383"/>
      <c r="AG651" s="383"/>
      <c r="AH651" s="383"/>
      <c r="AI651" s="383"/>
      <c r="AJ651" s="383"/>
      <c r="AK651" s="383"/>
      <c r="AL651" s="383"/>
      <c r="AM651" s="383"/>
      <c r="AN651" s="383"/>
      <c r="AO651" s="383"/>
      <c r="AP651" s="383"/>
      <c r="AQ651" s="383"/>
      <c r="AR651" s="383"/>
    </row>
    <row r="652" spans="2:44" s="639" customFormat="1" ht="12" customHeight="1">
      <c r="B652" s="638"/>
      <c r="J652" s="732" t="s">
        <v>1716</v>
      </c>
      <c r="K652" s="733"/>
      <c r="L652" s="730"/>
      <c r="M652" s="731"/>
      <c r="N652" s="708" t="s">
        <v>1613</v>
      </c>
      <c r="O652" s="708" t="s">
        <v>207</v>
      </c>
      <c r="P652" s="731"/>
      <c r="R652" s="708" t="s">
        <v>1137</v>
      </c>
      <c r="S652" s="708" t="s">
        <v>1772</v>
      </c>
      <c r="T652" s="1239" t="s">
        <v>2272</v>
      </c>
      <c r="X652" s="383"/>
      <c r="Y652" s="383"/>
      <c r="Z652" s="383"/>
      <c r="AA652" s="383"/>
      <c r="AB652" s="383"/>
      <c r="AC652" s="383"/>
      <c r="AD652" s="383"/>
      <c r="AE652" s="383"/>
      <c r="AF652" s="383"/>
      <c r="AG652" s="383"/>
      <c r="AH652" s="383"/>
      <c r="AI652" s="383"/>
      <c r="AJ652" s="383"/>
      <c r="AK652" s="383"/>
      <c r="AL652" s="383"/>
      <c r="AM652" s="383"/>
      <c r="AN652" s="383"/>
      <c r="AO652" s="383"/>
      <c r="AP652" s="383"/>
      <c r="AQ652" s="383"/>
      <c r="AR652" s="383"/>
    </row>
    <row r="653" spans="2:44" s="639" customFormat="1" ht="12" customHeight="1">
      <c r="B653" s="638"/>
      <c r="J653" s="732" t="s">
        <v>1718</v>
      </c>
      <c r="K653" s="733"/>
      <c r="L653" s="730"/>
      <c r="M653" s="731"/>
      <c r="N653" s="1194" t="s">
        <v>1615</v>
      </c>
      <c r="O653" s="1194" t="s">
        <v>1545</v>
      </c>
      <c r="P653" s="1239"/>
      <c r="R653" s="708" t="s">
        <v>1138</v>
      </c>
      <c r="S653" s="708" t="s">
        <v>2645</v>
      </c>
      <c r="T653" s="1239" t="s">
        <v>2272</v>
      </c>
      <c r="X653" s="383"/>
      <c r="Y653" s="383"/>
      <c r="Z653" s="383"/>
      <c r="AA653" s="383"/>
      <c r="AB653" s="383"/>
      <c r="AC653" s="383"/>
      <c r="AD653" s="383"/>
      <c r="AE653" s="383"/>
      <c r="AF653" s="383"/>
      <c r="AG653" s="383"/>
      <c r="AH653" s="383"/>
      <c r="AI653" s="383"/>
      <c r="AJ653" s="383"/>
      <c r="AK653" s="383"/>
      <c r="AL653" s="383"/>
      <c r="AM653" s="383"/>
      <c r="AN653" s="383"/>
      <c r="AO653" s="383"/>
      <c r="AP653" s="383"/>
      <c r="AQ653" s="383"/>
      <c r="AR653" s="383"/>
    </row>
    <row r="654" spans="2:44" s="639" customFormat="1" ht="12" customHeight="1">
      <c r="B654" s="638"/>
      <c r="J654" s="732" t="s">
        <v>1719</v>
      </c>
      <c r="K654" s="733"/>
      <c r="L654" s="730"/>
      <c r="M654" s="731"/>
      <c r="N654" s="1194" t="s">
        <v>1617</v>
      </c>
      <c r="O654" s="1194" t="s">
        <v>2308</v>
      </c>
      <c r="P654" s="731"/>
      <c r="R654" s="708" t="s">
        <v>1139</v>
      </c>
      <c r="S654" s="708" t="s">
        <v>166</v>
      </c>
      <c r="T654" s="1239" t="s">
        <v>2272</v>
      </c>
      <c r="X654" s="383"/>
      <c r="Y654" s="383"/>
      <c r="Z654" s="383"/>
      <c r="AA654" s="383"/>
      <c r="AB654" s="383"/>
      <c r="AC654" s="383"/>
      <c r="AD654" s="383"/>
      <c r="AE654" s="383"/>
      <c r="AF654" s="383"/>
      <c r="AG654" s="383"/>
      <c r="AH654" s="383"/>
      <c r="AI654" s="383"/>
      <c r="AJ654" s="383"/>
      <c r="AK654" s="383"/>
      <c r="AL654" s="383"/>
      <c r="AM654" s="383"/>
      <c r="AN654" s="383"/>
      <c r="AO654" s="383"/>
      <c r="AP654" s="383"/>
      <c r="AQ654" s="383"/>
      <c r="AR654" s="383"/>
    </row>
    <row r="655" spans="2:44" s="639" customFormat="1" ht="12" customHeight="1">
      <c r="B655" s="638"/>
      <c r="J655" s="732" t="s">
        <v>1721</v>
      </c>
      <c r="K655" s="733"/>
      <c r="L655" s="730"/>
      <c r="M655" s="731"/>
      <c r="N655" s="1194" t="s">
        <v>66</v>
      </c>
      <c r="O655" s="1194" t="s">
        <v>1405</v>
      </c>
      <c r="P655" s="731"/>
      <c r="R655" s="708" t="s">
        <v>1140</v>
      </c>
      <c r="S655" s="708" t="s">
        <v>166</v>
      </c>
      <c r="T655" s="1239" t="s">
        <v>2272</v>
      </c>
      <c r="X655" s="383"/>
      <c r="Y655" s="383"/>
      <c r="Z655" s="383"/>
      <c r="AA655" s="383"/>
      <c r="AB655" s="383"/>
      <c r="AC655" s="383"/>
      <c r="AD655" s="383"/>
      <c r="AE655" s="383"/>
      <c r="AF655" s="383"/>
      <c r="AG655" s="383"/>
      <c r="AH655" s="383"/>
      <c r="AI655" s="383"/>
      <c r="AJ655" s="383"/>
      <c r="AK655" s="383"/>
      <c r="AL655" s="383"/>
      <c r="AM655" s="383"/>
      <c r="AN655" s="383"/>
      <c r="AO655" s="383"/>
      <c r="AP655" s="383"/>
      <c r="AQ655" s="383"/>
      <c r="AR655" s="383"/>
    </row>
    <row r="656" spans="2:44" s="639" customFormat="1" ht="12" customHeight="1">
      <c r="B656" s="638"/>
      <c r="J656" s="732" t="s">
        <v>2572</v>
      </c>
      <c r="K656" s="733"/>
      <c r="L656" s="730"/>
      <c r="M656" s="731"/>
      <c r="N656" s="1194" t="s">
        <v>68</v>
      </c>
      <c r="O656" s="1194" t="s">
        <v>109</v>
      </c>
      <c r="P656" s="731"/>
      <c r="X656" s="383"/>
      <c r="Y656" s="383"/>
      <c r="Z656" s="383"/>
      <c r="AA656" s="383"/>
      <c r="AB656" s="383"/>
      <c r="AC656" s="383"/>
      <c r="AD656" s="383"/>
      <c r="AE656" s="383"/>
      <c r="AF656" s="383"/>
      <c r="AG656" s="383"/>
      <c r="AH656" s="383"/>
      <c r="AI656" s="383"/>
      <c r="AJ656" s="383"/>
      <c r="AK656" s="383"/>
      <c r="AL656" s="383"/>
      <c r="AM656" s="383"/>
      <c r="AN656" s="383"/>
      <c r="AO656" s="383"/>
      <c r="AP656" s="383"/>
      <c r="AQ656" s="383"/>
      <c r="AR656" s="383"/>
    </row>
    <row r="657" spans="2:44" s="639" customFormat="1" ht="12" customHeight="1">
      <c r="B657" s="638"/>
      <c r="J657" s="732" t="s">
        <v>174</v>
      </c>
      <c r="K657" s="733"/>
      <c r="L657" s="730"/>
      <c r="M657" s="731"/>
      <c r="N657" s="1194" t="s">
        <v>70</v>
      </c>
      <c r="O657" s="1194" t="s">
        <v>926</v>
      </c>
      <c r="P657" s="731"/>
      <c r="X657" s="383"/>
      <c r="Y657" s="383"/>
      <c r="Z657" s="383"/>
      <c r="AA657" s="383"/>
      <c r="AB657" s="383"/>
      <c r="AC657" s="383"/>
      <c r="AD657" s="383"/>
      <c r="AE657" s="383"/>
      <c r="AF657" s="383"/>
      <c r="AG657" s="383"/>
      <c r="AH657" s="383"/>
      <c r="AI657" s="383"/>
      <c r="AJ657" s="383"/>
      <c r="AK657" s="383"/>
      <c r="AL657" s="383"/>
      <c r="AM657" s="383"/>
      <c r="AN657" s="383"/>
      <c r="AO657" s="383"/>
      <c r="AP657" s="383"/>
      <c r="AQ657" s="383"/>
      <c r="AR657" s="383"/>
    </row>
    <row r="658" spans="2:44" s="639" customFormat="1" ht="12" customHeight="1">
      <c r="B658" s="638"/>
      <c r="J658" s="732" t="s">
        <v>1042</v>
      </c>
      <c r="K658" s="733"/>
      <c r="L658" s="730"/>
      <c r="M658" s="731"/>
      <c r="N658" s="1194" t="s">
        <v>72</v>
      </c>
      <c r="O658" s="1194" t="s">
        <v>1618</v>
      </c>
      <c r="P658" s="731"/>
      <c r="X658" s="383"/>
      <c r="Y658" s="383"/>
      <c r="Z658" s="383"/>
      <c r="AA658" s="383"/>
      <c r="AB658" s="383"/>
      <c r="AC658" s="383"/>
      <c r="AD658" s="383"/>
      <c r="AE658" s="383"/>
      <c r="AF658" s="383"/>
      <c r="AG658" s="383"/>
      <c r="AH658" s="383"/>
      <c r="AI658" s="383"/>
      <c r="AJ658" s="383"/>
      <c r="AK658" s="383"/>
      <c r="AL658" s="383"/>
      <c r="AM658" s="383"/>
      <c r="AN658" s="383"/>
      <c r="AO658" s="383"/>
      <c r="AP658" s="383"/>
      <c r="AQ658" s="383"/>
      <c r="AR658" s="383"/>
    </row>
    <row r="659" spans="2:44" s="639" customFormat="1" ht="12" customHeight="1">
      <c r="B659" s="638"/>
      <c r="J659" s="732" t="s">
        <v>1043</v>
      </c>
      <c r="K659" s="733"/>
      <c r="L659" s="730"/>
      <c r="M659" s="731"/>
      <c r="N659" s="1194" t="s">
        <v>823</v>
      </c>
      <c r="O659" s="1194" t="s">
        <v>2642</v>
      </c>
      <c r="P659" s="731"/>
      <c r="X659" s="383"/>
      <c r="Y659" s="383"/>
      <c r="Z659" s="383"/>
      <c r="AA659" s="383"/>
      <c r="AB659" s="383"/>
      <c r="AC659" s="383"/>
      <c r="AD659" s="383"/>
      <c r="AE659" s="383"/>
      <c r="AF659" s="383"/>
      <c r="AG659" s="383"/>
      <c r="AH659" s="383"/>
      <c r="AI659" s="383"/>
      <c r="AJ659" s="383"/>
      <c r="AK659" s="383"/>
      <c r="AL659" s="383"/>
      <c r="AM659" s="383"/>
      <c r="AN659" s="383"/>
      <c r="AO659" s="383"/>
      <c r="AP659" s="383"/>
      <c r="AQ659" s="383"/>
      <c r="AR659" s="383"/>
    </row>
    <row r="660" spans="2:44" s="639" customFormat="1" ht="12" customHeight="1">
      <c r="B660" s="638"/>
      <c r="J660" s="732" t="s">
        <v>1045</v>
      </c>
      <c r="K660" s="733"/>
      <c r="L660" s="730"/>
      <c r="M660" s="731"/>
      <c r="N660" s="708" t="s">
        <v>772</v>
      </c>
      <c r="O660" s="708" t="s">
        <v>2648</v>
      </c>
      <c r="P660" s="731"/>
      <c r="X660" s="383"/>
      <c r="Y660" s="383"/>
      <c r="Z660" s="383"/>
      <c r="AA660" s="383"/>
      <c r="AB660" s="383"/>
      <c r="AC660" s="383"/>
      <c r="AD660" s="383"/>
      <c r="AE660" s="383"/>
      <c r="AF660" s="383"/>
      <c r="AG660" s="383"/>
      <c r="AH660" s="383"/>
      <c r="AI660" s="383"/>
      <c r="AJ660" s="383"/>
      <c r="AK660" s="383"/>
      <c r="AL660" s="383"/>
      <c r="AM660" s="383"/>
      <c r="AN660" s="383"/>
      <c r="AO660" s="383"/>
      <c r="AP660" s="383"/>
      <c r="AQ660" s="383"/>
      <c r="AR660" s="383"/>
    </row>
    <row r="661" spans="2:44" s="639" customFormat="1" ht="12" customHeight="1">
      <c r="B661" s="638"/>
      <c r="J661" s="732" t="s">
        <v>2528</v>
      </c>
      <c r="K661" s="733"/>
      <c r="L661" s="730"/>
      <c r="M661" s="731"/>
      <c r="N661" s="1194" t="s">
        <v>991</v>
      </c>
      <c r="O661" s="1194" t="s">
        <v>2696</v>
      </c>
      <c r="P661" s="1239"/>
      <c r="X661" s="383"/>
      <c r="Y661" s="383"/>
      <c r="Z661" s="383"/>
      <c r="AA661" s="383"/>
      <c r="AB661" s="383"/>
      <c r="AC661" s="383"/>
      <c r="AD661" s="383"/>
      <c r="AE661" s="383"/>
      <c r="AF661" s="383"/>
      <c r="AG661" s="383"/>
      <c r="AH661" s="383"/>
      <c r="AI661" s="383"/>
      <c r="AJ661" s="383"/>
      <c r="AK661" s="383"/>
      <c r="AL661" s="383"/>
      <c r="AM661" s="383"/>
      <c r="AN661" s="383"/>
      <c r="AO661" s="383"/>
      <c r="AP661" s="383"/>
      <c r="AQ661" s="383"/>
      <c r="AR661" s="383"/>
    </row>
    <row r="662" spans="2:44" s="639" customFormat="1" ht="12" customHeight="1">
      <c r="B662" s="638"/>
      <c r="J662" s="732" t="s">
        <v>2689</v>
      </c>
      <c r="K662" s="733"/>
      <c r="L662" s="730"/>
      <c r="M662" s="731"/>
      <c r="N662" s="1194" t="s">
        <v>1128</v>
      </c>
      <c r="O662" s="1194" t="s">
        <v>338</v>
      </c>
      <c r="P662" s="731"/>
      <c r="X662" s="383"/>
      <c r="Y662" s="383"/>
      <c r="Z662" s="383"/>
      <c r="AA662" s="383"/>
      <c r="AB662" s="383"/>
      <c r="AC662" s="383"/>
      <c r="AD662" s="383"/>
      <c r="AE662" s="383"/>
      <c r="AF662" s="383"/>
      <c r="AG662" s="383"/>
      <c r="AH662" s="383"/>
      <c r="AI662" s="383"/>
      <c r="AJ662" s="383"/>
      <c r="AK662" s="383"/>
      <c r="AL662" s="383"/>
      <c r="AM662" s="383"/>
      <c r="AN662" s="383"/>
      <c r="AO662" s="383"/>
      <c r="AP662" s="383"/>
      <c r="AQ662" s="383"/>
      <c r="AR662" s="383"/>
    </row>
    <row r="663" spans="2:44" s="639" customFormat="1" ht="12" customHeight="1">
      <c r="B663" s="638"/>
      <c r="J663" s="732" t="s">
        <v>2129</v>
      </c>
      <c r="K663" s="733"/>
      <c r="L663" s="730"/>
      <c r="M663" s="731"/>
      <c r="N663" s="1194" t="s">
        <v>1245</v>
      </c>
      <c r="O663" s="1194" t="s">
        <v>2077</v>
      </c>
      <c r="P663" s="731"/>
      <c r="X663" s="383"/>
      <c r="Y663" s="383"/>
      <c r="Z663" s="383"/>
      <c r="AA663" s="383"/>
      <c r="AB663" s="383"/>
      <c r="AC663" s="383"/>
      <c r="AD663" s="383"/>
      <c r="AE663" s="383"/>
      <c r="AF663" s="383"/>
      <c r="AG663" s="383"/>
      <c r="AH663" s="383"/>
      <c r="AI663" s="383"/>
      <c r="AJ663" s="383"/>
      <c r="AK663" s="383"/>
      <c r="AL663" s="383"/>
      <c r="AM663" s="383"/>
      <c r="AN663" s="383"/>
      <c r="AO663" s="383"/>
      <c r="AP663" s="383"/>
      <c r="AQ663" s="383"/>
      <c r="AR663" s="383"/>
    </row>
    <row r="664" spans="2:44" s="639" customFormat="1" ht="12" customHeight="1">
      <c r="B664" s="638"/>
      <c r="J664" s="732" t="s">
        <v>994</v>
      </c>
      <c r="K664" s="733"/>
      <c r="L664" s="730"/>
      <c r="M664" s="731"/>
      <c r="N664" s="1194" t="s">
        <v>3256</v>
      </c>
      <c r="O664" s="1194" t="s">
        <v>1894</v>
      </c>
      <c r="P664" s="731"/>
      <c r="X664" s="383"/>
      <c r="Y664" s="383"/>
      <c r="Z664" s="383"/>
      <c r="AA664" s="383"/>
      <c r="AB664" s="383"/>
      <c r="AC664" s="383"/>
      <c r="AD664" s="383"/>
      <c r="AE664" s="383"/>
      <c r="AF664" s="383"/>
      <c r="AG664" s="383"/>
      <c r="AH664" s="383"/>
      <c r="AI664" s="383"/>
      <c r="AJ664" s="383"/>
      <c r="AK664" s="383"/>
      <c r="AL664" s="383"/>
      <c r="AM664" s="383"/>
      <c r="AN664" s="383"/>
      <c r="AO664" s="383"/>
      <c r="AP664" s="383"/>
      <c r="AQ664" s="383"/>
      <c r="AR664" s="383"/>
    </row>
    <row r="665" spans="2:44" s="639" customFormat="1" ht="12" customHeight="1">
      <c r="B665" s="638"/>
      <c r="J665" s="732" t="s">
        <v>816</v>
      </c>
      <c r="K665" s="733"/>
      <c r="L665" s="730"/>
      <c r="M665" s="731"/>
      <c r="N665" s="708" t="s">
        <v>1101</v>
      </c>
      <c r="O665" s="708" t="s">
        <v>1156</v>
      </c>
      <c r="P665" s="731"/>
      <c r="X665" s="383"/>
      <c r="Y665" s="383"/>
      <c r="Z665" s="383"/>
      <c r="AA665" s="383"/>
      <c r="AB665" s="383"/>
      <c r="AC665" s="383"/>
      <c r="AD665" s="383"/>
      <c r="AE665" s="383"/>
      <c r="AF665" s="383"/>
      <c r="AG665" s="383"/>
      <c r="AH665" s="383"/>
      <c r="AI665" s="383"/>
      <c r="AJ665" s="383"/>
      <c r="AK665" s="383"/>
      <c r="AL665" s="383"/>
      <c r="AM665" s="383"/>
      <c r="AN665" s="383"/>
      <c r="AO665" s="383"/>
      <c r="AP665" s="383"/>
      <c r="AQ665" s="383"/>
      <c r="AR665" s="383"/>
    </row>
    <row r="666" spans="2:44" s="639" customFormat="1" ht="12" customHeight="1">
      <c r="B666" s="638"/>
      <c r="J666" s="732" t="s">
        <v>1558</v>
      </c>
      <c r="K666" s="733"/>
      <c r="L666" s="730"/>
      <c r="M666" s="731"/>
      <c r="N666" s="1194" t="s">
        <v>2406</v>
      </c>
      <c r="O666" s="1194" t="s">
        <v>2301</v>
      </c>
      <c r="P666" s="1239"/>
      <c r="X666" s="383"/>
      <c r="Y666" s="383"/>
      <c r="Z666" s="383"/>
      <c r="AA666" s="383"/>
      <c r="AB666" s="383"/>
      <c r="AC666" s="383"/>
      <c r="AD666" s="383"/>
      <c r="AE666" s="383"/>
      <c r="AF666" s="383"/>
      <c r="AG666" s="383"/>
      <c r="AH666" s="383"/>
      <c r="AI666" s="383"/>
      <c r="AJ666" s="383"/>
      <c r="AK666" s="383"/>
      <c r="AL666" s="383"/>
      <c r="AM666" s="383"/>
      <c r="AN666" s="383"/>
      <c r="AO666" s="383"/>
      <c r="AP666" s="383"/>
      <c r="AQ666" s="383"/>
      <c r="AR666" s="383"/>
    </row>
    <row r="667" spans="2:44" s="639" customFormat="1" ht="12" customHeight="1">
      <c r="B667" s="638"/>
      <c r="J667" s="732" t="s">
        <v>1560</v>
      </c>
      <c r="K667" s="733"/>
      <c r="L667" s="730"/>
      <c r="M667" s="731"/>
      <c r="N667" s="1194" t="s">
        <v>2408</v>
      </c>
      <c r="O667" s="1194" t="s">
        <v>698</v>
      </c>
      <c r="P667" s="731"/>
      <c r="X667" s="383"/>
      <c r="Y667" s="383"/>
      <c r="Z667" s="383"/>
      <c r="AA667" s="383"/>
      <c r="AB667" s="383"/>
      <c r="AC667" s="383"/>
      <c r="AD667" s="383"/>
      <c r="AE667" s="383"/>
      <c r="AF667" s="383"/>
      <c r="AG667" s="383"/>
      <c r="AH667" s="383"/>
      <c r="AI667" s="383"/>
      <c r="AJ667" s="383"/>
      <c r="AK667" s="383"/>
      <c r="AL667" s="383"/>
      <c r="AM667" s="383"/>
      <c r="AN667" s="383"/>
      <c r="AO667" s="383"/>
      <c r="AP667" s="383"/>
      <c r="AQ667" s="383"/>
      <c r="AR667" s="383"/>
    </row>
    <row r="668" spans="2:44" s="639" customFormat="1" ht="12" customHeight="1">
      <c r="B668" s="638"/>
      <c r="J668" s="732" t="s">
        <v>1562</v>
      </c>
      <c r="K668" s="733"/>
      <c r="L668" s="730"/>
      <c r="M668" s="731"/>
      <c r="N668" s="1194" t="s">
        <v>1885</v>
      </c>
      <c r="O668" s="1194" t="s">
        <v>777</v>
      </c>
      <c r="P668" s="731"/>
      <c r="X668" s="383"/>
      <c r="Y668" s="383"/>
      <c r="Z668" s="383"/>
      <c r="AA668" s="383"/>
      <c r="AB668" s="383"/>
      <c r="AC668" s="383"/>
      <c r="AD668" s="383"/>
      <c r="AE668" s="383"/>
      <c r="AF668" s="383"/>
      <c r="AG668" s="383"/>
      <c r="AH668" s="383"/>
      <c r="AI668" s="383"/>
      <c r="AJ668" s="383"/>
      <c r="AK668" s="383"/>
      <c r="AL668" s="383"/>
      <c r="AM668" s="383"/>
      <c r="AN668" s="383"/>
      <c r="AO668" s="383"/>
      <c r="AP668" s="383"/>
      <c r="AQ668" s="383"/>
      <c r="AR668" s="383"/>
    </row>
    <row r="669" spans="2:44" s="639" customFormat="1" ht="12" customHeight="1">
      <c r="B669" s="638"/>
      <c r="J669" s="732" t="s">
        <v>1385</v>
      </c>
      <c r="K669" s="733"/>
      <c r="L669" s="730"/>
      <c r="M669" s="731"/>
      <c r="N669" s="1194" t="s">
        <v>2683</v>
      </c>
      <c r="O669" s="1194" t="s">
        <v>2135</v>
      </c>
      <c r="P669" s="731"/>
      <c r="X669" s="383"/>
      <c r="Y669" s="383"/>
      <c r="Z669" s="383"/>
      <c r="AA669" s="383"/>
      <c r="AB669" s="383"/>
      <c r="AC669" s="383"/>
      <c r="AD669" s="383"/>
      <c r="AE669" s="383"/>
      <c r="AF669" s="383"/>
      <c r="AG669" s="383"/>
      <c r="AH669" s="383"/>
      <c r="AI669" s="383"/>
      <c r="AJ669" s="383"/>
      <c r="AK669" s="383"/>
      <c r="AL669" s="383"/>
      <c r="AM669" s="383"/>
      <c r="AN669" s="383"/>
      <c r="AO669" s="383"/>
      <c r="AP669" s="383"/>
      <c r="AQ669" s="383"/>
      <c r="AR669" s="383"/>
    </row>
    <row r="670" spans="2:44" s="639" customFormat="1" ht="12" customHeight="1">
      <c r="B670" s="638"/>
      <c r="J670" s="732" t="s">
        <v>1387</v>
      </c>
      <c r="K670" s="733"/>
      <c r="L670" s="730"/>
      <c r="M670" s="731"/>
      <c r="N670" s="1194" t="s">
        <v>2296</v>
      </c>
      <c r="O670" s="1194" t="s">
        <v>1277</v>
      </c>
      <c r="P670" s="731"/>
      <c r="X670" s="383"/>
      <c r="Y670" s="383"/>
      <c r="Z670" s="383"/>
      <c r="AA670" s="383"/>
      <c r="AB670" s="383"/>
      <c r="AC670" s="383"/>
      <c r="AD670" s="383"/>
      <c r="AE670" s="383"/>
      <c r="AF670" s="383"/>
      <c r="AG670" s="383"/>
      <c r="AH670" s="383"/>
      <c r="AI670" s="383"/>
      <c r="AJ670" s="383"/>
      <c r="AK670" s="383"/>
      <c r="AL670" s="383"/>
      <c r="AM670" s="383"/>
      <c r="AN670" s="383"/>
      <c r="AO670" s="383"/>
      <c r="AP670" s="383"/>
      <c r="AQ670" s="383"/>
      <c r="AR670" s="383"/>
    </row>
    <row r="671" spans="2:44" s="639" customFormat="1" ht="12" customHeight="1">
      <c r="B671" s="638"/>
      <c r="J671" s="732" t="s">
        <v>2119</v>
      </c>
      <c r="K671" s="733"/>
      <c r="L671" s="730"/>
      <c r="M671" s="731"/>
      <c r="N671" s="708" t="s">
        <v>1714</v>
      </c>
      <c r="O671" s="708" t="s">
        <v>700</v>
      </c>
      <c r="P671" s="731"/>
      <c r="X671" s="383"/>
      <c r="Y671" s="383"/>
      <c r="Z671" s="383"/>
      <c r="AA671" s="383"/>
      <c r="AB671" s="383"/>
      <c r="AC671" s="383"/>
      <c r="AD671" s="383"/>
      <c r="AE671" s="383"/>
      <c r="AF671" s="383"/>
      <c r="AG671" s="383"/>
      <c r="AH671" s="383"/>
      <c r="AI671" s="383"/>
      <c r="AJ671" s="383"/>
      <c r="AK671" s="383"/>
      <c r="AL671" s="383"/>
      <c r="AM671" s="383"/>
      <c r="AN671" s="383"/>
      <c r="AO671" s="383"/>
      <c r="AP671" s="383"/>
      <c r="AQ671" s="383"/>
      <c r="AR671" s="383"/>
    </row>
    <row r="672" spans="2:44" s="639" customFormat="1" ht="12" customHeight="1">
      <c r="B672" s="638"/>
      <c r="J672" s="732" t="s">
        <v>778</v>
      </c>
      <c r="K672" s="733"/>
      <c r="L672" s="730"/>
      <c r="M672" s="731"/>
      <c r="N672" s="1194" t="s">
        <v>880</v>
      </c>
      <c r="O672" s="1194" t="s">
        <v>1393</v>
      </c>
      <c r="P672" s="1239"/>
      <c r="X672" s="383"/>
      <c r="Y672" s="383"/>
      <c r="Z672" s="383"/>
      <c r="AA672" s="383"/>
      <c r="AB672" s="383"/>
      <c r="AC672" s="383"/>
      <c r="AD672" s="383"/>
      <c r="AE672" s="383"/>
      <c r="AF672" s="383"/>
      <c r="AG672" s="383"/>
      <c r="AH672" s="383"/>
      <c r="AI672" s="383"/>
      <c r="AJ672" s="383"/>
      <c r="AK672" s="383"/>
      <c r="AL672" s="383"/>
      <c r="AM672" s="383"/>
      <c r="AN672" s="383"/>
      <c r="AO672" s="383"/>
      <c r="AP672" s="383"/>
      <c r="AQ672" s="383"/>
      <c r="AR672" s="383"/>
    </row>
    <row r="673" spans="2:44" s="639" customFormat="1" ht="12" customHeight="1">
      <c r="B673" s="638"/>
      <c r="J673" s="732" t="s">
        <v>1340</v>
      </c>
      <c r="K673" s="733"/>
      <c r="L673" s="730"/>
      <c r="M673" s="731"/>
      <c r="N673" s="1194" t="s">
        <v>1717</v>
      </c>
      <c r="O673" s="1194" t="s">
        <v>2757</v>
      </c>
      <c r="P673" s="731"/>
      <c r="X673" s="383"/>
      <c r="Y673" s="383"/>
      <c r="Z673" s="383"/>
      <c r="AA673" s="383"/>
      <c r="AB673" s="383"/>
      <c r="AC673" s="383"/>
      <c r="AD673" s="383"/>
      <c r="AE673" s="383"/>
      <c r="AF673" s="383"/>
      <c r="AG673" s="383"/>
      <c r="AH673" s="383"/>
      <c r="AI673" s="383"/>
      <c r="AJ673" s="383"/>
      <c r="AK673" s="383"/>
      <c r="AL673" s="383"/>
      <c r="AM673" s="383"/>
      <c r="AN673" s="383"/>
      <c r="AO673" s="383"/>
      <c r="AP673" s="383"/>
      <c r="AQ673" s="383"/>
      <c r="AR673" s="383"/>
    </row>
    <row r="674" spans="2:44" s="639" customFormat="1" ht="12" customHeight="1">
      <c r="B674" s="638"/>
      <c r="J674" s="732" t="s">
        <v>2007</v>
      </c>
      <c r="K674" s="733"/>
      <c r="L674" s="730"/>
      <c r="M674" s="731"/>
      <c r="N674" s="1194" t="s">
        <v>1720</v>
      </c>
      <c r="O674" s="1194" t="s">
        <v>1735</v>
      </c>
      <c r="P674" s="731"/>
      <c r="X674" s="383"/>
      <c r="Y674" s="383"/>
      <c r="Z674" s="383"/>
      <c r="AA674" s="383"/>
      <c r="AB674" s="383"/>
      <c r="AC674" s="383"/>
      <c r="AD674" s="383"/>
      <c r="AE674" s="383"/>
      <c r="AF674" s="383"/>
      <c r="AG674" s="383"/>
      <c r="AH674" s="383"/>
      <c r="AI674" s="383"/>
      <c r="AJ674" s="383"/>
      <c r="AK674" s="383"/>
      <c r="AL674" s="383"/>
      <c r="AM674" s="383"/>
      <c r="AN674" s="383"/>
      <c r="AO674" s="383"/>
      <c r="AP674" s="383"/>
      <c r="AQ674" s="383"/>
      <c r="AR674" s="383"/>
    </row>
    <row r="675" spans="2:44" s="639" customFormat="1" ht="12" customHeight="1">
      <c r="B675" s="638"/>
      <c r="J675" s="732" t="s">
        <v>2008</v>
      </c>
      <c r="K675" s="733"/>
      <c r="L675" s="730"/>
      <c r="M675" s="731"/>
      <c r="N675" s="1194" t="s">
        <v>1130</v>
      </c>
      <c r="O675" s="1194" t="s">
        <v>1618</v>
      </c>
      <c r="P675" s="731"/>
      <c r="X675" s="383"/>
      <c r="Y675" s="383"/>
      <c r="Z675" s="383"/>
      <c r="AA675" s="383"/>
      <c r="AB675" s="383"/>
      <c r="AC675" s="383"/>
      <c r="AD675" s="383"/>
      <c r="AE675" s="383"/>
      <c r="AF675" s="383"/>
      <c r="AG675" s="383"/>
      <c r="AH675" s="383"/>
      <c r="AI675" s="383"/>
      <c r="AJ675" s="383"/>
      <c r="AK675" s="383"/>
      <c r="AL675" s="383"/>
      <c r="AM675" s="383"/>
      <c r="AN675" s="383"/>
      <c r="AO675" s="383"/>
      <c r="AP675" s="383"/>
      <c r="AQ675" s="383"/>
      <c r="AR675" s="383"/>
    </row>
    <row r="676" spans="2:44" s="639" customFormat="1" ht="12" customHeight="1">
      <c r="B676" s="638"/>
      <c r="J676" s="732" t="s">
        <v>2010</v>
      </c>
      <c r="K676" s="733"/>
      <c r="L676" s="730"/>
      <c r="M676" s="731"/>
      <c r="N676" s="1194" t="s">
        <v>2571</v>
      </c>
      <c r="O676" s="1194" t="s">
        <v>109</v>
      </c>
      <c r="P676" s="731"/>
      <c r="X676" s="383"/>
      <c r="Y676" s="383"/>
      <c r="Z676" s="383"/>
      <c r="AA676" s="383"/>
      <c r="AB676" s="383"/>
      <c r="AC676" s="383"/>
      <c r="AD676" s="383"/>
      <c r="AE676" s="383"/>
      <c r="AF676" s="383"/>
      <c r="AG676" s="383"/>
      <c r="AH676" s="383"/>
      <c r="AI676" s="383"/>
      <c r="AJ676" s="383"/>
      <c r="AK676" s="383"/>
      <c r="AL676" s="383"/>
      <c r="AM676" s="383"/>
      <c r="AN676" s="383"/>
      <c r="AO676" s="383"/>
      <c r="AP676" s="383"/>
      <c r="AQ676" s="383"/>
      <c r="AR676" s="383"/>
    </row>
    <row r="677" spans="2:44" s="639" customFormat="1" ht="12" customHeight="1">
      <c r="B677" s="638"/>
      <c r="J677" s="732" t="s">
        <v>2012</v>
      </c>
      <c r="K677" s="733"/>
      <c r="L677" s="730"/>
      <c r="M677" s="731"/>
      <c r="N677" s="1194" t="s">
        <v>863</v>
      </c>
      <c r="O677" s="1194" t="s">
        <v>1277</v>
      </c>
      <c r="P677" s="731"/>
      <c r="X677" s="383"/>
      <c r="Y677" s="383"/>
      <c r="Z677" s="383"/>
      <c r="AA677" s="383"/>
      <c r="AB677" s="383"/>
      <c r="AC677" s="383"/>
      <c r="AD677" s="383"/>
      <c r="AE677" s="383"/>
      <c r="AF677" s="383"/>
      <c r="AG677" s="383"/>
      <c r="AH677" s="383"/>
      <c r="AI677" s="383"/>
      <c r="AJ677" s="383"/>
      <c r="AK677" s="383"/>
      <c r="AL677" s="383"/>
      <c r="AM677" s="383"/>
      <c r="AN677" s="383"/>
      <c r="AO677" s="383"/>
      <c r="AP677" s="383"/>
      <c r="AQ677" s="383"/>
      <c r="AR677" s="383"/>
    </row>
    <row r="678" spans="2:44" s="639" customFormat="1" ht="12" customHeight="1">
      <c r="B678" s="638"/>
      <c r="J678" s="732" t="s">
        <v>2014</v>
      </c>
      <c r="K678" s="733"/>
      <c r="L678" s="730"/>
      <c r="M678" s="731"/>
      <c r="N678" s="1194" t="s">
        <v>1383</v>
      </c>
      <c r="O678" s="1194" t="s">
        <v>2035</v>
      </c>
      <c r="P678" s="731"/>
      <c r="X678" s="383"/>
      <c r="Y678" s="383"/>
      <c r="Z678" s="383"/>
      <c r="AA678" s="383"/>
      <c r="AB678" s="383"/>
      <c r="AC678" s="383"/>
      <c r="AD678" s="383"/>
      <c r="AE678" s="383"/>
      <c r="AF678" s="383"/>
      <c r="AG678" s="383"/>
      <c r="AH678" s="383"/>
      <c r="AI678" s="383"/>
      <c r="AJ678" s="383"/>
      <c r="AK678" s="383"/>
      <c r="AL678" s="383"/>
      <c r="AM678" s="383"/>
      <c r="AN678" s="383"/>
      <c r="AO678" s="383"/>
      <c r="AP678" s="383"/>
      <c r="AQ678" s="383"/>
      <c r="AR678" s="383"/>
    </row>
    <row r="679" spans="2:44" s="639" customFormat="1" ht="12" customHeight="1">
      <c r="B679" s="638"/>
      <c r="J679" s="732" t="s">
        <v>528</v>
      </c>
      <c r="K679" s="733"/>
      <c r="L679" s="730"/>
      <c r="M679" s="731"/>
      <c r="N679" s="1194" t="s">
        <v>175</v>
      </c>
      <c r="O679" s="1194" t="s">
        <v>1409</v>
      </c>
      <c r="P679" s="731"/>
      <c r="X679" s="383"/>
      <c r="Y679" s="383"/>
      <c r="Z679" s="383"/>
      <c r="AA679" s="383"/>
      <c r="AB679" s="383"/>
      <c r="AC679" s="383"/>
      <c r="AD679" s="383"/>
      <c r="AE679" s="383"/>
      <c r="AF679" s="383"/>
      <c r="AG679" s="383"/>
      <c r="AH679" s="383"/>
      <c r="AI679" s="383"/>
      <c r="AJ679" s="383"/>
      <c r="AK679" s="383"/>
      <c r="AL679" s="383"/>
      <c r="AM679" s="383"/>
      <c r="AN679" s="383"/>
      <c r="AO679" s="383"/>
      <c r="AP679" s="383"/>
      <c r="AQ679" s="383"/>
      <c r="AR679" s="383"/>
    </row>
    <row r="680" spans="2:44" s="639" customFormat="1" ht="12" customHeight="1">
      <c r="B680" s="638"/>
      <c r="J680" s="732" t="s">
        <v>2699</v>
      </c>
      <c r="K680" s="733"/>
      <c r="L680" s="730"/>
      <c r="M680" s="731"/>
      <c r="N680" s="1194" t="s">
        <v>1044</v>
      </c>
      <c r="O680" s="1194" t="s">
        <v>1769</v>
      </c>
      <c r="P680" s="731"/>
      <c r="X680" s="383"/>
      <c r="Y680" s="383"/>
      <c r="Z680" s="383"/>
      <c r="AA680" s="383"/>
      <c r="AB680" s="383"/>
      <c r="AC680" s="383"/>
      <c r="AD680" s="383"/>
      <c r="AE680" s="383"/>
      <c r="AF680" s="383"/>
      <c r="AG680" s="383"/>
      <c r="AH680" s="383"/>
      <c r="AI680" s="383"/>
      <c r="AJ680" s="383"/>
      <c r="AK680" s="383"/>
      <c r="AL680" s="383"/>
      <c r="AM680" s="383"/>
      <c r="AN680" s="383"/>
      <c r="AO680" s="383"/>
      <c r="AP680" s="383"/>
      <c r="AQ680" s="383"/>
      <c r="AR680" s="383"/>
    </row>
    <row r="681" spans="2:44" s="639" customFormat="1" ht="12" customHeight="1">
      <c r="B681" s="638"/>
      <c r="J681" s="732" t="s">
        <v>2701</v>
      </c>
      <c r="K681" s="733"/>
      <c r="L681" s="730"/>
      <c r="M681" s="731"/>
      <c r="N681" s="1194" t="s">
        <v>3257</v>
      </c>
      <c r="O681" s="1194" t="s">
        <v>344</v>
      </c>
      <c r="P681" s="731"/>
      <c r="X681" s="383"/>
      <c r="Y681" s="383"/>
      <c r="Z681" s="383"/>
      <c r="AA681" s="383"/>
      <c r="AB681" s="383"/>
      <c r="AC681" s="383"/>
      <c r="AD681" s="383"/>
      <c r="AE681" s="383"/>
      <c r="AF681" s="383"/>
      <c r="AG681" s="383"/>
      <c r="AH681" s="383"/>
      <c r="AI681" s="383"/>
      <c r="AJ681" s="383"/>
      <c r="AK681" s="383"/>
      <c r="AL681" s="383"/>
      <c r="AM681" s="383"/>
      <c r="AN681" s="383"/>
      <c r="AO681" s="383"/>
      <c r="AP681" s="383"/>
      <c r="AQ681" s="383"/>
      <c r="AR681" s="383"/>
    </row>
    <row r="682" spans="2:44" s="639" customFormat="1" ht="12" customHeight="1">
      <c r="B682" s="638"/>
      <c r="J682" s="732" t="s">
        <v>1218</v>
      </c>
      <c r="K682" s="733"/>
      <c r="L682" s="730"/>
      <c r="M682" s="731"/>
      <c r="N682" s="708" t="s">
        <v>3258</v>
      </c>
      <c r="O682" s="708" t="s">
        <v>117</v>
      </c>
      <c r="P682" s="731"/>
      <c r="X682" s="383"/>
      <c r="Y682" s="383"/>
      <c r="Z682" s="383"/>
      <c r="AA682" s="383"/>
      <c r="AB682" s="383"/>
      <c r="AC682" s="383"/>
      <c r="AD682" s="383"/>
      <c r="AE682" s="383"/>
      <c r="AF682" s="383"/>
      <c r="AG682" s="383"/>
      <c r="AH682" s="383"/>
      <c r="AI682" s="383"/>
      <c r="AJ682" s="383"/>
      <c r="AK682" s="383"/>
      <c r="AL682" s="383"/>
      <c r="AM682" s="383"/>
      <c r="AN682" s="383"/>
      <c r="AO682" s="383"/>
      <c r="AP682" s="383"/>
      <c r="AQ682" s="383"/>
      <c r="AR682" s="383"/>
    </row>
    <row r="683" spans="2:44" s="639" customFormat="1" ht="12" customHeight="1">
      <c r="B683" s="638"/>
      <c r="J683" s="732" t="s">
        <v>2678</v>
      </c>
      <c r="K683" s="733"/>
      <c r="L683" s="730"/>
      <c r="M683" s="731"/>
      <c r="N683" s="1194" t="s">
        <v>1406</v>
      </c>
      <c r="O683" s="1194" t="s">
        <v>166</v>
      </c>
      <c r="P683" s="1239"/>
      <c r="X683" s="383"/>
      <c r="Y683" s="383"/>
      <c r="Z683" s="383"/>
      <c r="AA683" s="383"/>
      <c r="AB683" s="383"/>
      <c r="AC683" s="383"/>
      <c r="AD683" s="383"/>
      <c r="AE683" s="383"/>
      <c r="AF683" s="383"/>
      <c r="AG683" s="383"/>
      <c r="AH683" s="383"/>
      <c r="AI683" s="383"/>
      <c r="AJ683" s="383"/>
      <c r="AK683" s="383"/>
      <c r="AL683" s="383"/>
      <c r="AM683" s="383"/>
      <c r="AN683" s="383"/>
      <c r="AO683" s="383"/>
      <c r="AP683" s="383"/>
      <c r="AQ683" s="383"/>
      <c r="AR683" s="383"/>
    </row>
    <row r="684" spans="2:44" s="639" customFormat="1" ht="12" customHeight="1">
      <c r="B684" s="638"/>
      <c r="J684" s="732" t="s">
        <v>2680</v>
      </c>
      <c r="K684" s="733"/>
      <c r="L684" s="730"/>
      <c r="M684" s="731"/>
      <c r="N684" s="1194" t="s">
        <v>2690</v>
      </c>
      <c r="O684" s="1194" t="s">
        <v>920</v>
      </c>
      <c r="P684" s="731"/>
      <c r="X684" s="383"/>
      <c r="Y684" s="383"/>
      <c r="Z684" s="383"/>
      <c r="AA684" s="383"/>
      <c r="AB684" s="383"/>
      <c r="AC684" s="383"/>
      <c r="AD684" s="383"/>
      <c r="AE684" s="383"/>
      <c r="AF684" s="383"/>
      <c r="AG684" s="383"/>
      <c r="AH684" s="383"/>
      <c r="AI684" s="383"/>
      <c r="AJ684" s="383"/>
      <c r="AK684" s="383"/>
      <c r="AL684" s="383"/>
      <c r="AM684" s="383"/>
      <c r="AN684" s="383"/>
      <c r="AO684" s="383"/>
      <c r="AP684" s="383"/>
      <c r="AQ684" s="383"/>
      <c r="AR684" s="383"/>
    </row>
    <row r="685" spans="2:44" s="639" customFormat="1" ht="12" customHeight="1">
      <c r="B685" s="638"/>
      <c r="J685" s="732" t="s">
        <v>1629</v>
      </c>
      <c r="K685" s="733"/>
      <c r="L685" s="730"/>
      <c r="M685" s="731"/>
      <c r="N685" s="1194" t="s">
        <v>1131</v>
      </c>
      <c r="O685" s="1194" t="s">
        <v>664</v>
      </c>
      <c r="P685" s="731"/>
      <c r="X685" s="383"/>
      <c r="Y685" s="383"/>
      <c r="Z685" s="383"/>
      <c r="AA685" s="383"/>
      <c r="AB685" s="383"/>
      <c r="AC685" s="383"/>
      <c r="AD685" s="383"/>
      <c r="AE685" s="383"/>
      <c r="AF685" s="383"/>
      <c r="AG685" s="383"/>
      <c r="AH685" s="383"/>
      <c r="AI685" s="383"/>
      <c r="AJ685" s="383"/>
      <c r="AK685" s="383"/>
      <c r="AL685" s="383"/>
      <c r="AM685" s="383"/>
      <c r="AN685" s="383"/>
      <c r="AO685" s="383"/>
      <c r="AP685" s="383"/>
      <c r="AQ685" s="383"/>
      <c r="AR685" s="383"/>
    </row>
    <row r="686" spans="2:44" s="639" customFormat="1" ht="12" customHeight="1">
      <c r="B686" s="638"/>
      <c r="J686" s="732" t="s">
        <v>1630</v>
      </c>
      <c r="K686" s="733"/>
      <c r="L686" s="730"/>
      <c r="M686" s="731"/>
      <c r="N686" s="1194" t="s">
        <v>2301</v>
      </c>
      <c r="O686" s="1194" t="s">
        <v>111</v>
      </c>
      <c r="P686" s="731"/>
      <c r="X686" s="383"/>
      <c r="Y686" s="383"/>
      <c r="Z686" s="383"/>
      <c r="AA686" s="383"/>
      <c r="AB686" s="383"/>
      <c r="AC686" s="383"/>
      <c r="AD686" s="383"/>
      <c r="AE686" s="383"/>
      <c r="AF686" s="383"/>
      <c r="AG686" s="383"/>
      <c r="AH686" s="383"/>
      <c r="AI686" s="383"/>
      <c r="AJ686" s="383"/>
      <c r="AK686" s="383"/>
      <c r="AL686" s="383"/>
      <c r="AM686" s="383"/>
      <c r="AN686" s="383"/>
      <c r="AO686" s="383"/>
      <c r="AP686" s="383"/>
      <c r="AQ686" s="383"/>
      <c r="AR686" s="383"/>
    </row>
    <row r="687" spans="2:44" s="639" customFormat="1" ht="12" customHeight="1">
      <c r="B687" s="638"/>
      <c r="J687" s="732" t="s">
        <v>2230</v>
      </c>
      <c r="K687" s="733"/>
      <c r="L687" s="730"/>
      <c r="M687" s="731"/>
      <c r="N687" s="1194" t="s">
        <v>3037</v>
      </c>
      <c r="O687" s="1194" t="s">
        <v>1708</v>
      </c>
      <c r="P687" s="731"/>
      <c r="X687" s="383"/>
      <c r="Y687" s="383"/>
      <c r="Z687" s="383"/>
      <c r="AA687" s="383"/>
      <c r="AB687" s="383"/>
      <c r="AC687" s="383"/>
      <c r="AD687" s="383"/>
      <c r="AE687" s="383"/>
      <c r="AF687" s="383"/>
      <c r="AG687" s="383"/>
      <c r="AH687" s="383"/>
      <c r="AI687" s="383"/>
      <c r="AJ687" s="383"/>
      <c r="AK687" s="383"/>
      <c r="AL687" s="383"/>
      <c r="AM687" s="383"/>
      <c r="AN687" s="383"/>
      <c r="AO687" s="383"/>
      <c r="AP687" s="383"/>
      <c r="AQ687" s="383"/>
      <c r="AR687" s="383"/>
    </row>
    <row r="688" spans="2:44" s="639" customFormat="1" ht="12" customHeight="1">
      <c r="B688" s="638"/>
      <c r="J688" s="732" t="s">
        <v>2231</v>
      </c>
      <c r="K688" s="733"/>
      <c r="L688" s="730"/>
      <c r="M688" s="731"/>
      <c r="N688" s="1194" t="s">
        <v>1559</v>
      </c>
      <c r="O688" s="1194" t="s">
        <v>2695</v>
      </c>
      <c r="P688" s="731"/>
      <c r="X688" s="383"/>
      <c r="Y688" s="383"/>
      <c r="Z688" s="383"/>
      <c r="AA688" s="383"/>
      <c r="AB688" s="383"/>
      <c r="AC688" s="383"/>
      <c r="AD688" s="383"/>
      <c r="AE688" s="383"/>
      <c r="AF688" s="383"/>
      <c r="AG688" s="383"/>
      <c r="AH688" s="383"/>
      <c r="AI688" s="383"/>
      <c r="AJ688" s="383"/>
      <c r="AK688" s="383"/>
      <c r="AL688" s="383"/>
      <c r="AM688" s="383"/>
      <c r="AN688" s="383"/>
      <c r="AO688" s="383"/>
      <c r="AP688" s="383"/>
      <c r="AQ688" s="383"/>
      <c r="AR688" s="383"/>
    </row>
    <row r="689" spans="2:44" s="639" customFormat="1" ht="12" customHeight="1">
      <c r="B689" s="638"/>
      <c r="J689" s="732" t="s">
        <v>1723</v>
      </c>
      <c r="K689" s="733"/>
      <c r="L689" s="730"/>
      <c r="M689" s="731"/>
      <c r="N689" s="1194" t="s">
        <v>3259</v>
      </c>
      <c r="O689" s="1194" t="s">
        <v>2077</v>
      </c>
      <c r="P689" s="731"/>
      <c r="X689" s="383"/>
      <c r="Y689" s="383"/>
      <c r="Z689" s="383"/>
      <c r="AA689" s="383"/>
      <c r="AB689" s="383"/>
      <c r="AC689" s="383"/>
      <c r="AD689" s="383"/>
      <c r="AE689" s="383"/>
      <c r="AF689" s="383"/>
      <c r="AG689" s="383"/>
      <c r="AH689" s="383"/>
      <c r="AI689" s="383"/>
      <c r="AJ689" s="383"/>
      <c r="AK689" s="383"/>
      <c r="AL689" s="383"/>
      <c r="AM689" s="383"/>
      <c r="AN689" s="383"/>
      <c r="AO689" s="383"/>
      <c r="AP689" s="383"/>
      <c r="AQ689" s="383"/>
      <c r="AR689" s="383"/>
    </row>
    <row r="690" spans="2:44" s="639" customFormat="1" ht="12" customHeight="1">
      <c r="B690" s="638"/>
      <c r="J690" s="732" t="s">
        <v>1725</v>
      </c>
      <c r="K690" s="733"/>
      <c r="L690" s="730"/>
      <c r="M690" s="731"/>
      <c r="N690" s="1194" t="s">
        <v>1561</v>
      </c>
      <c r="O690" s="1194" t="s">
        <v>343</v>
      </c>
      <c r="P690" s="731"/>
      <c r="X690" s="383"/>
      <c r="Y690" s="383"/>
      <c r="Z690" s="383"/>
      <c r="AA690" s="383"/>
      <c r="AB690" s="383"/>
      <c r="AC690" s="383"/>
      <c r="AD690" s="383"/>
      <c r="AE690" s="383"/>
      <c r="AF690" s="383"/>
      <c r="AG690" s="383"/>
      <c r="AH690" s="383"/>
      <c r="AI690" s="383"/>
      <c r="AJ690" s="383"/>
      <c r="AK690" s="383"/>
      <c r="AL690" s="383"/>
      <c r="AM690" s="383"/>
      <c r="AN690" s="383"/>
      <c r="AO690" s="383"/>
      <c r="AP690" s="383"/>
      <c r="AQ690" s="383"/>
      <c r="AR690" s="383"/>
    </row>
    <row r="691" spans="2:44" s="639" customFormat="1" ht="12" customHeight="1">
      <c r="B691" s="638"/>
      <c r="J691" s="732" t="s">
        <v>986</v>
      </c>
      <c r="K691" s="733"/>
      <c r="L691" s="730"/>
      <c r="M691" s="731"/>
      <c r="N691" s="1194" t="s">
        <v>1132</v>
      </c>
      <c r="O691" s="1194" t="s">
        <v>698</v>
      </c>
      <c r="P691" s="731"/>
      <c r="X691" s="383"/>
      <c r="Y691" s="383"/>
      <c r="Z691" s="383"/>
      <c r="AA691" s="383"/>
      <c r="AB691" s="383"/>
      <c r="AC691" s="383"/>
      <c r="AD691" s="383"/>
      <c r="AE691" s="383"/>
      <c r="AF691" s="383"/>
      <c r="AG691" s="383"/>
      <c r="AH691" s="383"/>
      <c r="AI691" s="383"/>
      <c r="AJ691" s="383"/>
      <c r="AK691" s="383"/>
      <c r="AL691" s="383"/>
      <c r="AM691" s="383"/>
      <c r="AN691" s="383"/>
      <c r="AO691" s="383"/>
      <c r="AP691" s="383"/>
      <c r="AQ691" s="383"/>
      <c r="AR691" s="383"/>
    </row>
    <row r="692" spans="2:44" s="639" customFormat="1" ht="12" customHeight="1">
      <c r="B692" s="638"/>
      <c r="J692" s="732" t="s">
        <v>988</v>
      </c>
      <c r="K692" s="733"/>
      <c r="L692" s="730"/>
      <c r="M692" s="731"/>
      <c r="N692" s="1194" t="s">
        <v>1386</v>
      </c>
      <c r="O692" s="1194" t="s">
        <v>2314</v>
      </c>
      <c r="P692" s="731"/>
      <c r="X692" s="383"/>
      <c r="Y692" s="383"/>
      <c r="Z692" s="383"/>
      <c r="AA692" s="383"/>
      <c r="AB692" s="383"/>
      <c r="AC692" s="383"/>
      <c r="AD692" s="383"/>
      <c r="AE692" s="383"/>
      <c r="AF692" s="383"/>
      <c r="AG692" s="383"/>
      <c r="AH692" s="383"/>
      <c r="AI692" s="383"/>
      <c r="AJ692" s="383"/>
      <c r="AK692" s="383"/>
      <c r="AL692" s="383"/>
      <c r="AM692" s="383"/>
      <c r="AN692" s="383"/>
      <c r="AO692" s="383"/>
      <c r="AP692" s="383"/>
      <c r="AQ692" s="383"/>
      <c r="AR692" s="383"/>
    </row>
    <row r="693" spans="2:44" s="639" customFormat="1" ht="12" customHeight="1">
      <c r="B693" s="638"/>
      <c r="J693" s="732" t="s">
        <v>990</v>
      </c>
      <c r="K693" s="733"/>
      <c r="L693" s="730"/>
      <c r="M693" s="731"/>
      <c r="N693" s="1194" t="s">
        <v>1388</v>
      </c>
      <c r="O693" s="1194" t="s">
        <v>2695</v>
      </c>
      <c r="P693" s="731"/>
      <c r="X693" s="383"/>
      <c r="Y693" s="383"/>
      <c r="Z693" s="383"/>
      <c r="AA693" s="383"/>
      <c r="AB693" s="383"/>
      <c r="AC693" s="383"/>
      <c r="AD693" s="383"/>
      <c r="AE693" s="383"/>
      <c r="AF693" s="383"/>
      <c r="AG693" s="383"/>
      <c r="AH693" s="383"/>
      <c r="AI693" s="383"/>
      <c r="AJ693" s="383"/>
      <c r="AK693" s="383"/>
      <c r="AL693" s="383"/>
      <c r="AM693" s="383"/>
      <c r="AN693" s="383"/>
      <c r="AO693" s="383"/>
      <c r="AP693" s="383"/>
      <c r="AQ693" s="383"/>
      <c r="AR693" s="383"/>
    </row>
    <row r="694" spans="2:44" s="639" customFormat="1" ht="12" customHeight="1">
      <c r="B694" s="638"/>
      <c r="J694" s="732" t="s">
        <v>2660</v>
      </c>
      <c r="K694" s="733"/>
      <c r="L694" s="730"/>
      <c r="M694" s="731"/>
      <c r="N694" s="708" t="s">
        <v>2120</v>
      </c>
      <c r="O694" s="708" t="s">
        <v>1166</v>
      </c>
      <c r="P694" s="731"/>
      <c r="X694" s="383"/>
      <c r="Y694" s="383"/>
      <c r="Z694" s="383"/>
      <c r="AA694" s="383"/>
      <c r="AB694" s="383"/>
      <c r="AC694" s="383"/>
      <c r="AD694" s="383"/>
      <c r="AE694" s="383"/>
      <c r="AF694" s="383"/>
      <c r="AG694" s="383"/>
      <c r="AH694" s="383"/>
      <c r="AI694" s="383"/>
      <c r="AJ694" s="383"/>
      <c r="AK694" s="383"/>
      <c r="AL694" s="383"/>
      <c r="AM694" s="383"/>
      <c r="AN694" s="383"/>
      <c r="AO694" s="383"/>
      <c r="AP694" s="383"/>
      <c r="AQ694" s="383"/>
      <c r="AR694" s="383"/>
    </row>
    <row r="695" spans="2:44" s="639" customFormat="1" ht="12" customHeight="1">
      <c r="B695" s="638"/>
      <c r="J695" s="732" t="s">
        <v>2662</v>
      </c>
      <c r="K695" s="733"/>
      <c r="L695" s="730"/>
      <c r="M695" s="731"/>
      <c r="N695" s="708" t="s">
        <v>779</v>
      </c>
      <c r="O695" s="708" t="s">
        <v>333</v>
      </c>
      <c r="P695" s="1239"/>
      <c r="X695" s="383"/>
      <c r="Y695" s="383"/>
      <c r="Z695" s="383"/>
      <c r="AA695" s="383"/>
      <c r="AB695" s="383"/>
      <c r="AC695" s="383"/>
      <c r="AD695" s="383"/>
      <c r="AE695" s="383"/>
      <c r="AF695" s="383"/>
      <c r="AG695" s="383"/>
      <c r="AH695" s="383"/>
      <c r="AI695" s="383"/>
      <c r="AJ695" s="383"/>
      <c r="AK695" s="383"/>
      <c r="AL695" s="383"/>
      <c r="AM695" s="383"/>
      <c r="AN695" s="383"/>
      <c r="AO695" s="383"/>
      <c r="AP695" s="383"/>
      <c r="AQ695" s="383"/>
      <c r="AR695" s="383"/>
    </row>
    <row r="696" spans="2:44" s="639" customFormat="1" ht="12" customHeight="1">
      <c r="B696" s="638"/>
      <c r="J696" s="732" t="s">
        <v>2663</v>
      </c>
      <c r="K696" s="733"/>
      <c r="L696" s="730"/>
      <c r="M696" s="731"/>
      <c r="N696" s="1194" t="s">
        <v>1341</v>
      </c>
      <c r="O696" s="1194" t="s">
        <v>711</v>
      </c>
      <c r="P696" s="1239"/>
      <c r="X696" s="383"/>
      <c r="Y696" s="383"/>
      <c r="Z696" s="383"/>
      <c r="AA696" s="383"/>
      <c r="AB696" s="383"/>
      <c r="AC696" s="383"/>
      <c r="AD696" s="383"/>
      <c r="AE696" s="383"/>
      <c r="AF696" s="383"/>
      <c r="AG696" s="383"/>
      <c r="AH696" s="383"/>
      <c r="AI696" s="383"/>
      <c r="AJ696" s="383"/>
      <c r="AK696" s="383"/>
      <c r="AL696" s="383"/>
      <c r="AM696" s="383"/>
      <c r="AN696" s="383"/>
      <c r="AO696" s="383"/>
      <c r="AP696" s="383"/>
      <c r="AQ696" s="383"/>
      <c r="AR696" s="383"/>
    </row>
    <row r="697" spans="2:44" s="639" customFormat="1" ht="12" customHeight="1">
      <c r="B697" s="638"/>
      <c r="J697" s="732" t="s">
        <v>2026</v>
      </c>
      <c r="K697" s="733"/>
      <c r="L697" s="730"/>
      <c r="M697" s="731"/>
      <c r="N697" s="1194" t="s">
        <v>1133</v>
      </c>
      <c r="O697" s="1194" t="s">
        <v>166</v>
      </c>
      <c r="P697" s="731"/>
      <c r="X697" s="383"/>
      <c r="Y697" s="383"/>
      <c r="Z697" s="383"/>
      <c r="AA697" s="383"/>
      <c r="AB697" s="383"/>
      <c r="AC697" s="383"/>
      <c r="AD697" s="383"/>
      <c r="AE697" s="383"/>
      <c r="AF697" s="383"/>
      <c r="AG697" s="383"/>
      <c r="AH697" s="383"/>
      <c r="AI697" s="383"/>
      <c r="AJ697" s="383"/>
      <c r="AK697" s="383"/>
      <c r="AL697" s="383"/>
      <c r="AM697" s="383"/>
      <c r="AN697" s="383"/>
      <c r="AO697" s="383"/>
      <c r="AP697" s="383"/>
      <c r="AQ697" s="383"/>
      <c r="AR697" s="383"/>
    </row>
    <row r="698" spans="2:44" s="639" customFormat="1" ht="12" customHeight="1">
      <c r="B698" s="638"/>
      <c r="J698" s="732" t="s">
        <v>2027</v>
      </c>
      <c r="K698" s="733"/>
      <c r="L698" s="730"/>
      <c r="M698" s="731"/>
      <c r="N698" s="1194" t="s">
        <v>2009</v>
      </c>
      <c r="O698" s="1194" t="s">
        <v>1164</v>
      </c>
      <c r="P698" s="731"/>
      <c r="X698" s="383"/>
      <c r="Y698" s="383"/>
      <c r="Z698" s="383"/>
      <c r="AA698" s="383"/>
      <c r="AB698" s="383"/>
      <c r="AC698" s="383"/>
      <c r="AD698" s="383"/>
      <c r="AE698" s="383"/>
      <c r="AF698" s="383"/>
      <c r="AG698" s="383"/>
      <c r="AH698" s="383"/>
      <c r="AI698" s="383"/>
      <c r="AJ698" s="383"/>
      <c r="AK698" s="383"/>
      <c r="AL698" s="383"/>
      <c r="AM698" s="383"/>
      <c r="AN698" s="383"/>
      <c r="AO698" s="383"/>
      <c r="AP698" s="383"/>
      <c r="AQ698" s="383"/>
      <c r="AR698" s="383"/>
    </row>
    <row r="699" spans="2:44" s="639" customFormat="1" ht="12" customHeight="1">
      <c r="B699" s="638"/>
      <c r="J699" s="732" t="s">
        <v>2029</v>
      </c>
      <c r="K699" s="733"/>
      <c r="L699" s="730"/>
      <c r="M699" s="731"/>
      <c r="N699" s="1194" t="s">
        <v>2011</v>
      </c>
      <c r="O699" s="1194" t="s">
        <v>1544</v>
      </c>
      <c r="P699" s="731"/>
      <c r="X699" s="383"/>
      <c r="Y699" s="383"/>
      <c r="Z699" s="383"/>
      <c r="AA699" s="383"/>
      <c r="AB699" s="383"/>
      <c r="AC699" s="383"/>
      <c r="AD699" s="383"/>
      <c r="AE699" s="383"/>
      <c r="AF699" s="383"/>
      <c r="AG699" s="383"/>
      <c r="AH699" s="383"/>
      <c r="AI699" s="383"/>
      <c r="AJ699" s="383"/>
      <c r="AK699" s="383"/>
      <c r="AL699" s="383"/>
      <c r="AM699" s="383"/>
      <c r="AN699" s="383"/>
      <c r="AO699" s="383"/>
      <c r="AP699" s="383"/>
      <c r="AQ699" s="383"/>
      <c r="AR699" s="383"/>
    </row>
    <row r="700" spans="2:44" s="639" customFormat="1" ht="12" customHeight="1">
      <c r="B700" s="638"/>
      <c r="J700" s="732" t="s">
        <v>682</v>
      </c>
      <c r="K700" s="733"/>
      <c r="L700" s="730"/>
      <c r="M700" s="731"/>
      <c r="N700" s="1194" t="s">
        <v>2013</v>
      </c>
      <c r="O700" s="1194" t="s">
        <v>2645</v>
      </c>
      <c r="P700" s="731"/>
      <c r="X700" s="383"/>
      <c r="Y700" s="383"/>
      <c r="Z700" s="383"/>
      <c r="AA700" s="383"/>
      <c r="AB700" s="383"/>
      <c r="AC700" s="383"/>
      <c r="AD700" s="383"/>
      <c r="AE700" s="383"/>
      <c r="AF700" s="383"/>
      <c r="AG700" s="383"/>
      <c r="AH700" s="383"/>
      <c r="AI700" s="383"/>
      <c r="AJ700" s="383"/>
      <c r="AK700" s="383"/>
      <c r="AL700" s="383"/>
      <c r="AM700" s="383"/>
      <c r="AN700" s="383"/>
      <c r="AO700" s="383"/>
      <c r="AP700" s="383"/>
      <c r="AQ700" s="383"/>
      <c r="AR700" s="383"/>
    </row>
    <row r="701" spans="2:44" s="639" customFormat="1" ht="12" customHeight="1">
      <c r="B701" s="638"/>
      <c r="J701" s="732" t="s">
        <v>684</v>
      </c>
      <c r="K701" s="733"/>
      <c r="L701" s="730"/>
      <c r="M701" s="731"/>
      <c r="N701" s="1194" t="s">
        <v>2015</v>
      </c>
      <c r="O701" s="1194" t="s">
        <v>124</v>
      </c>
      <c r="P701" s="731"/>
      <c r="X701" s="383"/>
      <c r="Y701" s="383"/>
      <c r="Z701" s="383"/>
      <c r="AA701" s="383"/>
      <c r="AB701" s="383"/>
      <c r="AC701" s="383"/>
      <c r="AD701" s="383"/>
      <c r="AE701" s="383"/>
      <c r="AF701" s="383"/>
      <c r="AG701" s="383"/>
      <c r="AH701" s="383"/>
      <c r="AI701" s="383"/>
      <c r="AJ701" s="383"/>
      <c r="AK701" s="383"/>
      <c r="AL701" s="383"/>
      <c r="AM701" s="383"/>
      <c r="AN701" s="383"/>
      <c r="AO701" s="383"/>
      <c r="AP701" s="383"/>
      <c r="AQ701" s="383"/>
      <c r="AR701" s="383"/>
    </row>
    <row r="702" spans="2:44" s="639" customFormat="1" ht="12" customHeight="1">
      <c r="B702" s="638"/>
      <c r="J702" s="732" t="s">
        <v>685</v>
      </c>
      <c r="K702" s="733"/>
      <c r="L702" s="730"/>
      <c r="M702" s="731"/>
      <c r="N702" s="1194" t="s">
        <v>529</v>
      </c>
      <c r="O702" s="1194" t="s">
        <v>2136</v>
      </c>
      <c r="P702" s="731"/>
      <c r="X702" s="383"/>
      <c r="Y702" s="383"/>
      <c r="Z702" s="383"/>
      <c r="AA702" s="383"/>
      <c r="AB702" s="383"/>
      <c r="AC702" s="383"/>
      <c r="AD702" s="383"/>
      <c r="AE702" s="383"/>
      <c r="AF702" s="383"/>
      <c r="AG702" s="383"/>
      <c r="AH702" s="383"/>
      <c r="AI702" s="383"/>
      <c r="AJ702" s="383"/>
      <c r="AK702" s="383"/>
      <c r="AL702" s="383"/>
      <c r="AM702" s="383"/>
      <c r="AN702" s="383"/>
      <c r="AO702" s="383"/>
      <c r="AP702" s="383"/>
      <c r="AQ702" s="383"/>
      <c r="AR702" s="383"/>
    </row>
    <row r="703" spans="2:44" s="639" customFormat="1" ht="12" customHeight="1">
      <c r="B703" s="638"/>
      <c r="J703" s="732" t="s">
        <v>2449</v>
      </c>
      <c r="K703" s="733"/>
      <c r="L703" s="730"/>
      <c r="M703" s="731"/>
      <c r="N703" s="1194" t="s">
        <v>2700</v>
      </c>
      <c r="O703" s="1194" t="s">
        <v>2039</v>
      </c>
      <c r="P703" s="731"/>
      <c r="X703" s="383"/>
      <c r="Y703" s="383"/>
      <c r="Z703" s="383"/>
      <c r="AA703" s="383"/>
      <c r="AB703" s="383"/>
      <c r="AC703" s="383"/>
      <c r="AD703" s="383"/>
      <c r="AE703" s="383"/>
      <c r="AF703" s="383"/>
      <c r="AG703" s="383"/>
      <c r="AH703" s="383"/>
      <c r="AI703" s="383"/>
      <c r="AJ703" s="383"/>
      <c r="AK703" s="383"/>
      <c r="AL703" s="383"/>
      <c r="AM703" s="383"/>
      <c r="AN703" s="383"/>
      <c r="AO703" s="383"/>
      <c r="AP703" s="383"/>
      <c r="AQ703" s="383"/>
      <c r="AR703" s="383"/>
    </row>
    <row r="704" spans="2:44" s="639" customFormat="1" ht="12" customHeight="1">
      <c r="B704" s="638"/>
      <c r="J704" s="732" t="s">
        <v>74</v>
      </c>
      <c r="K704" s="733"/>
      <c r="L704" s="730"/>
      <c r="M704" s="731"/>
      <c r="N704" s="1194" t="s">
        <v>2702</v>
      </c>
      <c r="O704" s="1194" t="s">
        <v>2693</v>
      </c>
      <c r="P704" s="731"/>
      <c r="X704" s="383"/>
      <c r="Y704" s="383"/>
      <c r="Z704" s="383"/>
      <c r="AA704" s="383"/>
      <c r="AB704" s="383"/>
      <c r="AC704" s="383"/>
      <c r="AD704" s="383"/>
      <c r="AE704" s="383"/>
      <c r="AF704" s="383"/>
      <c r="AG704" s="383"/>
      <c r="AH704" s="383"/>
      <c r="AI704" s="383"/>
      <c r="AJ704" s="383"/>
      <c r="AK704" s="383"/>
      <c r="AL704" s="383"/>
      <c r="AM704" s="383"/>
      <c r="AN704" s="383"/>
      <c r="AO704" s="383"/>
      <c r="AP704" s="383"/>
      <c r="AQ704" s="383"/>
      <c r="AR704" s="383"/>
    </row>
    <row r="705" spans="2:44" s="639" customFormat="1" ht="12" customHeight="1">
      <c r="B705" s="638"/>
      <c r="J705" s="732" t="s">
        <v>1500</v>
      </c>
      <c r="K705" s="733"/>
      <c r="L705" s="730"/>
      <c r="M705" s="731"/>
      <c r="N705" s="1194" t="s">
        <v>1219</v>
      </c>
      <c r="O705" s="1194" t="s">
        <v>330</v>
      </c>
      <c r="P705" s="731"/>
      <c r="X705" s="383"/>
      <c r="Y705" s="383"/>
      <c r="Z705" s="383"/>
      <c r="AA705" s="383"/>
      <c r="AB705" s="383"/>
      <c r="AC705" s="383"/>
      <c r="AD705" s="383"/>
      <c r="AE705" s="383"/>
      <c r="AF705" s="383"/>
      <c r="AG705" s="383"/>
      <c r="AH705" s="383"/>
      <c r="AI705" s="383"/>
      <c r="AJ705" s="383"/>
      <c r="AK705" s="383"/>
      <c r="AL705" s="383"/>
      <c r="AM705" s="383"/>
      <c r="AN705" s="383"/>
      <c r="AO705" s="383"/>
      <c r="AP705" s="383"/>
      <c r="AQ705" s="383"/>
      <c r="AR705" s="383"/>
    </row>
    <row r="706" spans="2:44" s="639" customFormat="1" ht="12" customHeight="1">
      <c r="B706" s="638"/>
      <c r="J706" s="732" t="s">
        <v>2397</v>
      </c>
      <c r="K706" s="733"/>
      <c r="L706" s="730"/>
      <c r="M706" s="731"/>
      <c r="N706" s="1194" t="s">
        <v>2679</v>
      </c>
      <c r="O706" s="1194" t="s">
        <v>926</v>
      </c>
      <c r="P706" s="731"/>
      <c r="X706" s="383"/>
      <c r="Y706" s="383"/>
      <c r="Z706" s="383"/>
      <c r="AA706" s="383"/>
      <c r="AB706" s="383"/>
      <c r="AC706" s="383"/>
      <c r="AD706" s="383"/>
      <c r="AE706" s="383"/>
      <c r="AF706" s="383"/>
      <c r="AG706" s="383"/>
      <c r="AH706" s="383"/>
      <c r="AI706" s="383"/>
      <c r="AJ706" s="383"/>
      <c r="AK706" s="383"/>
      <c r="AL706" s="383"/>
      <c r="AM706" s="383"/>
      <c r="AN706" s="383"/>
      <c r="AO706" s="383"/>
      <c r="AP706" s="383"/>
      <c r="AQ706" s="383"/>
      <c r="AR706" s="383"/>
    </row>
    <row r="707" spans="2:44" s="639" customFormat="1" ht="12" customHeight="1">
      <c r="B707" s="638"/>
      <c r="J707" s="732" t="s">
        <v>2399</v>
      </c>
      <c r="K707" s="733"/>
      <c r="L707" s="730"/>
      <c r="M707" s="731"/>
      <c r="N707" s="1194" t="s">
        <v>864</v>
      </c>
      <c r="O707" s="1194" t="s">
        <v>1414</v>
      </c>
      <c r="P707" s="731"/>
      <c r="Q707" s="1241"/>
      <c r="X707" s="383"/>
      <c r="Y707" s="383"/>
      <c r="Z707" s="383"/>
      <c r="AA707" s="383"/>
      <c r="AB707" s="383"/>
      <c r="AC707" s="383"/>
      <c r="AD707" s="383"/>
      <c r="AE707" s="383"/>
      <c r="AF707" s="383"/>
      <c r="AG707" s="383"/>
      <c r="AH707" s="383"/>
      <c r="AI707" s="383"/>
      <c r="AJ707" s="383"/>
      <c r="AK707" s="383"/>
      <c r="AL707" s="383"/>
      <c r="AM707" s="383"/>
      <c r="AN707" s="383"/>
      <c r="AO707" s="383"/>
      <c r="AP707" s="383"/>
      <c r="AQ707" s="383"/>
      <c r="AR707" s="383"/>
    </row>
    <row r="708" spans="2:44" s="639" customFormat="1" ht="12" customHeight="1">
      <c r="B708" s="638"/>
      <c r="J708" s="732" t="s">
        <v>1921</v>
      </c>
      <c r="K708" s="733"/>
      <c r="L708" s="730"/>
      <c r="M708" s="731"/>
      <c r="N708" s="1194" t="s">
        <v>1129</v>
      </c>
      <c r="O708" s="1194" t="s">
        <v>706</v>
      </c>
      <c r="P708" s="731"/>
      <c r="X708" s="383"/>
      <c r="Y708" s="383"/>
      <c r="Z708" s="383"/>
      <c r="AA708" s="383"/>
      <c r="AB708" s="383"/>
      <c r="AC708" s="383"/>
      <c r="AD708" s="383"/>
      <c r="AE708" s="383"/>
      <c r="AF708" s="383"/>
      <c r="AG708" s="383"/>
      <c r="AH708" s="383"/>
      <c r="AI708" s="383"/>
      <c r="AJ708" s="383"/>
      <c r="AK708" s="383"/>
      <c r="AL708" s="383"/>
      <c r="AM708" s="383"/>
      <c r="AN708" s="383"/>
      <c r="AO708" s="383"/>
      <c r="AP708" s="383"/>
      <c r="AQ708" s="383"/>
      <c r="AR708" s="383"/>
    </row>
    <row r="709" spans="2:44" s="639" customFormat="1" ht="12" customHeight="1">
      <c r="B709" s="638"/>
      <c r="J709" s="732" t="s">
        <v>1176</v>
      </c>
      <c r="K709" s="733"/>
      <c r="L709" s="730"/>
      <c r="M709" s="731"/>
      <c r="N709" s="1194" t="s">
        <v>1631</v>
      </c>
      <c r="O709" s="1194" t="s">
        <v>346</v>
      </c>
      <c r="P709" s="731"/>
      <c r="X709" s="383"/>
      <c r="Y709" s="383"/>
      <c r="Z709" s="383"/>
      <c r="AA709" s="383"/>
      <c r="AB709" s="383"/>
      <c r="AC709" s="383"/>
      <c r="AD709" s="383"/>
      <c r="AE709" s="383"/>
      <c r="AF709" s="383"/>
      <c r="AG709" s="383"/>
      <c r="AH709" s="383"/>
      <c r="AI709" s="383"/>
      <c r="AJ709" s="383"/>
      <c r="AK709" s="383"/>
      <c r="AL709" s="383"/>
      <c r="AM709" s="383"/>
      <c r="AN709" s="383"/>
      <c r="AO709" s="383"/>
      <c r="AP709" s="383"/>
      <c r="AQ709" s="383"/>
      <c r="AR709" s="383"/>
    </row>
    <row r="710" spans="2:44" s="639" customFormat="1" ht="12" customHeight="1">
      <c r="B710" s="638"/>
      <c r="J710" s="732" t="s">
        <v>2177</v>
      </c>
      <c r="K710" s="733"/>
      <c r="L710" s="730"/>
      <c r="M710" s="731"/>
      <c r="N710" s="1194" t="s">
        <v>3260</v>
      </c>
      <c r="O710" s="1194" t="s">
        <v>925</v>
      </c>
      <c r="P710" s="731"/>
      <c r="X710" s="383"/>
      <c r="Y710" s="383"/>
      <c r="Z710" s="383"/>
      <c r="AA710" s="383"/>
      <c r="AB710" s="383"/>
      <c r="AC710" s="383"/>
      <c r="AD710" s="383"/>
      <c r="AE710" s="383"/>
      <c r="AF710" s="383"/>
      <c r="AG710" s="383"/>
      <c r="AH710" s="383"/>
      <c r="AI710" s="383"/>
      <c r="AJ710" s="383"/>
      <c r="AK710" s="383"/>
      <c r="AL710" s="383"/>
      <c r="AM710" s="383"/>
      <c r="AN710" s="383"/>
      <c r="AO710" s="383"/>
      <c r="AP710" s="383"/>
      <c r="AQ710" s="383"/>
      <c r="AR710" s="383"/>
    </row>
    <row r="711" spans="2:44" s="639" customFormat="1" ht="12" customHeight="1">
      <c r="B711" s="638"/>
      <c r="J711" s="732" t="s">
        <v>2095</v>
      </c>
      <c r="K711" s="733"/>
      <c r="L711" s="730"/>
      <c r="M711" s="731"/>
      <c r="N711" s="1194" t="s">
        <v>2232</v>
      </c>
      <c r="O711" s="1194" t="s">
        <v>1407</v>
      </c>
      <c r="P711" s="731"/>
      <c r="X711" s="383"/>
      <c r="Y711" s="383"/>
      <c r="Z711" s="383"/>
      <c r="AA711" s="383"/>
      <c r="AB711" s="383"/>
      <c r="AC711" s="383"/>
      <c r="AD711" s="383"/>
      <c r="AE711" s="383"/>
      <c r="AF711" s="383"/>
      <c r="AG711" s="383"/>
      <c r="AH711" s="383"/>
      <c r="AI711" s="383"/>
      <c r="AJ711" s="383"/>
      <c r="AK711" s="383"/>
      <c r="AL711" s="383"/>
      <c r="AM711" s="383"/>
      <c r="AN711" s="383"/>
      <c r="AO711" s="383"/>
      <c r="AP711" s="383"/>
      <c r="AQ711" s="383"/>
      <c r="AR711" s="383"/>
    </row>
    <row r="712" spans="2:44" s="639" customFormat="1" ht="12" customHeight="1">
      <c r="B712" s="638"/>
      <c r="J712" s="732" t="s">
        <v>2097</v>
      </c>
      <c r="K712" s="733"/>
      <c r="L712" s="730"/>
      <c r="M712" s="731"/>
      <c r="N712" s="1194" t="s">
        <v>1724</v>
      </c>
      <c r="O712" s="1194" t="s">
        <v>1393</v>
      </c>
      <c r="P712" s="1240"/>
      <c r="X712" s="383"/>
      <c r="Y712" s="383"/>
      <c r="Z712" s="383"/>
      <c r="AA712" s="383"/>
      <c r="AB712" s="383"/>
      <c r="AC712" s="383"/>
      <c r="AD712" s="383"/>
      <c r="AE712" s="383"/>
      <c r="AF712" s="383"/>
      <c r="AG712" s="383"/>
      <c r="AH712" s="383"/>
      <c r="AI712" s="383"/>
      <c r="AJ712" s="383"/>
      <c r="AK712" s="383"/>
      <c r="AL712" s="383"/>
      <c r="AM712" s="383"/>
      <c r="AN712" s="383"/>
      <c r="AO712" s="383"/>
      <c r="AP712" s="383"/>
      <c r="AQ712" s="383"/>
      <c r="AR712" s="383"/>
    </row>
    <row r="713" spans="2:44" s="639" customFormat="1" ht="12" customHeight="1">
      <c r="B713" s="638"/>
      <c r="J713" s="732" t="s">
        <v>2099</v>
      </c>
      <c r="K713" s="733"/>
      <c r="L713" s="730"/>
      <c r="M713" s="731"/>
      <c r="N713" s="1194" t="s">
        <v>987</v>
      </c>
      <c r="O713" s="1194" t="s">
        <v>2382</v>
      </c>
      <c r="P713" s="731"/>
      <c r="X713" s="383"/>
      <c r="Y713" s="383"/>
      <c r="Z713" s="383"/>
      <c r="AA713" s="383"/>
      <c r="AB713" s="383"/>
      <c r="AC713" s="383"/>
      <c r="AD713" s="383"/>
      <c r="AE713" s="383"/>
      <c r="AF713" s="383"/>
      <c r="AG713" s="383"/>
      <c r="AH713" s="383"/>
      <c r="AI713" s="383"/>
      <c r="AJ713" s="383"/>
      <c r="AK713" s="383"/>
      <c r="AL713" s="383"/>
      <c r="AM713" s="383"/>
      <c r="AN713" s="383"/>
      <c r="AO713" s="383"/>
      <c r="AP713" s="383"/>
      <c r="AQ713" s="383"/>
      <c r="AR713" s="383"/>
    </row>
    <row r="714" spans="2:44" s="639" customFormat="1" ht="12" customHeight="1">
      <c r="B714" s="638"/>
      <c r="J714" s="732" t="s">
        <v>521</v>
      </c>
      <c r="K714" s="733"/>
      <c r="L714" s="730"/>
      <c r="M714" s="731"/>
      <c r="N714" s="1194" t="s">
        <v>989</v>
      </c>
      <c r="O714" s="1194" t="s">
        <v>337</v>
      </c>
      <c r="P714" s="731"/>
      <c r="X714" s="383"/>
      <c r="Y714" s="383"/>
      <c r="Z714" s="383"/>
      <c r="AA714" s="383"/>
      <c r="AB714" s="383"/>
      <c r="AC714" s="383"/>
      <c r="AD714" s="383"/>
      <c r="AE714" s="383"/>
      <c r="AF714" s="383"/>
      <c r="AG714" s="383"/>
      <c r="AH714" s="383"/>
      <c r="AI714" s="383"/>
      <c r="AJ714" s="383"/>
      <c r="AK714" s="383"/>
      <c r="AL714" s="383"/>
      <c r="AM714" s="383"/>
      <c r="AN714" s="383"/>
      <c r="AO714" s="383"/>
      <c r="AP714" s="383"/>
      <c r="AQ714" s="383"/>
      <c r="AR714" s="383"/>
    </row>
    <row r="715" spans="2:44" s="639" customFormat="1" ht="12" customHeight="1">
      <c r="B715" s="638"/>
      <c r="J715" s="732" t="s">
        <v>475</v>
      </c>
      <c r="K715" s="733"/>
      <c r="L715" s="730"/>
      <c r="M715" s="731"/>
      <c r="N715" s="1194" t="s">
        <v>2661</v>
      </c>
      <c r="O715" s="1194" t="s">
        <v>664</v>
      </c>
      <c r="P715" s="731"/>
      <c r="X715" s="383"/>
      <c r="Y715" s="383"/>
      <c r="Z715" s="383"/>
      <c r="AA715" s="383"/>
      <c r="AB715" s="383"/>
      <c r="AC715" s="383"/>
      <c r="AD715" s="383"/>
      <c r="AE715" s="383"/>
      <c r="AF715" s="383"/>
      <c r="AG715" s="383"/>
      <c r="AH715" s="383"/>
      <c r="AI715" s="383"/>
      <c r="AJ715" s="383"/>
      <c r="AK715" s="383"/>
      <c r="AL715" s="383"/>
      <c r="AM715" s="383"/>
      <c r="AN715" s="383"/>
      <c r="AO715" s="383"/>
      <c r="AP715" s="383"/>
      <c r="AQ715" s="383"/>
      <c r="AR715" s="383"/>
    </row>
    <row r="716" spans="2:44" s="639" customFormat="1" ht="12" customHeight="1">
      <c r="B716" s="638"/>
      <c r="J716" s="732" t="s">
        <v>2227</v>
      </c>
      <c r="K716" s="733"/>
      <c r="L716" s="730"/>
      <c r="M716" s="731"/>
      <c r="N716" s="1194" t="s">
        <v>2025</v>
      </c>
      <c r="O716" s="1194" t="s">
        <v>124</v>
      </c>
      <c r="P716" s="731"/>
      <c r="X716" s="383"/>
      <c r="Y716" s="383"/>
      <c r="Z716" s="383"/>
      <c r="AA716" s="383"/>
      <c r="AB716" s="383"/>
      <c r="AC716" s="383"/>
      <c r="AD716" s="383"/>
      <c r="AE716" s="383"/>
      <c r="AF716" s="383"/>
      <c r="AG716" s="383"/>
      <c r="AH716" s="383"/>
      <c r="AI716" s="383"/>
      <c r="AJ716" s="383"/>
      <c r="AK716" s="383"/>
      <c r="AL716" s="383"/>
      <c r="AM716" s="383"/>
      <c r="AN716" s="383"/>
      <c r="AO716" s="383"/>
      <c r="AP716" s="383"/>
      <c r="AQ716" s="383"/>
      <c r="AR716" s="383"/>
    </row>
    <row r="717" spans="2:44" s="639" customFormat="1" ht="12" customHeight="1">
      <c r="B717" s="638"/>
      <c r="J717" s="732" t="s">
        <v>2254</v>
      </c>
      <c r="K717" s="733"/>
      <c r="L717" s="730"/>
      <c r="M717" s="731"/>
      <c r="N717" s="1194" t="s">
        <v>2028</v>
      </c>
      <c r="O717" s="1194" t="s">
        <v>2382</v>
      </c>
      <c r="P717" s="731"/>
      <c r="X717" s="383"/>
      <c r="Y717" s="383"/>
      <c r="Z717" s="383"/>
      <c r="AA717" s="383"/>
      <c r="AB717" s="383"/>
      <c r="AC717" s="383"/>
      <c r="AD717" s="383"/>
      <c r="AE717" s="383"/>
      <c r="AF717" s="383"/>
      <c r="AG717" s="383"/>
      <c r="AH717" s="383"/>
      <c r="AI717" s="383"/>
      <c r="AJ717" s="383"/>
      <c r="AK717" s="383"/>
      <c r="AL717" s="383"/>
      <c r="AM717" s="383"/>
      <c r="AN717" s="383"/>
      <c r="AO717" s="383"/>
      <c r="AP717" s="383"/>
      <c r="AQ717" s="383"/>
      <c r="AR717" s="383"/>
    </row>
    <row r="718" spans="2:44" s="639" customFormat="1" ht="12" customHeight="1">
      <c r="B718" s="638"/>
      <c r="J718" s="1434"/>
      <c r="K718" s="1435"/>
      <c r="L718" s="1435"/>
      <c r="M718" s="1436"/>
      <c r="N718" s="1194" t="s">
        <v>2030</v>
      </c>
      <c r="O718" s="1194" t="s">
        <v>169</v>
      </c>
      <c r="P718" s="731"/>
      <c r="X718" s="383"/>
      <c r="Y718" s="383"/>
      <c r="Z718" s="383"/>
      <c r="AA718" s="383"/>
      <c r="AB718" s="383"/>
      <c r="AC718" s="383"/>
      <c r="AD718" s="383"/>
      <c r="AE718" s="383"/>
      <c r="AF718" s="383"/>
      <c r="AG718" s="383"/>
      <c r="AH718" s="383"/>
      <c r="AI718" s="383"/>
      <c r="AJ718" s="383"/>
      <c r="AK718" s="383"/>
      <c r="AL718" s="383"/>
      <c r="AM718" s="383"/>
      <c r="AN718" s="383"/>
      <c r="AO718" s="383"/>
      <c r="AP718" s="383"/>
      <c r="AQ718" s="383"/>
      <c r="AR718" s="383"/>
    </row>
    <row r="719" spans="2:44" s="639" customFormat="1" ht="12" customHeight="1">
      <c r="B719" s="638"/>
      <c r="J719" s="734"/>
      <c r="K719" s="735"/>
      <c r="L719" s="736"/>
      <c r="N719" s="1194" t="s">
        <v>683</v>
      </c>
      <c r="O719" s="1194" t="s">
        <v>2552</v>
      </c>
      <c r="P719" s="731"/>
      <c r="X719" s="383"/>
      <c r="Y719" s="383"/>
      <c r="Z719" s="383"/>
      <c r="AA719" s="383"/>
      <c r="AB719" s="383"/>
      <c r="AC719" s="383"/>
      <c r="AD719" s="383"/>
      <c r="AE719" s="383"/>
      <c r="AF719" s="383"/>
      <c r="AG719" s="383"/>
      <c r="AH719" s="383"/>
      <c r="AI719" s="383"/>
      <c r="AJ719" s="383"/>
      <c r="AK719" s="383"/>
      <c r="AL719" s="383"/>
      <c r="AM719" s="383"/>
      <c r="AN719" s="383"/>
      <c r="AO719" s="383"/>
      <c r="AP719" s="383"/>
      <c r="AQ719" s="383"/>
      <c r="AR719" s="383"/>
    </row>
    <row r="720" spans="2:44" s="639" customFormat="1" ht="12" customHeight="1">
      <c r="B720" s="638"/>
      <c r="N720" s="1194" t="s">
        <v>865</v>
      </c>
      <c r="O720" s="1194" t="s">
        <v>2305</v>
      </c>
      <c r="P720" s="731"/>
      <c r="X720" s="383"/>
      <c r="Y720" s="383"/>
      <c r="Z720" s="383"/>
      <c r="AA720" s="383"/>
      <c r="AB720" s="383"/>
      <c r="AC720" s="383"/>
      <c r="AD720" s="383"/>
      <c r="AE720" s="383"/>
      <c r="AF720" s="383"/>
      <c r="AG720" s="383"/>
      <c r="AH720" s="383"/>
      <c r="AI720" s="383"/>
      <c r="AJ720" s="383"/>
      <c r="AK720" s="383"/>
      <c r="AL720" s="383"/>
      <c r="AM720" s="383"/>
      <c r="AN720" s="383"/>
      <c r="AO720" s="383"/>
      <c r="AP720" s="383"/>
      <c r="AQ720" s="383"/>
      <c r="AR720" s="383"/>
    </row>
    <row r="721" spans="2:44" s="639" customFormat="1" ht="12" customHeight="1">
      <c r="B721" s="638"/>
      <c r="G721" s="735"/>
      <c r="H721" s="736"/>
      <c r="N721" s="1194" t="s">
        <v>1134</v>
      </c>
      <c r="O721" s="1194" t="s">
        <v>2037</v>
      </c>
      <c r="P721" s="731"/>
      <c r="X721" s="383"/>
      <c r="Y721" s="383"/>
      <c r="Z721" s="383"/>
      <c r="AA721" s="383"/>
      <c r="AB721" s="383"/>
      <c r="AC721" s="383"/>
      <c r="AD721" s="383"/>
      <c r="AE721" s="383"/>
      <c r="AF721" s="383"/>
      <c r="AG721" s="383"/>
      <c r="AH721" s="383"/>
      <c r="AI721" s="383"/>
      <c r="AJ721" s="383"/>
      <c r="AK721" s="383"/>
      <c r="AL721" s="383"/>
      <c r="AM721" s="383"/>
      <c r="AN721" s="383"/>
      <c r="AO721" s="383"/>
      <c r="AP721" s="383"/>
      <c r="AQ721" s="383"/>
      <c r="AR721" s="383"/>
    </row>
    <row r="722" spans="2:44" s="639" customFormat="1" ht="12" customHeight="1">
      <c r="B722" s="638"/>
      <c r="F722" s="734"/>
      <c r="G722" s="735"/>
      <c r="H722" s="736"/>
      <c r="N722" s="1194" t="s">
        <v>1135</v>
      </c>
      <c r="O722" s="1194" t="s">
        <v>2133</v>
      </c>
      <c r="P722" s="731"/>
      <c r="X722" s="383"/>
      <c r="Y722" s="383"/>
      <c r="Z722" s="383"/>
      <c r="AA722" s="383"/>
      <c r="AB722" s="383"/>
      <c r="AC722" s="383"/>
      <c r="AD722" s="383"/>
      <c r="AE722" s="383"/>
      <c r="AF722" s="383"/>
      <c r="AG722" s="383"/>
      <c r="AH722" s="383"/>
      <c r="AI722" s="383"/>
      <c r="AJ722" s="383"/>
      <c r="AK722" s="383"/>
      <c r="AL722" s="383"/>
      <c r="AM722" s="383"/>
      <c r="AN722" s="383"/>
      <c r="AO722" s="383"/>
      <c r="AP722" s="383"/>
      <c r="AQ722" s="383"/>
      <c r="AR722" s="383"/>
    </row>
    <row r="723" spans="2:44" s="639" customFormat="1" ht="12" customHeight="1">
      <c r="B723" s="638"/>
      <c r="F723" s="734"/>
      <c r="G723" s="735"/>
      <c r="H723" s="736"/>
      <c r="N723" s="708" t="s">
        <v>1553</v>
      </c>
      <c r="O723" s="708" t="s">
        <v>1281</v>
      </c>
      <c r="P723" s="731"/>
      <c r="X723" s="383"/>
      <c r="Y723" s="383"/>
      <c r="Z723" s="383"/>
      <c r="AA723" s="383"/>
      <c r="AB723" s="383"/>
      <c r="AC723" s="383"/>
      <c r="AD723" s="383"/>
      <c r="AE723" s="383"/>
      <c r="AF723" s="383"/>
      <c r="AG723" s="383"/>
      <c r="AH723" s="383"/>
      <c r="AI723" s="383"/>
      <c r="AJ723" s="383"/>
      <c r="AK723" s="383"/>
      <c r="AL723" s="383"/>
      <c r="AM723" s="383"/>
      <c r="AN723" s="383"/>
      <c r="AO723" s="383"/>
      <c r="AP723" s="383"/>
      <c r="AQ723" s="383"/>
      <c r="AR723" s="383"/>
    </row>
    <row r="724" spans="2:44" s="639" customFormat="1" ht="12" customHeight="1">
      <c r="B724" s="638"/>
      <c r="F724" s="734"/>
      <c r="G724" s="735"/>
      <c r="H724" s="736"/>
      <c r="N724" s="1194" t="s">
        <v>2450</v>
      </c>
      <c r="O724" s="1194" t="s">
        <v>124</v>
      </c>
      <c r="P724" s="1239"/>
      <c r="X724" s="383"/>
      <c r="Y724" s="383"/>
      <c r="Z724" s="383"/>
      <c r="AA724" s="383"/>
      <c r="AB724" s="383"/>
      <c r="AC724" s="383"/>
      <c r="AD724" s="383"/>
      <c r="AE724" s="383"/>
      <c r="AF724" s="383"/>
      <c r="AG724" s="383"/>
      <c r="AH724" s="383"/>
      <c r="AI724" s="383"/>
      <c r="AJ724" s="383"/>
      <c r="AK724" s="383"/>
      <c r="AL724" s="383"/>
      <c r="AM724" s="383"/>
      <c r="AN724" s="383"/>
      <c r="AO724" s="383"/>
      <c r="AP724" s="383"/>
      <c r="AQ724" s="383"/>
      <c r="AR724" s="383"/>
    </row>
    <row r="725" spans="2:44" s="639" customFormat="1" ht="12" customHeight="1">
      <c r="B725" s="638"/>
      <c r="F725" s="734"/>
      <c r="G725" s="735"/>
      <c r="H725" s="736"/>
      <c r="N725" s="1194" t="s">
        <v>1499</v>
      </c>
      <c r="O725" s="1194" t="s">
        <v>2382</v>
      </c>
      <c r="P725" s="731"/>
      <c r="X725" s="383"/>
      <c r="Y725" s="383"/>
      <c r="Z725" s="383"/>
      <c r="AA725" s="383"/>
      <c r="AB725" s="383"/>
      <c r="AC725" s="383"/>
      <c r="AD725" s="383"/>
      <c r="AE725" s="383"/>
      <c r="AF725" s="383"/>
      <c r="AG725" s="383"/>
      <c r="AH725" s="383"/>
      <c r="AI725" s="383"/>
      <c r="AJ725" s="383"/>
      <c r="AK725" s="383"/>
      <c r="AL725" s="383"/>
      <c r="AM725" s="383"/>
      <c r="AN725" s="383"/>
      <c r="AO725" s="383"/>
      <c r="AP725" s="383"/>
      <c r="AQ725" s="383"/>
      <c r="AR725" s="383"/>
    </row>
    <row r="726" spans="2:44" s="639" customFormat="1" ht="12" customHeight="1">
      <c r="B726" s="638"/>
      <c r="F726" s="734"/>
      <c r="G726" s="735"/>
      <c r="H726" s="736"/>
      <c r="N726" s="1194" t="s">
        <v>2396</v>
      </c>
      <c r="O726" s="1194" t="s">
        <v>2043</v>
      </c>
      <c r="P726" s="731"/>
      <c r="X726" s="383"/>
      <c r="Y726" s="383"/>
      <c r="Z726" s="383"/>
      <c r="AA726" s="383"/>
      <c r="AB726" s="383"/>
      <c r="AC726" s="383"/>
      <c r="AD726" s="383"/>
      <c r="AE726" s="383"/>
      <c r="AF726" s="383"/>
      <c r="AG726" s="383"/>
      <c r="AH726" s="383"/>
      <c r="AI726" s="383"/>
      <c r="AJ726" s="383"/>
      <c r="AK726" s="383"/>
      <c r="AL726" s="383"/>
      <c r="AM726" s="383"/>
      <c r="AN726" s="383"/>
      <c r="AO726" s="383"/>
      <c r="AP726" s="383"/>
      <c r="AQ726" s="383"/>
      <c r="AR726" s="383"/>
    </row>
    <row r="727" spans="2:44" s="639" customFormat="1" ht="12" customHeight="1">
      <c r="B727" s="638"/>
      <c r="F727" s="734"/>
      <c r="G727" s="735"/>
      <c r="H727" s="736"/>
      <c r="N727" s="1194" t="s">
        <v>2398</v>
      </c>
      <c r="O727" s="1194" t="s">
        <v>2301</v>
      </c>
      <c r="P727" s="731"/>
      <c r="X727" s="383"/>
      <c r="Y727" s="383"/>
      <c r="Z727" s="383"/>
      <c r="AA727" s="383"/>
      <c r="AB727" s="383"/>
      <c r="AC727" s="383"/>
      <c r="AD727" s="383"/>
      <c r="AE727" s="383"/>
      <c r="AF727" s="383"/>
      <c r="AG727" s="383"/>
      <c r="AH727" s="383"/>
      <c r="AI727" s="383"/>
      <c r="AJ727" s="383"/>
      <c r="AK727" s="383"/>
      <c r="AL727" s="383"/>
      <c r="AM727" s="383"/>
      <c r="AN727" s="383"/>
      <c r="AO727" s="383"/>
      <c r="AP727" s="383"/>
      <c r="AQ727" s="383"/>
      <c r="AR727" s="383"/>
    </row>
    <row r="728" spans="2:44" s="639" customFormat="1" ht="12" customHeight="1">
      <c r="B728" s="638"/>
      <c r="F728" s="734"/>
      <c r="G728" s="735"/>
      <c r="H728" s="736"/>
      <c r="N728" s="1194" t="s">
        <v>2400</v>
      </c>
      <c r="O728" s="1194" t="s">
        <v>2552</v>
      </c>
      <c r="P728" s="731"/>
      <c r="X728" s="383"/>
      <c r="Y728" s="383"/>
      <c r="Z728" s="383"/>
      <c r="AA728" s="383"/>
      <c r="AB728" s="383"/>
      <c r="AC728" s="383"/>
      <c r="AD728" s="383"/>
      <c r="AE728" s="383"/>
      <c r="AF728" s="383"/>
      <c r="AG728" s="383"/>
      <c r="AH728" s="383"/>
      <c r="AI728" s="383"/>
      <c r="AJ728" s="383"/>
      <c r="AK728" s="383"/>
      <c r="AL728" s="383"/>
      <c r="AM728" s="383"/>
      <c r="AN728" s="383"/>
      <c r="AO728" s="383"/>
      <c r="AP728" s="383"/>
      <c r="AQ728" s="383"/>
      <c r="AR728" s="383"/>
    </row>
    <row r="729" spans="2:44" s="639" customFormat="1" ht="12" customHeight="1">
      <c r="B729" s="638"/>
      <c r="F729" s="734"/>
      <c r="G729" s="735"/>
      <c r="H729" s="736"/>
      <c r="N729" s="1194" t="s">
        <v>3261</v>
      </c>
      <c r="O729" s="1194" t="s">
        <v>166</v>
      </c>
      <c r="P729" s="731"/>
      <c r="X729" s="383"/>
      <c r="Y729" s="383"/>
      <c r="Z729" s="383"/>
      <c r="AA729" s="383"/>
      <c r="AB729" s="383"/>
      <c r="AC729" s="383"/>
      <c r="AD729" s="383"/>
      <c r="AE729" s="383"/>
      <c r="AF729" s="383"/>
      <c r="AG729" s="383"/>
      <c r="AH729" s="383"/>
      <c r="AI729" s="383"/>
      <c r="AJ729" s="383"/>
      <c r="AK729" s="383"/>
      <c r="AL729" s="383"/>
      <c r="AM729" s="383"/>
      <c r="AN729" s="383"/>
      <c r="AO729" s="383"/>
      <c r="AP729" s="383"/>
      <c r="AQ729" s="383"/>
      <c r="AR729" s="383"/>
    </row>
    <row r="730" spans="2:44" s="639" customFormat="1" ht="12" customHeight="1">
      <c r="B730" s="638"/>
      <c r="F730" s="734"/>
      <c r="G730" s="735"/>
      <c r="H730" s="736"/>
      <c r="N730" s="1194" t="s">
        <v>1175</v>
      </c>
      <c r="O730" s="1194" t="s">
        <v>2312</v>
      </c>
      <c r="P730" s="731"/>
      <c r="X730" s="383"/>
      <c r="Y730" s="383"/>
      <c r="Z730" s="383"/>
      <c r="AA730" s="383"/>
      <c r="AB730" s="383"/>
      <c r="AC730" s="383"/>
      <c r="AD730" s="383"/>
      <c r="AE730" s="383"/>
      <c r="AF730" s="383"/>
      <c r="AG730" s="383"/>
      <c r="AH730" s="383"/>
      <c r="AI730" s="383"/>
      <c r="AJ730" s="383"/>
      <c r="AK730" s="383"/>
      <c r="AL730" s="383"/>
      <c r="AM730" s="383"/>
      <c r="AN730" s="383"/>
      <c r="AO730" s="383"/>
      <c r="AP730" s="383"/>
      <c r="AQ730" s="383"/>
      <c r="AR730" s="383"/>
    </row>
    <row r="731" spans="2:44" s="639" customFormat="1" ht="12" customHeight="1">
      <c r="B731" s="638"/>
      <c r="F731" s="734"/>
      <c r="G731" s="735"/>
      <c r="H731" s="736"/>
      <c r="N731" s="1194" t="s">
        <v>1177</v>
      </c>
      <c r="O731" s="1194" t="s">
        <v>1152</v>
      </c>
      <c r="P731" s="731"/>
      <c r="X731" s="383"/>
      <c r="Y731" s="383"/>
      <c r="Z731" s="383"/>
      <c r="AA731" s="383"/>
      <c r="AB731" s="383"/>
      <c r="AC731" s="383"/>
      <c r="AD731" s="383"/>
      <c r="AE731" s="383"/>
      <c r="AF731" s="383"/>
      <c r="AG731" s="383"/>
      <c r="AH731" s="383"/>
      <c r="AI731" s="383"/>
      <c r="AJ731" s="383"/>
      <c r="AK731" s="383"/>
      <c r="AL731" s="383"/>
      <c r="AM731" s="383"/>
      <c r="AN731" s="383"/>
      <c r="AO731" s="383"/>
      <c r="AP731" s="383"/>
      <c r="AQ731" s="383"/>
      <c r="AR731" s="383"/>
    </row>
    <row r="732" spans="2:44" s="639" customFormat="1" ht="12" customHeight="1">
      <c r="B732" s="638"/>
      <c r="F732" s="734"/>
      <c r="G732" s="735"/>
      <c r="H732" s="736"/>
      <c r="N732" s="1194" t="s">
        <v>2178</v>
      </c>
      <c r="O732" s="1194" t="s">
        <v>332</v>
      </c>
      <c r="P732" s="731"/>
      <c r="X732" s="383"/>
      <c r="Y732" s="383"/>
      <c r="Z732" s="383"/>
      <c r="AA732" s="383"/>
      <c r="AB732" s="383"/>
      <c r="AC732" s="383"/>
      <c r="AD732" s="383"/>
      <c r="AE732" s="383"/>
      <c r="AF732" s="383"/>
      <c r="AG732" s="383"/>
      <c r="AH732" s="383"/>
      <c r="AI732" s="383"/>
      <c r="AJ732" s="383"/>
      <c r="AK732" s="383"/>
      <c r="AL732" s="383"/>
      <c r="AM732" s="383"/>
      <c r="AN732" s="383"/>
      <c r="AO732" s="383"/>
      <c r="AP732" s="383"/>
      <c r="AQ732" s="383"/>
      <c r="AR732" s="383"/>
    </row>
    <row r="733" spans="2:44" s="639" customFormat="1" ht="12" customHeight="1">
      <c r="B733" s="638"/>
      <c r="F733" s="734"/>
      <c r="G733" s="735"/>
      <c r="H733" s="736"/>
      <c r="N733" s="708" t="s">
        <v>2096</v>
      </c>
      <c r="O733" s="708" t="s">
        <v>125</v>
      </c>
      <c r="P733" s="731"/>
      <c r="X733" s="383"/>
      <c r="Y733" s="383"/>
      <c r="Z733" s="383"/>
      <c r="AA733" s="383"/>
      <c r="AB733" s="383"/>
      <c r="AC733" s="383"/>
      <c r="AD733" s="383"/>
      <c r="AE733" s="383"/>
      <c r="AF733" s="383"/>
      <c r="AG733" s="383"/>
      <c r="AH733" s="383"/>
      <c r="AI733" s="383"/>
      <c r="AJ733" s="383"/>
      <c r="AK733" s="383"/>
      <c r="AL733" s="383"/>
      <c r="AM733" s="383"/>
      <c r="AN733" s="383"/>
      <c r="AO733" s="383"/>
      <c r="AP733" s="383"/>
      <c r="AQ733" s="383"/>
      <c r="AR733" s="383"/>
    </row>
    <row r="734" spans="2:44" s="639" customFormat="1" ht="12" customHeight="1">
      <c r="B734" s="638"/>
      <c r="F734" s="734"/>
      <c r="G734" s="735"/>
      <c r="H734" s="736"/>
      <c r="N734" s="1194" t="s">
        <v>2098</v>
      </c>
      <c r="O734" s="1194" t="s">
        <v>341</v>
      </c>
      <c r="P734" s="1239"/>
      <c r="X734" s="383"/>
      <c r="Y734" s="383"/>
      <c r="Z734" s="383"/>
      <c r="AA734" s="383"/>
      <c r="AB734" s="383"/>
      <c r="AC734" s="383"/>
      <c r="AD734" s="383"/>
      <c r="AE734" s="383"/>
      <c r="AF734" s="383"/>
      <c r="AG734" s="383"/>
      <c r="AH734" s="383"/>
      <c r="AI734" s="383"/>
      <c r="AJ734" s="383"/>
      <c r="AK734" s="383"/>
      <c r="AL734" s="383"/>
      <c r="AM734" s="383"/>
      <c r="AN734" s="383"/>
      <c r="AO734" s="383"/>
      <c r="AP734" s="383"/>
      <c r="AQ734" s="383"/>
      <c r="AR734" s="383"/>
    </row>
    <row r="735" spans="2:44" s="639" customFormat="1" ht="12" customHeight="1">
      <c r="B735" s="638"/>
      <c r="F735" s="734"/>
      <c r="G735" s="735"/>
      <c r="H735" s="736"/>
      <c r="N735" s="1194" t="s">
        <v>2100</v>
      </c>
      <c r="O735" s="1194" t="s">
        <v>191</v>
      </c>
      <c r="P735" s="731"/>
      <c r="X735" s="383"/>
      <c r="Y735" s="383"/>
      <c r="Z735" s="383"/>
      <c r="AA735" s="383"/>
      <c r="AB735" s="383"/>
      <c r="AC735" s="383"/>
      <c r="AD735" s="383"/>
      <c r="AE735" s="383"/>
      <c r="AF735" s="383"/>
      <c r="AG735" s="383"/>
      <c r="AH735" s="383"/>
      <c r="AI735" s="383"/>
      <c r="AJ735" s="383"/>
      <c r="AK735" s="383"/>
      <c r="AL735" s="383"/>
      <c r="AM735" s="383"/>
      <c r="AN735" s="383"/>
      <c r="AO735" s="383"/>
      <c r="AP735" s="383"/>
      <c r="AQ735" s="383"/>
      <c r="AR735" s="383"/>
    </row>
    <row r="736" spans="2:44" s="639" customFormat="1" ht="12" customHeight="1">
      <c r="B736" s="638"/>
      <c r="F736" s="734"/>
      <c r="G736" s="735"/>
      <c r="H736" s="736"/>
      <c r="N736" s="1194" t="s">
        <v>3262</v>
      </c>
      <c r="O736" s="1194" t="s">
        <v>2037</v>
      </c>
      <c r="P736" s="731"/>
      <c r="X736" s="383"/>
      <c r="Y736" s="383"/>
      <c r="Z736" s="383"/>
      <c r="AA736" s="383"/>
      <c r="AB736" s="383"/>
      <c r="AC736" s="383"/>
      <c r="AD736" s="383"/>
      <c r="AE736" s="383"/>
      <c r="AF736" s="383"/>
      <c r="AG736" s="383"/>
      <c r="AH736" s="383"/>
      <c r="AI736" s="383"/>
      <c r="AJ736" s="383"/>
      <c r="AK736" s="383"/>
      <c r="AL736" s="383"/>
      <c r="AM736" s="383"/>
      <c r="AN736" s="383"/>
      <c r="AO736" s="383"/>
      <c r="AP736" s="383"/>
      <c r="AQ736" s="383"/>
      <c r="AR736" s="383"/>
    </row>
    <row r="737" spans="2:44" s="639" customFormat="1" ht="12" customHeight="1">
      <c r="B737" s="638"/>
      <c r="F737" s="734"/>
      <c r="G737" s="735"/>
      <c r="H737" s="736"/>
      <c r="N737" s="1194" t="s">
        <v>476</v>
      </c>
      <c r="O737" s="1194" t="s">
        <v>1394</v>
      </c>
      <c r="P737" s="731"/>
      <c r="X737" s="383"/>
      <c r="Y737" s="383"/>
      <c r="Z737" s="383"/>
      <c r="AA737" s="383"/>
      <c r="AB737" s="383"/>
      <c r="AC737" s="383"/>
      <c r="AD737" s="383"/>
      <c r="AE737" s="383"/>
      <c r="AF737" s="383"/>
      <c r="AG737" s="383"/>
      <c r="AH737" s="383"/>
      <c r="AI737" s="383"/>
      <c r="AJ737" s="383"/>
      <c r="AK737" s="383"/>
      <c r="AL737" s="383"/>
      <c r="AM737" s="383"/>
      <c r="AN737" s="383"/>
      <c r="AO737" s="383"/>
      <c r="AP737" s="383"/>
      <c r="AQ737" s="383"/>
      <c r="AR737" s="383"/>
    </row>
    <row r="738" spans="2:44" s="639" customFormat="1" ht="12" customHeight="1">
      <c r="B738" s="638"/>
      <c r="F738" s="734"/>
      <c r="G738" s="735"/>
      <c r="H738" s="736"/>
      <c r="N738" s="1194" t="s">
        <v>2228</v>
      </c>
      <c r="O738" s="1194" t="s">
        <v>777</v>
      </c>
      <c r="P738" s="731"/>
      <c r="X738" s="383"/>
      <c r="Y738" s="383"/>
      <c r="Z738" s="383"/>
      <c r="AA738" s="383"/>
      <c r="AB738" s="383"/>
      <c r="AC738" s="383"/>
      <c r="AD738" s="383"/>
      <c r="AE738" s="383"/>
      <c r="AF738" s="383"/>
      <c r="AG738" s="383"/>
      <c r="AH738" s="383"/>
      <c r="AI738" s="383"/>
      <c r="AJ738" s="383"/>
      <c r="AK738" s="383"/>
      <c r="AL738" s="383"/>
      <c r="AM738" s="383"/>
      <c r="AN738" s="383"/>
      <c r="AO738" s="383"/>
      <c r="AP738" s="383"/>
      <c r="AQ738" s="383"/>
      <c r="AR738" s="383"/>
    </row>
    <row r="739" spans="2:44" s="639" customFormat="1" ht="12" customHeight="1">
      <c r="B739" s="638"/>
      <c r="F739" s="734"/>
      <c r="G739" s="735"/>
      <c r="H739" s="736"/>
      <c r="N739" s="1194" t="s">
        <v>2255</v>
      </c>
      <c r="O739" s="1194" t="s">
        <v>109</v>
      </c>
      <c r="P739" s="731"/>
      <c r="X739" s="383"/>
      <c r="Y739" s="383"/>
      <c r="Z739" s="383"/>
      <c r="AA739" s="383"/>
      <c r="AB739" s="383"/>
      <c r="AC739" s="383"/>
      <c r="AD739" s="383"/>
      <c r="AE739" s="383"/>
      <c r="AF739" s="383"/>
      <c r="AG739" s="383"/>
      <c r="AH739" s="383"/>
      <c r="AI739" s="383"/>
      <c r="AJ739" s="383"/>
      <c r="AK739" s="383"/>
      <c r="AL739" s="383"/>
      <c r="AM739" s="383"/>
      <c r="AN739" s="383"/>
      <c r="AO739" s="383"/>
      <c r="AP739" s="383"/>
      <c r="AQ739" s="383"/>
      <c r="AR739" s="383"/>
    </row>
    <row r="740" spans="2:44" s="639" customFormat="1" ht="12" customHeight="1">
      <c r="B740" s="638"/>
      <c r="F740" s="734"/>
      <c r="G740" s="735"/>
      <c r="H740" s="736"/>
      <c r="N740" s="1194" t="s">
        <v>881</v>
      </c>
      <c r="O740" s="1194" t="s">
        <v>2133</v>
      </c>
      <c r="P740" s="1240"/>
      <c r="X740" s="383"/>
      <c r="Y740" s="383"/>
      <c r="Z740" s="383"/>
      <c r="AA740" s="383"/>
      <c r="AB740" s="383"/>
      <c r="AC740" s="383"/>
      <c r="AD740" s="383"/>
      <c r="AE740" s="383"/>
      <c r="AF740" s="383"/>
      <c r="AG740" s="383"/>
      <c r="AH740" s="383"/>
      <c r="AI740" s="383"/>
      <c r="AJ740" s="383"/>
      <c r="AK740" s="383"/>
      <c r="AL740" s="383"/>
      <c r="AM740" s="383"/>
      <c r="AN740" s="383"/>
      <c r="AO740" s="383"/>
      <c r="AP740" s="383"/>
      <c r="AQ740" s="383"/>
      <c r="AR740" s="383"/>
    </row>
    <row r="741" spans="2:44" s="639" customFormat="1" ht="12" customHeight="1">
      <c r="B741" s="638"/>
      <c r="F741" s="734"/>
      <c r="G741" s="735"/>
      <c r="H741" s="736"/>
      <c r="N741" s="1194" t="s">
        <v>2256</v>
      </c>
      <c r="O741" s="1194" t="s">
        <v>2133</v>
      </c>
      <c r="P741" s="731"/>
      <c r="X741" s="383"/>
      <c r="Y741" s="383"/>
      <c r="Z741" s="383"/>
      <c r="AA741" s="383"/>
      <c r="AB741" s="383"/>
      <c r="AC741" s="383"/>
      <c r="AD741" s="383"/>
      <c r="AE741" s="383"/>
      <c r="AF741" s="383"/>
      <c r="AG741" s="383"/>
      <c r="AH741" s="383"/>
      <c r="AI741" s="383"/>
      <c r="AJ741" s="383"/>
      <c r="AK741" s="383"/>
      <c r="AL741" s="383"/>
      <c r="AM741" s="383"/>
      <c r="AN741" s="383"/>
      <c r="AO741" s="383"/>
      <c r="AP741" s="383"/>
      <c r="AQ741" s="383"/>
      <c r="AR741" s="383"/>
    </row>
    <row r="742" spans="2:44" s="639" customFormat="1" ht="12" customHeight="1">
      <c r="B742" s="638"/>
      <c r="F742" s="734"/>
      <c r="G742" s="735"/>
      <c r="H742" s="736"/>
      <c r="N742" s="708" t="s">
        <v>2257</v>
      </c>
      <c r="O742" s="708" t="s">
        <v>1770</v>
      </c>
      <c r="P742" s="731"/>
      <c r="X742" s="383"/>
      <c r="Y742" s="383"/>
      <c r="Z742" s="383"/>
      <c r="AA742" s="383"/>
      <c r="AB742" s="383"/>
      <c r="AC742" s="383"/>
      <c r="AD742" s="383"/>
      <c r="AE742" s="383"/>
      <c r="AF742" s="383"/>
      <c r="AG742" s="383"/>
      <c r="AH742" s="383"/>
      <c r="AI742" s="383"/>
      <c r="AJ742" s="383"/>
      <c r="AK742" s="383"/>
      <c r="AL742" s="383"/>
      <c r="AM742" s="383"/>
      <c r="AN742" s="383"/>
      <c r="AO742" s="383"/>
      <c r="AP742" s="383"/>
      <c r="AQ742" s="383"/>
      <c r="AR742" s="383"/>
    </row>
    <row r="743" spans="2:44" s="639" customFormat="1" ht="12" customHeight="1">
      <c r="B743" s="638"/>
      <c r="F743" s="734"/>
      <c r="G743" s="735"/>
      <c r="H743" s="736"/>
      <c r="N743" s="1194" t="s">
        <v>2474</v>
      </c>
      <c r="O743" s="1194" t="s">
        <v>2001</v>
      </c>
      <c r="P743" s="1239"/>
      <c r="X743" s="383"/>
      <c r="Y743" s="383"/>
      <c r="Z743" s="383"/>
      <c r="AA743" s="383"/>
      <c r="AB743" s="383"/>
      <c r="AC743" s="383"/>
      <c r="AD743" s="383"/>
      <c r="AE743" s="383"/>
      <c r="AF743" s="383"/>
      <c r="AG743" s="383"/>
      <c r="AH743" s="383"/>
      <c r="AI743" s="383"/>
      <c r="AJ743" s="383"/>
      <c r="AK743" s="383"/>
      <c r="AL743" s="383"/>
      <c r="AM743" s="383"/>
      <c r="AN743" s="383"/>
      <c r="AO743" s="383"/>
      <c r="AP743" s="383"/>
      <c r="AQ743" s="383"/>
      <c r="AR743" s="383"/>
    </row>
    <row r="744" spans="2:44" s="639" customFormat="1" ht="12" customHeight="1">
      <c r="B744" s="638"/>
      <c r="F744" s="734"/>
      <c r="G744" s="735"/>
      <c r="H744" s="736"/>
      <c r="N744" s="1194" t="s">
        <v>2475</v>
      </c>
      <c r="O744" s="1194" t="s">
        <v>166</v>
      </c>
      <c r="P744" s="731"/>
      <c r="X744" s="383"/>
      <c r="Y744" s="383"/>
      <c r="Z744" s="383"/>
      <c r="AA744" s="383"/>
      <c r="AB744" s="383"/>
      <c r="AC744" s="383"/>
      <c r="AD744" s="383"/>
      <c r="AE744" s="383"/>
      <c r="AF744" s="383"/>
      <c r="AG744" s="383"/>
      <c r="AH744" s="383"/>
      <c r="AI744" s="383"/>
      <c r="AJ744" s="383"/>
      <c r="AK744" s="383"/>
      <c r="AL744" s="383"/>
      <c r="AM744" s="383"/>
      <c r="AN744" s="383"/>
      <c r="AO744" s="383"/>
      <c r="AP744" s="383"/>
      <c r="AQ744" s="383"/>
      <c r="AR744" s="383"/>
    </row>
    <row r="745" spans="2:44" s="639" customFormat="1" ht="12" customHeight="1">
      <c r="B745" s="638"/>
      <c r="F745" s="734"/>
      <c r="G745" s="735"/>
      <c r="H745" s="736"/>
      <c r="N745" s="1194" t="s">
        <v>2476</v>
      </c>
      <c r="O745" s="1194" t="s">
        <v>1772</v>
      </c>
      <c r="P745" s="731"/>
      <c r="X745" s="383"/>
      <c r="Y745" s="383"/>
      <c r="Z745" s="383"/>
      <c r="AA745" s="383"/>
      <c r="AB745" s="383"/>
      <c r="AC745" s="383"/>
      <c r="AD745" s="383"/>
      <c r="AE745" s="383"/>
      <c r="AF745" s="383"/>
      <c r="AG745" s="383"/>
      <c r="AH745" s="383"/>
      <c r="AI745" s="383"/>
      <c r="AJ745" s="383"/>
      <c r="AK745" s="383"/>
      <c r="AL745" s="383"/>
      <c r="AM745" s="383"/>
      <c r="AN745" s="383"/>
      <c r="AO745" s="383"/>
      <c r="AP745" s="383"/>
      <c r="AQ745" s="383"/>
      <c r="AR745" s="383"/>
    </row>
    <row r="746" spans="2:44" s="639" customFormat="1" ht="12" customHeight="1">
      <c r="B746" s="638"/>
      <c r="F746" s="734"/>
      <c r="G746" s="735"/>
      <c r="H746" s="736"/>
      <c r="N746" s="1194" t="s">
        <v>2477</v>
      </c>
      <c r="O746" s="1194" t="s">
        <v>1164</v>
      </c>
      <c r="P746" s="731"/>
      <c r="X746" s="383"/>
      <c r="Y746" s="383"/>
      <c r="Z746" s="383"/>
      <c r="AA746" s="383"/>
      <c r="AB746" s="383"/>
      <c r="AC746" s="383"/>
      <c r="AD746" s="383"/>
      <c r="AE746" s="383"/>
      <c r="AF746" s="383"/>
      <c r="AG746" s="383"/>
      <c r="AH746" s="383"/>
      <c r="AI746" s="383"/>
      <c r="AJ746" s="383"/>
      <c r="AK746" s="383"/>
      <c r="AL746" s="383"/>
      <c r="AM746" s="383"/>
      <c r="AN746" s="383"/>
      <c r="AO746" s="383"/>
      <c r="AP746" s="383"/>
      <c r="AQ746" s="383"/>
      <c r="AR746" s="383"/>
    </row>
    <row r="747" spans="2:44" s="639" customFormat="1" ht="12" customHeight="1">
      <c r="B747" s="638"/>
      <c r="F747" s="734"/>
      <c r="G747" s="735"/>
      <c r="H747" s="736"/>
      <c r="N747" s="1194" t="s">
        <v>2478</v>
      </c>
      <c r="O747" s="1194" t="s">
        <v>2548</v>
      </c>
      <c r="P747" s="731"/>
      <c r="X747" s="383"/>
      <c r="Y747" s="383"/>
      <c r="Z747" s="383"/>
      <c r="AA747" s="383"/>
      <c r="AB747" s="383"/>
      <c r="AC747" s="383"/>
      <c r="AD747" s="383"/>
      <c r="AE747" s="383"/>
      <c r="AF747" s="383"/>
      <c r="AG747" s="383"/>
      <c r="AH747" s="383"/>
      <c r="AI747" s="383"/>
      <c r="AJ747" s="383"/>
      <c r="AK747" s="383"/>
      <c r="AL747" s="383"/>
      <c r="AM747" s="383"/>
      <c r="AN747" s="383"/>
      <c r="AO747" s="383"/>
      <c r="AP747" s="383"/>
      <c r="AQ747" s="383"/>
      <c r="AR747" s="383"/>
    </row>
    <row r="748" spans="2:44" s="639" customFormat="1" ht="12" customHeight="1">
      <c r="B748" s="638"/>
      <c r="F748" s="734"/>
      <c r="G748" s="735"/>
      <c r="H748" s="736"/>
      <c r="N748" s="1194" t="s">
        <v>2401</v>
      </c>
      <c r="O748" s="1194" t="s">
        <v>2306</v>
      </c>
      <c r="P748" s="731"/>
      <c r="X748" s="383"/>
      <c r="Y748" s="383"/>
      <c r="Z748" s="383"/>
      <c r="AA748" s="383"/>
      <c r="AB748" s="383"/>
      <c r="AC748" s="383"/>
      <c r="AD748" s="383"/>
      <c r="AE748" s="383"/>
      <c r="AF748" s="383"/>
      <c r="AG748" s="383"/>
      <c r="AH748" s="383"/>
      <c r="AI748" s="383"/>
      <c r="AJ748" s="383"/>
      <c r="AK748" s="383"/>
      <c r="AL748" s="383"/>
      <c r="AM748" s="383"/>
      <c r="AN748" s="383"/>
      <c r="AO748" s="383"/>
      <c r="AP748" s="383"/>
      <c r="AQ748" s="383"/>
      <c r="AR748" s="383"/>
    </row>
    <row r="749" spans="2:44" s="639" customFormat="1" ht="12" customHeight="1">
      <c r="B749" s="638"/>
      <c r="F749" s="734"/>
      <c r="G749" s="735"/>
      <c r="H749" s="736"/>
      <c r="N749" s="1194" t="s">
        <v>1727</v>
      </c>
      <c r="O749" s="1194" t="s">
        <v>2550</v>
      </c>
      <c r="P749" s="731"/>
      <c r="X749" s="383"/>
      <c r="Y749" s="383"/>
      <c r="Z749" s="383"/>
      <c r="AA749" s="383"/>
      <c r="AB749" s="383"/>
      <c r="AC749" s="383"/>
      <c r="AD749" s="383"/>
      <c r="AE749" s="383"/>
      <c r="AF749" s="383"/>
      <c r="AG749" s="383"/>
      <c r="AH749" s="383"/>
      <c r="AI749" s="383"/>
      <c r="AJ749" s="383"/>
      <c r="AK749" s="383"/>
      <c r="AL749" s="383"/>
      <c r="AM749" s="383"/>
      <c r="AN749" s="383"/>
      <c r="AO749" s="383"/>
      <c r="AP749" s="383"/>
      <c r="AQ749" s="383"/>
      <c r="AR749" s="383"/>
    </row>
    <row r="750" spans="2:44" s="639" customFormat="1" ht="12" customHeight="1">
      <c r="B750" s="638"/>
      <c r="F750" s="734"/>
      <c r="G750" s="735"/>
      <c r="H750" s="736"/>
      <c r="N750" s="1194" t="s">
        <v>1728</v>
      </c>
      <c r="O750" s="1194" t="s">
        <v>202</v>
      </c>
      <c r="P750" s="731"/>
      <c r="X750" s="383"/>
      <c r="Y750" s="383"/>
      <c r="Z750" s="383"/>
      <c r="AA750" s="383"/>
      <c r="AB750" s="383"/>
      <c r="AC750" s="383"/>
      <c r="AD750" s="383"/>
      <c r="AE750" s="383"/>
      <c r="AF750" s="383"/>
      <c r="AG750" s="383"/>
      <c r="AH750" s="383"/>
      <c r="AI750" s="383"/>
      <c r="AJ750" s="383"/>
      <c r="AK750" s="383"/>
      <c r="AL750" s="383"/>
      <c r="AM750" s="383"/>
      <c r="AN750" s="383"/>
      <c r="AO750" s="383"/>
      <c r="AP750" s="383"/>
      <c r="AQ750" s="383"/>
      <c r="AR750" s="383"/>
    </row>
    <row r="751" spans="2:44" s="639" customFormat="1" ht="12" customHeight="1">
      <c r="B751" s="638"/>
      <c r="F751" s="734"/>
      <c r="G751" s="735"/>
      <c r="H751" s="736"/>
      <c r="N751" s="1194" t="s">
        <v>1796</v>
      </c>
      <c r="O751" s="1194" t="s">
        <v>169</v>
      </c>
      <c r="P751" s="731"/>
      <c r="X751" s="383"/>
      <c r="Y751" s="383"/>
      <c r="Z751" s="383"/>
      <c r="AA751" s="383"/>
      <c r="AB751" s="383"/>
      <c r="AC751" s="383"/>
      <c r="AD751" s="383"/>
      <c r="AE751" s="383"/>
      <c r="AF751" s="383"/>
      <c r="AG751" s="383"/>
      <c r="AH751" s="383"/>
      <c r="AI751" s="383"/>
      <c r="AJ751" s="383"/>
      <c r="AK751" s="383"/>
      <c r="AL751" s="383"/>
      <c r="AM751" s="383"/>
      <c r="AN751" s="383"/>
      <c r="AO751" s="383"/>
      <c r="AP751" s="383"/>
      <c r="AQ751" s="383"/>
      <c r="AR751" s="383"/>
    </row>
    <row r="752" spans="2:44" s="639" customFormat="1" ht="12" customHeight="1">
      <c r="B752" s="638"/>
      <c r="F752" s="734"/>
      <c r="G752" s="735"/>
      <c r="H752" s="736"/>
      <c r="N752" s="1194" t="s">
        <v>1136</v>
      </c>
      <c r="O752" s="1194" t="s">
        <v>664</v>
      </c>
      <c r="P752" s="731"/>
      <c r="X752" s="383"/>
      <c r="Y752" s="383"/>
      <c r="Z752" s="383"/>
      <c r="AA752" s="383"/>
      <c r="AB752" s="383"/>
      <c r="AC752" s="383"/>
      <c r="AD752" s="383"/>
      <c r="AE752" s="383"/>
      <c r="AF752" s="383"/>
      <c r="AG752" s="383"/>
      <c r="AH752" s="383"/>
      <c r="AI752" s="383"/>
      <c r="AJ752" s="383"/>
      <c r="AK752" s="383"/>
      <c r="AL752" s="383"/>
      <c r="AM752" s="383"/>
      <c r="AN752" s="383"/>
      <c r="AO752" s="383"/>
      <c r="AP752" s="383"/>
      <c r="AQ752" s="383"/>
      <c r="AR752" s="383"/>
    </row>
    <row r="753" spans="2:44" s="639" customFormat="1" ht="12" customHeight="1">
      <c r="B753" s="638"/>
      <c r="F753" s="734"/>
      <c r="G753" s="735"/>
      <c r="H753" s="736"/>
      <c r="N753" s="1194" t="s">
        <v>866</v>
      </c>
      <c r="O753" s="1194" t="s">
        <v>2076</v>
      </c>
      <c r="P753" s="731"/>
      <c r="X753" s="383"/>
      <c r="Y753" s="383"/>
      <c r="Z753" s="383"/>
      <c r="AA753" s="383"/>
      <c r="AB753" s="383"/>
      <c r="AC753" s="383"/>
      <c r="AD753" s="383"/>
      <c r="AE753" s="383"/>
      <c r="AF753" s="383"/>
      <c r="AG753" s="383"/>
      <c r="AH753" s="383"/>
      <c r="AI753" s="383"/>
      <c r="AJ753" s="383"/>
      <c r="AK753" s="383"/>
      <c r="AL753" s="383"/>
      <c r="AM753" s="383"/>
      <c r="AN753" s="383"/>
      <c r="AO753" s="383"/>
      <c r="AP753" s="383"/>
      <c r="AQ753" s="383"/>
      <c r="AR753" s="383"/>
    </row>
    <row r="754" spans="2:44" s="639" customFormat="1" ht="12" customHeight="1">
      <c r="B754" s="638"/>
      <c r="F754" s="734"/>
      <c r="G754" s="735"/>
      <c r="H754" s="736"/>
      <c r="N754" s="1194" t="s">
        <v>1797</v>
      </c>
      <c r="O754" s="1194" t="s">
        <v>2695</v>
      </c>
      <c r="P754" s="731"/>
      <c r="X754" s="383"/>
      <c r="Y754" s="383"/>
      <c r="Z754" s="383"/>
      <c r="AA754" s="383"/>
      <c r="AB754" s="383"/>
      <c r="AC754" s="383"/>
      <c r="AD754" s="383"/>
      <c r="AE754" s="383"/>
      <c r="AF754" s="383"/>
      <c r="AG754" s="383"/>
      <c r="AH754" s="383"/>
      <c r="AI754" s="383"/>
      <c r="AJ754" s="383"/>
      <c r="AK754" s="383"/>
      <c r="AL754" s="383"/>
      <c r="AM754" s="383"/>
      <c r="AN754" s="383"/>
      <c r="AO754" s="383"/>
      <c r="AP754" s="383"/>
      <c r="AQ754" s="383"/>
      <c r="AR754" s="383"/>
    </row>
    <row r="755" spans="2:44" s="639" customFormat="1" ht="12" customHeight="1">
      <c r="B755" s="638"/>
      <c r="F755" s="734"/>
      <c r="G755" s="735"/>
      <c r="H755" s="736"/>
      <c r="N755" s="1194" t="s">
        <v>1798</v>
      </c>
      <c r="O755" s="1194" t="s">
        <v>2382</v>
      </c>
      <c r="P755" s="731"/>
      <c r="X755" s="383"/>
      <c r="Y755" s="383"/>
      <c r="Z755" s="383"/>
      <c r="AA755" s="383"/>
      <c r="AB755" s="383"/>
      <c r="AC755" s="383"/>
      <c r="AD755" s="383"/>
      <c r="AE755" s="383"/>
      <c r="AF755" s="383"/>
      <c r="AG755" s="383"/>
      <c r="AH755" s="383"/>
      <c r="AI755" s="383"/>
      <c r="AJ755" s="383"/>
      <c r="AK755" s="383"/>
      <c r="AL755" s="383"/>
      <c r="AM755" s="383"/>
      <c r="AN755" s="383"/>
      <c r="AO755" s="383"/>
      <c r="AP755" s="383"/>
      <c r="AQ755" s="383"/>
      <c r="AR755" s="383"/>
    </row>
    <row r="756" spans="2:44" s="639" customFormat="1" ht="12" customHeight="1">
      <c r="B756" s="638"/>
      <c r="F756" s="734"/>
      <c r="G756" s="735"/>
      <c r="H756" s="736"/>
      <c r="N756" s="1194" t="s">
        <v>1799</v>
      </c>
      <c r="O756" s="1194" t="s">
        <v>1772</v>
      </c>
      <c r="P756" s="731"/>
      <c r="X756" s="383"/>
      <c r="Y756" s="383"/>
      <c r="Z756" s="383"/>
      <c r="AA756" s="383"/>
      <c r="AB756" s="383"/>
      <c r="AC756" s="383"/>
      <c r="AD756" s="383"/>
      <c r="AE756" s="383"/>
      <c r="AF756" s="383"/>
      <c r="AG756" s="383"/>
      <c r="AH756" s="383"/>
      <c r="AI756" s="383"/>
      <c r="AJ756" s="383"/>
      <c r="AK756" s="383"/>
      <c r="AL756" s="383"/>
      <c r="AM756" s="383"/>
      <c r="AN756" s="383"/>
      <c r="AO756" s="383"/>
      <c r="AP756" s="383"/>
      <c r="AQ756" s="383"/>
      <c r="AR756" s="383"/>
    </row>
    <row r="757" spans="2:44" s="639" customFormat="1" ht="12" customHeight="1">
      <c r="B757" s="638"/>
      <c r="F757" s="734"/>
      <c r="G757" s="735"/>
      <c r="H757" s="736"/>
      <c r="N757" s="1194" t="s">
        <v>1800</v>
      </c>
      <c r="O757" s="1194" t="s">
        <v>166</v>
      </c>
      <c r="P757" s="731"/>
      <c r="X757" s="383"/>
      <c r="Y757" s="383"/>
      <c r="Z757" s="383"/>
      <c r="AA757" s="383"/>
      <c r="AB757" s="383"/>
      <c r="AC757" s="383"/>
      <c r="AD757" s="383"/>
      <c r="AE757" s="383"/>
      <c r="AF757" s="383"/>
      <c r="AG757" s="383"/>
      <c r="AH757" s="383"/>
      <c r="AI757" s="383"/>
      <c r="AJ757" s="383"/>
      <c r="AK757" s="383"/>
      <c r="AL757" s="383"/>
      <c r="AM757" s="383"/>
      <c r="AN757" s="383"/>
      <c r="AO757" s="383"/>
      <c r="AP757" s="383"/>
      <c r="AQ757" s="383"/>
      <c r="AR757" s="383"/>
    </row>
    <row r="758" spans="2:44" s="639" customFormat="1" ht="12" customHeight="1">
      <c r="B758" s="638"/>
      <c r="F758" s="734"/>
      <c r="G758" s="735"/>
      <c r="H758" s="736"/>
      <c r="N758" s="1194" t="s">
        <v>1801</v>
      </c>
      <c r="O758" s="1194" t="s">
        <v>697</v>
      </c>
      <c r="P758" s="731"/>
      <c r="X758" s="383"/>
      <c r="Y758" s="383"/>
      <c r="Z758" s="383"/>
      <c r="AA758" s="383"/>
      <c r="AB758" s="383"/>
      <c r="AC758" s="383"/>
      <c r="AD758" s="383"/>
      <c r="AE758" s="383"/>
      <c r="AF758" s="383"/>
      <c r="AG758" s="383"/>
      <c r="AH758" s="383"/>
      <c r="AI758" s="383"/>
      <c r="AJ758" s="383"/>
      <c r="AK758" s="383"/>
      <c r="AL758" s="383"/>
      <c r="AM758" s="383"/>
      <c r="AN758" s="383"/>
      <c r="AO758" s="383"/>
      <c r="AP758" s="383"/>
      <c r="AQ758" s="383"/>
      <c r="AR758" s="383"/>
    </row>
    <row r="759" spans="2:44" s="639" customFormat="1" ht="12" customHeight="1">
      <c r="B759" s="638"/>
      <c r="F759" s="734"/>
      <c r="G759" s="735"/>
      <c r="H759" s="736"/>
      <c r="N759" s="1194" t="s">
        <v>1802</v>
      </c>
      <c r="O759" s="1194" t="s">
        <v>1004</v>
      </c>
      <c r="P759" s="1240"/>
      <c r="X759" s="383"/>
      <c r="Y759" s="383"/>
      <c r="Z759" s="383"/>
      <c r="AA759" s="383"/>
      <c r="AB759" s="383"/>
      <c r="AC759" s="383"/>
      <c r="AD759" s="383"/>
      <c r="AE759" s="383"/>
      <c r="AF759" s="383"/>
      <c r="AG759" s="383"/>
      <c r="AH759" s="383"/>
      <c r="AI759" s="383"/>
      <c r="AJ759" s="383"/>
      <c r="AK759" s="383"/>
      <c r="AL759" s="383"/>
      <c r="AM759" s="383"/>
      <c r="AN759" s="383"/>
      <c r="AO759" s="383"/>
      <c r="AP759" s="383"/>
      <c r="AQ759" s="383"/>
      <c r="AR759" s="383"/>
    </row>
    <row r="760" spans="2:44" s="639" customFormat="1" ht="12" customHeight="1">
      <c r="B760" s="638"/>
      <c r="F760" s="734"/>
      <c r="G760" s="735"/>
      <c r="H760" s="736"/>
      <c r="N760" s="1194" t="s">
        <v>1803</v>
      </c>
      <c r="O760" s="1194" t="s">
        <v>1277</v>
      </c>
      <c r="P760" s="731"/>
      <c r="X760" s="383"/>
      <c r="Y760" s="383"/>
      <c r="Z760" s="383"/>
      <c r="AA760" s="383"/>
      <c r="AB760" s="383"/>
      <c r="AC760" s="383"/>
      <c r="AD760" s="383"/>
      <c r="AE760" s="383"/>
      <c r="AF760" s="383"/>
      <c r="AG760" s="383"/>
      <c r="AH760" s="383"/>
      <c r="AI760" s="383"/>
      <c r="AJ760" s="383"/>
      <c r="AK760" s="383"/>
      <c r="AL760" s="383"/>
      <c r="AM760" s="383"/>
      <c r="AN760" s="383"/>
      <c r="AO760" s="383"/>
      <c r="AP760" s="383"/>
      <c r="AQ760" s="383"/>
      <c r="AR760" s="383"/>
    </row>
    <row r="761" spans="2:44" s="639" customFormat="1" ht="12" customHeight="1">
      <c r="B761" s="638"/>
      <c r="F761" s="734"/>
      <c r="G761" s="735"/>
      <c r="H761" s="736"/>
      <c r="N761" s="1194" t="s">
        <v>1804</v>
      </c>
      <c r="O761" s="1194" t="s">
        <v>711</v>
      </c>
      <c r="P761" s="731"/>
      <c r="X761" s="383"/>
      <c r="Y761" s="383"/>
      <c r="Z761" s="383"/>
      <c r="AA761" s="383"/>
      <c r="AB761" s="383"/>
      <c r="AC761" s="383"/>
      <c r="AD761" s="383"/>
      <c r="AE761" s="383"/>
      <c r="AF761" s="383"/>
      <c r="AG761" s="383"/>
      <c r="AH761" s="383"/>
      <c r="AI761" s="383"/>
      <c r="AJ761" s="383"/>
      <c r="AK761" s="383"/>
      <c r="AL761" s="383"/>
      <c r="AM761" s="383"/>
      <c r="AN761" s="383"/>
      <c r="AO761" s="383"/>
      <c r="AP761" s="383"/>
      <c r="AQ761" s="383"/>
      <c r="AR761" s="383"/>
    </row>
    <row r="762" spans="2:44" s="639" customFormat="1" ht="12" customHeight="1">
      <c r="B762" s="638"/>
      <c r="F762" s="734"/>
      <c r="G762" s="735"/>
      <c r="H762" s="736"/>
      <c r="N762" s="708" t="s">
        <v>1137</v>
      </c>
      <c r="O762" s="708" t="s">
        <v>1772</v>
      </c>
      <c r="P762" s="731"/>
      <c r="X762" s="383"/>
      <c r="Y762" s="383"/>
      <c r="Z762" s="383"/>
      <c r="AA762" s="383"/>
      <c r="AB762" s="383"/>
      <c r="AC762" s="383"/>
      <c r="AD762" s="383"/>
      <c r="AE762" s="383"/>
      <c r="AF762" s="383"/>
      <c r="AG762" s="383"/>
      <c r="AH762" s="383"/>
      <c r="AI762" s="383"/>
      <c r="AJ762" s="383"/>
      <c r="AK762" s="383"/>
      <c r="AL762" s="383"/>
      <c r="AM762" s="383"/>
      <c r="AN762" s="383"/>
      <c r="AO762" s="383"/>
      <c r="AP762" s="383"/>
      <c r="AQ762" s="383"/>
      <c r="AR762" s="383"/>
    </row>
    <row r="763" spans="2:44" s="639" customFormat="1" ht="12" customHeight="1">
      <c r="B763" s="638"/>
      <c r="F763" s="734"/>
      <c r="G763" s="735"/>
      <c r="H763" s="736"/>
      <c r="N763" s="1194" t="s">
        <v>1805</v>
      </c>
      <c r="O763" s="1194" t="s">
        <v>191</v>
      </c>
      <c r="P763" s="1239"/>
      <c r="X763" s="383"/>
      <c r="Y763" s="383"/>
      <c r="Z763" s="383"/>
      <c r="AA763" s="383"/>
      <c r="AB763" s="383"/>
      <c r="AC763" s="383"/>
      <c r="AD763" s="383"/>
      <c r="AE763" s="383"/>
      <c r="AF763" s="383"/>
      <c r="AG763" s="383"/>
      <c r="AH763" s="383"/>
      <c r="AI763" s="383"/>
      <c r="AJ763" s="383"/>
      <c r="AK763" s="383"/>
      <c r="AL763" s="383"/>
      <c r="AM763" s="383"/>
      <c r="AN763" s="383"/>
      <c r="AO763" s="383"/>
      <c r="AP763" s="383"/>
      <c r="AQ763" s="383"/>
      <c r="AR763" s="383"/>
    </row>
    <row r="764" spans="2:44" s="639" customFormat="1" ht="12" customHeight="1">
      <c r="B764" s="638"/>
      <c r="F764" s="734"/>
      <c r="G764" s="735"/>
      <c r="H764" s="736"/>
      <c r="N764" s="1194" t="s">
        <v>1806</v>
      </c>
      <c r="O764" s="1194" t="s">
        <v>182</v>
      </c>
      <c r="P764" s="731"/>
      <c r="X764" s="383"/>
      <c r="Y764" s="383"/>
      <c r="Z764" s="383"/>
      <c r="AA764" s="383"/>
      <c r="AB764" s="383"/>
      <c r="AC764" s="383"/>
      <c r="AD764" s="383"/>
      <c r="AE764" s="383"/>
      <c r="AF764" s="383"/>
      <c r="AG764" s="383"/>
      <c r="AH764" s="383"/>
      <c r="AI764" s="383"/>
      <c r="AJ764" s="383"/>
      <c r="AK764" s="383"/>
      <c r="AL764" s="383"/>
      <c r="AM764" s="383"/>
      <c r="AN764" s="383"/>
      <c r="AO764" s="383"/>
      <c r="AP764" s="383"/>
      <c r="AQ764" s="383"/>
      <c r="AR764" s="383"/>
    </row>
    <row r="765" spans="2:44" s="639" customFormat="1" ht="12" customHeight="1">
      <c r="B765" s="638"/>
      <c r="F765" s="734"/>
      <c r="G765" s="735"/>
      <c r="H765" s="736"/>
      <c r="N765" s="1194" t="s">
        <v>1807</v>
      </c>
      <c r="O765" s="1194" t="s">
        <v>2076</v>
      </c>
      <c r="P765" s="731"/>
      <c r="X765" s="383"/>
      <c r="Y765" s="383"/>
      <c r="Z765" s="383"/>
      <c r="AA765" s="383"/>
      <c r="AB765" s="383"/>
      <c r="AC765" s="383"/>
      <c r="AD765" s="383"/>
      <c r="AE765" s="383"/>
      <c r="AF765" s="383"/>
      <c r="AG765" s="383"/>
      <c r="AH765" s="383"/>
      <c r="AI765" s="383"/>
      <c r="AJ765" s="383"/>
      <c r="AK765" s="383"/>
      <c r="AL765" s="383"/>
      <c r="AM765" s="383"/>
      <c r="AN765" s="383"/>
      <c r="AO765" s="383"/>
      <c r="AP765" s="383"/>
      <c r="AQ765" s="383"/>
      <c r="AR765" s="383"/>
    </row>
    <row r="766" spans="2:44" s="639" customFormat="1" ht="12" customHeight="1">
      <c r="B766" s="638"/>
      <c r="F766" s="734"/>
      <c r="G766" s="735"/>
      <c r="H766" s="736"/>
      <c r="N766" s="708" t="s">
        <v>1808</v>
      </c>
      <c r="O766" s="708" t="s">
        <v>166</v>
      </c>
      <c r="P766" s="731"/>
      <c r="X766" s="383"/>
      <c r="Y766" s="383"/>
      <c r="Z766" s="383"/>
      <c r="AA766" s="383"/>
      <c r="AB766" s="383"/>
      <c r="AC766" s="383"/>
      <c r="AD766" s="383"/>
      <c r="AE766" s="383"/>
      <c r="AF766" s="383"/>
      <c r="AG766" s="383"/>
      <c r="AH766" s="383"/>
      <c r="AI766" s="383"/>
      <c r="AJ766" s="383"/>
      <c r="AK766" s="383"/>
      <c r="AL766" s="383"/>
      <c r="AM766" s="383"/>
      <c r="AN766" s="383"/>
      <c r="AO766" s="383"/>
      <c r="AP766" s="383"/>
      <c r="AQ766" s="383"/>
      <c r="AR766" s="383"/>
    </row>
    <row r="767" spans="2:44" s="639" customFormat="1" ht="12" customHeight="1">
      <c r="B767" s="638"/>
      <c r="F767" s="734"/>
      <c r="G767" s="735"/>
      <c r="H767" s="736"/>
      <c r="N767" s="1194" t="s">
        <v>1809</v>
      </c>
      <c r="O767" s="1194" t="s">
        <v>2035</v>
      </c>
      <c r="P767" s="1239"/>
      <c r="X767" s="383"/>
      <c r="Y767" s="383"/>
      <c r="Z767" s="383"/>
      <c r="AA767" s="383"/>
      <c r="AB767" s="383"/>
      <c r="AC767" s="383"/>
      <c r="AD767" s="383"/>
      <c r="AE767" s="383"/>
      <c r="AF767" s="383"/>
      <c r="AG767" s="383"/>
      <c r="AH767" s="383"/>
      <c r="AI767" s="383"/>
      <c r="AJ767" s="383"/>
      <c r="AK767" s="383"/>
      <c r="AL767" s="383"/>
      <c r="AM767" s="383"/>
      <c r="AN767" s="383"/>
      <c r="AO767" s="383"/>
      <c r="AP767" s="383"/>
      <c r="AQ767" s="383"/>
      <c r="AR767" s="383"/>
    </row>
    <row r="768" spans="2:44" s="639" customFormat="1" ht="12" customHeight="1">
      <c r="B768" s="638"/>
      <c r="F768" s="734"/>
      <c r="G768" s="735"/>
      <c r="H768" s="736"/>
      <c r="N768" s="1194" t="s">
        <v>1810</v>
      </c>
      <c r="O768" s="1194" t="s">
        <v>1409</v>
      </c>
      <c r="P768" s="731"/>
      <c r="X768" s="383"/>
      <c r="Y768" s="383"/>
      <c r="Z768" s="383"/>
      <c r="AA768" s="383"/>
      <c r="AB768" s="383"/>
      <c r="AC768" s="383"/>
      <c r="AD768" s="383"/>
      <c r="AE768" s="383"/>
      <c r="AF768" s="383"/>
      <c r="AG768" s="383"/>
      <c r="AH768" s="383"/>
      <c r="AI768" s="383"/>
      <c r="AJ768" s="383"/>
      <c r="AK768" s="383"/>
      <c r="AL768" s="383"/>
      <c r="AM768" s="383"/>
      <c r="AN768" s="383"/>
      <c r="AO768" s="383"/>
      <c r="AP768" s="383"/>
      <c r="AQ768" s="383"/>
      <c r="AR768" s="383"/>
    </row>
    <row r="769" spans="2:44" s="639" customFormat="1" ht="12" customHeight="1">
      <c r="B769" s="638"/>
      <c r="F769" s="734"/>
      <c r="G769" s="735"/>
      <c r="H769" s="736"/>
      <c r="N769" s="1194" t="s">
        <v>1811</v>
      </c>
      <c r="O769" s="1194" t="s">
        <v>1004</v>
      </c>
      <c r="P769" s="731"/>
      <c r="X769" s="383"/>
      <c r="Y769" s="383"/>
      <c r="Z769" s="383"/>
      <c r="AA769" s="383"/>
      <c r="AB769" s="383"/>
      <c r="AC769" s="383"/>
      <c r="AD769" s="383"/>
      <c r="AE769" s="383"/>
      <c r="AF769" s="383"/>
      <c r="AG769" s="383"/>
      <c r="AH769" s="383"/>
      <c r="AI769" s="383"/>
      <c r="AJ769" s="383"/>
      <c r="AK769" s="383"/>
      <c r="AL769" s="383"/>
      <c r="AM769" s="383"/>
      <c r="AN769" s="383"/>
      <c r="AO769" s="383"/>
      <c r="AP769" s="383"/>
      <c r="AQ769" s="383"/>
      <c r="AR769" s="383"/>
    </row>
    <row r="770" spans="2:44" s="639" customFormat="1" ht="12" customHeight="1">
      <c r="B770" s="638"/>
      <c r="F770" s="734"/>
      <c r="G770" s="735"/>
      <c r="H770" s="736"/>
      <c r="N770" s="1194" t="s">
        <v>1812</v>
      </c>
      <c r="O770" s="1194" t="s">
        <v>777</v>
      </c>
      <c r="P770" s="731"/>
      <c r="X770" s="383"/>
      <c r="Y770" s="383"/>
      <c r="Z770" s="383"/>
      <c r="AA770" s="383"/>
      <c r="AB770" s="383"/>
      <c r="AC770" s="383"/>
      <c r="AD770" s="383"/>
      <c r="AE770" s="383"/>
      <c r="AF770" s="383"/>
      <c r="AG770" s="383"/>
      <c r="AH770" s="383"/>
      <c r="AI770" s="383"/>
      <c r="AJ770" s="383"/>
      <c r="AK770" s="383"/>
      <c r="AL770" s="383"/>
      <c r="AM770" s="383"/>
      <c r="AN770" s="383"/>
      <c r="AO770" s="383"/>
      <c r="AP770" s="383"/>
      <c r="AQ770" s="383"/>
      <c r="AR770" s="383"/>
    </row>
    <row r="771" spans="2:44" s="639" customFormat="1" ht="12" customHeight="1">
      <c r="B771" s="638"/>
      <c r="F771" s="734"/>
      <c r="G771" s="735"/>
      <c r="H771" s="736"/>
      <c r="N771" s="1194" t="s">
        <v>1138</v>
      </c>
      <c r="O771" s="1194" t="s">
        <v>2645</v>
      </c>
      <c r="P771" s="731"/>
      <c r="X771" s="383"/>
      <c r="Y771" s="383"/>
      <c r="Z771" s="383"/>
      <c r="AA771" s="383"/>
      <c r="AB771" s="383"/>
      <c r="AC771" s="383"/>
      <c r="AD771" s="383"/>
      <c r="AE771" s="383"/>
      <c r="AF771" s="383"/>
      <c r="AG771" s="383"/>
      <c r="AH771" s="383"/>
      <c r="AI771" s="383"/>
      <c r="AJ771" s="383"/>
      <c r="AK771" s="383"/>
      <c r="AL771" s="383"/>
      <c r="AM771" s="383"/>
      <c r="AN771" s="383"/>
      <c r="AO771" s="383"/>
      <c r="AP771" s="383"/>
      <c r="AQ771" s="383"/>
      <c r="AR771" s="383"/>
    </row>
    <row r="772" spans="2:44" s="639" customFormat="1" ht="12" customHeight="1">
      <c r="B772" s="638"/>
      <c r="F772" s="734"/>
      <c r="G772" s="735"/>
      <c r="H772" s="736"/>
      <c r="N772" s="1194" t="s">
        <v>1813</v>
      </c>
      <c r="O772" s="1194" t="s">
        <v>332</v>
      </c>
      <c r="P772" s="731"/>
      <c r="X772" s="383"/>
      <c r="Y772" s="383"/>
      <c r="Z772" s="383"/>
      <c r="AA772" s="383"/>
      <c r="AB772" s="383"/>
      <c r="AC772" s="383"/>
      <c r="AD772" s="383"/>
      <c r="AE772" s="383"/>
      <c r="AF772" s="383"/>
      <c r="AG772" s="383"/>
      <c r="AH772" s="383"/>
      <c r="AI772" s="383"/>
      <c r="AJ772" s="383"/>
      <c r="AK772" s="383"/>
      <c r="AL772" s="383"/>
      <c r="AM772" s="383"/>
      <c r="AN772" s="383"/>
      <c r="AO772" s="383"/>
      <c r="AP772" s="383"/>
      <c r="AQ772" s="383"/>
      <c r="AR772" s="383"/>
    </row>
    <row r="773" spans="2:44" s="639" customFormat="1" ht="12" customHeight="1">
      <c r="B773" s="638"/>
      <c r="F773" s="734"/>
      <c r="G773" s="735"/>
      <c r="H773" s="736"/>
      <c r="N773" s="1194" t="s">
        <v>1814</v>
      </c>
      <c r="O773" s="1194" t="s">
        <v>346</v>
      </c>
      <c r="P773" s="731"/>
      <c r="X773" s="383"/>
      <c r="Y773" s="383"/>
      <c r="Z773" s="383"/>
      <c r="AA773" s="383"/>
      <c r="AB773" s="383"/>
      <c r="AC773" s="383"/>
      <c r="AD773" s="383"/>
      <c r="AE773" s="383"/>
      <c r="AF773" s="383"/>
      <c r="AG773" s="383"/>
      <c r="AH773" s="383"/>
      <c r="AI773" s="383"/>
      <c r="AJ773" s="383"/>
      <c r="AK773" s="383"/>
      <c r="AL773" s="383"/>
      <c r="AM773" s="383"/>
      <c r="AN773" s="383"/>
      <c r="AO773" s="383"/>
      <c r="AP773" s="383"/>
      <c r="AQ773" s="383"/>
      <c r="AR773" s="383"/>
    </row>
    <row r="774" spans="2:44" s="639" customFormat="1" ht="12" customHeight="1">
      <c r="B774" s="638"/>
      <c r="F774" s="734"/>
      <c r="G774" s="735"/>
      <c r="H774" s="736"/>
      <c r="N774" s="1194" t="s">
        <v>1815</v>
      </c>
      <c r="O774" s="1194" t="s">
        <v>171</v>
      </c>
      <c r="P774" s="731"/>
      <c r="X774" s="383"/>
      <c r="Y774" s="383"/>
      <c r="Z774" s="383"/>
      <c r="AA774" s="383"/>
      <c r="AB774" s="383"/>
      <c r="AC774" s="383"/>
      <c r="AD774" s="383"/>
      <c r="AE774" s="383"/>
      <c r="AF774" s="383"/>
      <c r="AG774" s="383"/>
      <c r="AH774" s="383"/>
      <c r="AI774" s="383"/>
      <c r="AJ774" s="383"/>
      <c r="AK774" s="383"/>
      <c r="AL774" s="383"/>
      <c r="AM774" s="383"/>
      <c r="AN774" s="383"/>
      <c r="AO774" s="383"/>
      <c r="AP774" s="383"/>
      <c r="AQ774" s="383"/>
      <c r="AR774" s="383"/>
    </row>
    <row r="775" spans="2:44" s="639" customFormat="1" ht="12" customHeight="1">
      <c r="B775" s="638"/>
      <c r="F775" s="734"/>
      <c r="G775" s="735"/>
      <c r="H775" s="736"/>
      <c r="N775" s="1194" t="s">
        <v>1816</v>
      </c>
      <c r="O775" s="1194" t="s">
        <v>2136</v>
      </c>
      <c r="P775" s="731"/>
      <c r="X775" s="383"/>
      <c r="Y775" s="383"/>
      <c r="Z775" s="383"/>
      <c r="AA775" s="383"/>
      <c r="AB775" s="383"/>
      <c r="AC775" s="383"/>
      <c r="AD775" s="383"/>
      <c r="AE775" s="383"/>
      <c r="AF775" s="383"/>
      <c r="AG775" s="383"/>
      <c r="AH775" s="383"/>
      <c r="AI775" s="383"/>
      <c r="AJ775" s="383"/>
      <c r="AK775" s="383"/>
      <c r="AL775" s="383"/>
      <c r="AM775" s="383"/>
      <c r="AN775" s="383"/>
      <c r="AO775" s="383"/>
      <c r="AP775" s="383"/>
      <c r="AQ775" s="383"/>
      <c r="AR775" s="383"/>
    </row>
    <row r="776" spans="2:44" s="639" customFormat="1" ht="12" customHeight="1">
      <c r="B776" s="638"/>
      <c r="F776" s="734"/>
      <c r="G776" s="735"/>
      <c r="H776" s="736"/>
      <c r="N776" s="1194" t="s">
        <v>1817</v>
      </c>
      <c r="O776" s="1194" t="s">
        <v>1545</v>
      </c>
      <c r="P776" s="731"/>
      <c r="X776" s="383"/>
      <c r="Y776" s="383"/>
      <c r="Z776" s="383"/>
      <c r="AA776" s="383"/>
      <c r="AB776" s="383"/>
      <c r="AC776" s="383"/>
      <c r="AD776" s="383"/>
      <c r="AE776" s="383"/>
      <c r="AF776" s="383"/>
      <c r="AG776" s="383"/>
      <c r="AH776" s="383"/>
      <c r="AI776" s="383"/>
      <c r="AJ776" s="383"/>
      <c r="AK776" s="383"/>
      <c r="AL776" s="383"/>
      <c r="AM776" s="383"/>
      <c r="AN776" s="383"/>
      <c r="AO776" s="383"/>
      <c r="AP776" s="383"/>
      <c r="AQ776" s="383"/>
      <c r="AR776" s="383"/>
    </row>
    <row r="777" spans="2:44" s="639" customFormat="1" ht="12" customHeight="1">
      <c r="B777" s="638"/>
      <c r="F777" s="734"/>
      <c r="G777" s="735"/>
      <c r="H777" s="736"/>
      <c r="N777" s="1194" t="s">
        <v>1818</v>
      </c>
      <c r="O777" s="1194" t="s">
        <v>2003</v>
      </c>
      <c r="P777" s="731"/>
      <c r="X777" s="383"/>
      <c r="Y777" s="383"/>
      <c r="Z777" s="383"/>
      <c r="AA777" s="383"/>
      <c r="AB777" s="383"/>
      <c r="AC777" s="383"/>
      <c r="AD777" s="383"/>
      <c r="AE777" s="383"/>
      <c r="AF777" s="383"/>
      <c r="AG777" s="383"/>
      <c r="AH777" s="383"/>
      <c r="AI777" s="383"/>
      <c r="AJ777" s="383"/>
      <c r="AK777" s="383"/>
      <c r="AL777" s="383"/>
      <c r="AM777" s="383"/>
      <c r="AN777" s="383"/>
      <c r="AO777" s="383"/>
      <c r="AP777" s="383"/>
      <c r="AQ777" s="383"/>
      <c r="AR777" s="383"/>
    </row>
    <row r="778" spans="2:44" s="639" customFormat="1" ht="12" customHeight="1">
      <c r="B778" s="638"/>
      <c r="F778" s="734"/>
      <c r="G778" s="735"/>
      <c r="H778" s="736"/>
      <c r="N778" s="1194" t="s">
        <v>1819</v>
      </c>
      <c r="O778" s="1194" t="s">
        <v>338</v>
      </c>
      <c r="P778" s="731"/>
      <c r="X778" s="383"/>
      <c r="Y778" s="383"/>
      <c r="Z778" s="383"/>
      <c r="AA778" s="383"/>
      <c r="AB778" s="383"/>
      <c r="AC778" s="383"/>
      <c r="AD778" s="383"/>
      <c r="AE778" s="383"/>
      <c r="AF778" s="383"/>
      <c r="AG778" s="383"/>
      <c r="AH778" s="383"/>
      <c r="AI778" s="383"/>
      <c r="AJ778" s="383"/>
      <c r="AK778" s="383"/>
      <c r="AL778" s="383"/>
      <c r="AM778" s="383"/>
      <c r="AN778" s="383"/>
      <c r="AO778" s="383"/>
      <c r="AP778" s="383"/>
      <c r="AQ778" s="383"/>
      <c r="AR778" s="383"/>
    </row>
    <row r="779" spans="2:44" s="639" customFormat="1" ht="12" customHeight="1">
      <c r="B779" s="638"/>
      <c r="F779" s="734"/>
      <c r="G779" s="735"/>
      <c r="H779" s="736"/>
      <c r="N779" s="1194" t="s">
        <v>1820</v>
      </c>
      <c r="O779" s="1194" t="s">
        <v>107</v>
      </c>
      <c r="P779" s="731"/>
      <c r="X779" s="383"/>
      <c r="Y779" s="383"/>
      <c r="Z779" s="383"/>
      <c r="AA779" s="383"/>
      <c r="AB779" s="383"/>
      <c r="AC779" s="383"/>
      <c r="AD779" s="383"/>
      <c r="AE779" s="383"/>
      <c r="AF779" s="383"/>
      <c r="AG779" s="383"/>
      <c r="AH779" s="383"/>
      <c r="AI779" s="383"/>
      <c r="AJ779" s="383"/>
      <c r="AK779" s="383"/>
      <c r="AL779" s="383"/>
      <c r="AM779" s="383"/>
      <c r="AN779" s="383"/>
      <c r="AO779" s="383"/>
      <c r="AP779" s="383"/>
      <c r="AQ779" s="383"/>
      <c r="AR779" s="383"/>
    </row>
    <row r="780" spans="2:44" s="639" customFormat="1" ht="12" customHeight="1">
      <c r="B780" s="638"/>
      <c r="F780" s="734"/>
      <c r="G780" s="735"/>
      <c r="H780" s="736"/>
      <c r="N780" s="731" t="s">
        <v>309</v>
      </c>
      <c r="O780" s="731" t="s">
        <v>2552</v>
      </c>
      <c r="P780" s="731"/>
      <c r="X780" s="383"/>
      <c r="Y780" s="383"/>
      <c r="Z780" s="383"/>
      <c r="AA780" s="383"/>
      <c r="AB780" s="383"/>
      <c r="AC780" s="383"/>
      <c r="AD780" s="383"/>
      <c r="AE780" s="383"/>
      <c r="AF780" s="383"/>
      <c r="AG780" s="383"/>
      <c r="AH780" s="383"/>
      <c r="AI780" s="383"/>
      <c r="AJ780" s="383"/>
      <c r="AK780" s="383"/>
      <c r="AL780" s="383"/>
      <c r="AM780" s="383"/>
      <c r="AN780" s="383"/>
      <c r="AO780" s="383"/>
      <c r="AP780" s="383"/>
      <c r="AQ780" s="383"/>
      <c r="AR780" s="383"/>
    </row>
    <row r="781" spans="2:44" s="639" customFormat="1" ht="12" customHeight="1">
      <c r="B781" s="638"/>
      <c r="F781" s="734"/>
      <c r="G781" s="735"/>
      <c r="H781" s="736"/>
      <c r="N781" s="1194" t="s">
        <v>109</v>
      </c>
      <c r="O781" s="1194" t="s">
        <v>2548</v>
      </c>
      <c r="X781" s="383"/>
      <c r="Y781" s="383"/>
      <c r="Z781" s="383"/>
      <c r="AA781" s="383"/>
      <c r="AB781" s="383"/>
      <c r="AC781" s="383"/>
      <c r="AD781" s="383"/>
      <c r="AE781" s="383"/>
      <c r="AF781" s="383"/>
      <c r="AG781" s="383"/>
      <c r="AH781" s="383"/>
      <c r="AI781" s="383"/>
      <c r="AJ781" s="383"/>
      <c r="AK781" s="383"/>
      <c r="AL781" s="383"/>
      <c r="AM781" s="383"/>
      <c r="AN781" s="383"/>
      <c r="AO781" s="383"/>
      <c r="AP781" s="383"/>
      <c r="AQ781" s="383"/>
      <c r="AR781" s="383"/>
    </row>
    <row r="782" spans="2:44" s="639" customFormat="1" ht="12" customHeight="1">
      <c r="B782" s="638"/>
      <c r="F782" s="734"/>
      <c r="G782" s="735"/>
      <c r="H782" s="736"/>
      <c r="N782" s="1194" t="s">
        <v>310</v>
      </c>
      <c r="O782" s="731" t="s">
        <v>2763</v>
      </c>
      <c r="X782" s="383"/>
      <c r="Y782" s="383"/>
      <c r="Z782" s="383"/>
      <c r="AA782" s="383"/>
      <c r="AB782" s="383"/>
      <c r="AC782" s="383"/>
      <c r="AD782" s="383"/>
      <c r="AE782" s="383"/>
      <c r="AF782" s="383"/>
      <c r="AG782" s="383"/>
      <c r="AH782" s="383"/>
      <c r="AI782" s="383"/>
      <c r="AJ782" s="383"/>
      <c r="AK782" s="383"/>
      <c r="AL782" s="383"/>
      <c r="AM782" s="383"/>
      <c r="AN782" s="383"/>
      <c r="AO782" s="383"/>
      <c r="AP782" s="383"/>
      <c r="AQ782" s="383"/>
      <c r="AR782" s="383"/>
    </row>
    <row r="783" spans="2:44" s="639" customFormat="1" ht="12" customHeight="1">
      <c r="B783" s="638"/>
      <c r="F783" s="734"/>
      <c r="G783" s="735"/>
      <c r="H783" s="736"/>
      <c r="N783" s="639" t="s">
        <v>311</v>
      </c>
      <c r="O783" s="639" t="s">
        <v>333</v>
      </c>
      <c r="X783" s="383"/>
      <c r="Y783" s="383"/>
      <c r="Z783" s="383"/>
      <c r="AA783" s="383"/>
      <c r="AB783" s="383"/>
      <c r="AC783" s="383"/>
      <c r="AD783" s="383"/>
      <c r="AE783" s="383"/>
      <c r="AF783" s="383"/>
      <c r="AG783" s="383"/>
      <c r="AH783" s="383"/>
      <c r="AI783" s="383"/>
      <c r="AJ783" s="383"/>
      <c r="AK783" s="383"/>
      <c r="AL783" s="383"/>
      <c r="AM783" s="383"/>
      <c r="AN783" s="383"/>
      <c r="AO783" s="383"/>
      <c r="AP783" s="383"/>
      <c r="AQ783" s="383"/>
      <c r="AR783" s="383"/>
    </row>
    <row r="784" spans="2:44" s="639" customFormat="1" ht="12" customHeight="1">
      <c r="B784" s="638"/>
      <c r="F784" s="734"/>
      <c r="G784" s="735"/>
      <c r="H784" s="736"/>
      <c r="N784" s="639" t="s">
        <v>312</v>
      </c>
      <c r="O784" s="639" t="s">
        <v>2137</v>
      </c>
      <c r="X784" s="383"/>
      <c r="Y784" s="383"/>
      <c r="Z784" s="383"/>
      <c r="AA784" s="383"/>
      <c r="AB784" s="383"/>
      <c r="AC784" s="383"/>
      <c r="AD784" s="383"/>
      <c r="AE784" s="383"/>
      <c r="AF784" s="383"/>
      <c r="AG784" s="383"/>
      <c r="AH784" s="383"/>
      <c r="AI784" s="383"/>
      <c r="AJ784" s="383"/>
      <c r="AK784" s="383"/>
      <c r="AL784" s="383"/>
      <c r="AM784" s="383"/>
      <c r="AN784" s="383"/>
      <c r="AO784" s="383"/>
      <c r="AP784" s="383"/>
      <c r="AQ784" s="383"/>
      <c r="AR784" s="383"/>
    </row>
    <row r="785" spans="2:44" s="639" customFormat="1" ht="12" customHeight="1">
      <c r="B785" s="638"/>
      <c r="F785" s="734"/>
      <c r="G785" s="735"/>
      <c r="H785" s="736"/>
      <c r="N785" s="639" t="s">
        <v>313</v>
      </c>
      <c r="O785" s="639" t="s">
        <v>1409</v>
      </c>
      <c r="X785" s="383"/>
      <c r="Y785" s="383"/>
      <c r="Z785" s="383"/>
      <c r="AA785" s="383"/>
      <c r="AB785" s="383"/>
      <c r="AC785" s="383"/>
      <c r="AD785" s="383"/>
      <c r="AE785" s="383"/>
      <c r="AF785" s="383"/>
      <c r="AG785" s="383"/>
      <c r="AH785" s="383"/>
      <c r="AI785" s="383"/>
      <c r="AJ785" s="383"/>
      <c r="AK785" s="383"/>
      <c r="AL785" s="383"/>
      <c r="AM785" s="383"/>
      <c r="AN785" s="383"/>
      <c r="AO785" s="383"/>
      <c r="AP785" s="383"/>
      <c r="AQ785" s="383"/>
      <c r="AR785" s="383"/>
    </row>
    <row r="786" spans="2:44" s="639" customFormat="1" ht="12" customHeight="1">
      <c r="B786" s="638"/>
      <c r="F786" s="734"/>
      <c r="G786" s="735"/>
      <c r="H786" s="736"/>
      <c r="N786" s="639" t="s">
        <v>314</v>
      </c>
      <c r="O786" s="639" t="s">
        <v>2041</v>
      </c>
      <c r="X786" s="383"/>
      <c r="Y786" s="383"/>
      <c r="Z786" s="383"/>
      <c r="AA786" s="383"/>
      <c r="AB786" s="383"/>
      <c r="AC786" s="383"/>
      <c r="AD786" s="383"/>
      <c r="AE786" s="383"/>
      <c r="AF786" s="383"/>
      <c r="AG786" s="383"/>
      <c r="AH786" s="383"/>
      <c r="AI786" s="383"/>
      <c r="AJ786" s="383"/>
      <c r="AK786" s="383"/>
      <c r="AL786" s="383"/>
      <c r="AM786" s="383"/>
      <c r="AN786" s="383"/>
      <c r="AO786" s="383"/>
      <c r="AP786" s="383"/>
      <c r="AQ786" s="383"/>
      <c r="AR786" s="383"/>
    </row>
    <row r="787" spans="2:44" s="639" customFormat="1" ht="12" customHeight="1">
      <c r="B787" s="638"/>
      <c r="F787" s="734"/>
      <c r="G787" s="735"/>
      <c r="H787" s="736"/>
      <c r="N787" s="639" t="s">
        <v>315</v>
      </c>
      <c r="O787" s="639" t="s">
        <v>113</v>
      </c>
      <c r="X787" s="383"/>
      <c r="Y787" s="383"/>
      <c r="Z787" s="383"/>
      <c r="AA787" s="383"/>
      <c r="AB787" s="383"/>
      <c r="AC787" s="383"/>
      <c r="AD787" s="383"/>
      <c r="AE787" s="383"/>
      <c r="AF787" s="383"/>
      <c r="AG787" s="383"/>
      <c r="AH787" s="383"/>
      <c r="AI787" s="383"/>
      <c r="AJ787" s="383"/>
      <c r="AK787" s="383"/>
      <c r="AL787" s="383"/>
      <c r="AM787" s="383"/>
      <c r="AN787" s="383"/>
      <c r="AO787" s="383"/>
      <c r="AP787" s="383"/>
      <c r="AQ787" s="383"/>
      <c r="AR787" s="383"/>
    </row>
    <row r="788" spans="2:44" s="639" customFormat="1" ht="12" customHeight="1">
      <c r="B788" s="638"/>
      <c r="F788" s="734"/>
      <c r="G788" s="735"/>
      <c r="H788" s="736"/>
      <c r="N788" s="639" t="s">
        <v>316</v>
      </c>
      <c r="O788" s="639" t="s">
        <v>709</v>
      </c>
      <c r="X788" s="383"/>
      <c r="Y788" s="383"/>
      <c r="Z788" s="383"/>
      <c r="AA788" s="383"/>
      <c r="AB788" s="383"/>
      <c r="AC788" s="383"/>
      <c r="AD788" s="383"/>
      <c r="AE788" s="383"/>
      <c r="AF788" s="383"/>
      <c r="AG788" s="383"/>
      <c r="AH788" s="383"/>
      <c r="AI788" s="383"/>
      <c r="AJ788" s="383"/>
      <c r="AK788" s="383"/>
      <c r="AL788" s="383"/>
      <c r="AM788" s="383"/>
      <c r="AN788" s="383"/>
      <c r="AO788" s="383"/>
      <c r="AP788" s="383"/>
      <c r="AQ788" s="383"/>
      <c r="AR788" s="383"/>
    </row>
    <row r="789" spans="2:44" s="639" customFormat="1" ht="12" customHeight="1">
      <c r="B789" s="638"/>
      <c r="F789" s="734"/>
      <c r="G789" s="735"/>
      <c r="H789" s="736"/>
      <c r="N789" s="639" t="s">
        <v>117</v>
      </c>
      <c r="O789" s="639" t="s">
        <v>1394</v>
      </c>
      <c r="X789" s="383"/>
      <c r="Y789" s="383"/>
      <c r="Z789" s="383"/>
      <c r="AA789" s="383"/>
      <c r="AB789" s="383"/>
      <c r="AC789" s="383"/>
      <c r="AD789" s="383"/>
      <c r="AE789" s="383"/>
      <c r="AF789" s="383"/>
      <c r="AG789" s="383"/>
      <c r="AH789" s="383"/>
      <c r="AI789" s="383"/>
      <c r="AJ789" s="383"/>
      <c r="AK789" s="383"/>
      <c r="AL789" s="383"/>
      <c r="AM789" s="383"/>
      <c r="AN789" s="383"/>
      <c r="AO789" s="383"/>
      <c r="AP789" s="383"/>
      <c r="AQ789" s="383"/>
      <c r="AR789" s="383"/>
    </row>
    <row r="790" spans="2:44" s="639" customFormat="1" ht="12" customHeight="1">
      <c r="B790" s="638"/>
      <c r="F790" s="734"/>
      <c r="G790" s="735"/>
      <c r="H790" s="736"/>
      <c r="N790" s="639" t="s">
        <v>1638</v>
      </c>
      <c r="O790" s="639" t="s">
        <v>711</v>
      </c>
      <c r="X790" s="383"/>
      <c r="Y790" s="383"/>
      <c r="Z790" s="383"/>
      <c r="AA790" s="383"/>
      <c r="AB790" s="383"/>
      <c r="AC790" s="383"/>
      <c r="AD790" s="383"/>
      <c r="AE790" s="383"/>
      <c r="AF790" s="383"/>
      <c r="AG790" s="383"/>
      <c r="AH790" s="383"/>
      <c r="AI790" s="383"/>
      <c r="AJ790" s="383"/>
      <c r="AK790" s="383"/>
      <c r="AL790" s="383"/>
      <c r="AM790" s="383"/>
      <c r="AN790" s="383"/>
      <c r="AO790" s="383"/>
      <c r="AP790" s="383"/>
      <c r="AQ790" s="383"/>
      <c r="AR790" s="383"/>
    </row>
    <row r="791" spans="2:44" s="639" customFormat="1" ht="12" customHeight="1">
      <c r="B791" s="638"/>
      <c r="F791" s="734"/>
      <c r="N791" s="639" t="s">
        <v>1139</v>
      </c>
      <c r="O791" s="639" t="s">
        <v>166</v>
      </c>
      <c r="X791" s="383"/>
      <c r="Y791" s="383"/>
      <c r="Z791" s="383"/>
      <c r="AA791" s="383"/>
      <c r="AB791" s="383"/>
      <c r="AC791" s="383"/>
      <c r="AD791" s="383"/>
      <c r="AE791" s="383"/>
      <c r="AF791" s="383"/>
      <c r="AG791" s="383"/>
      <c r="AH791" s="383"/>
      <c r="AI791" s="383"/>
      <c r="AJ791" s="383"/>
      <c r="AK791" s="383"/>
      <c r="AL791" s="383"/>
      <c r="AM791" s="383"/>
      <c r="AN791" s="383"/>
      <c r="AO791" s="383"/>
      <c r="AP791" s="383"/>
      <c r="AQ791" s="383"/>
      <c r="AR791" s="383"/>
    </row>
    <row r="792" spans="2:44" s="639" customFormat="1" ht="12" customHeight="1">
      <c r="B792" s="638"/>
      <c r="N792" s="639" t="s">
        <v>1639</v>
      </c>
      <c r="O792" s="639" t="s">
        <v>777</v>
      </c>
      <c r="X792" s="383"/>
      <c r="Y792" s="383"/>
      <c r="Z792" s="383"/>
      <c r="AA792" s="383"/>
      <c r="AB792" s="383"/>
      <c r="AC792" s="383"/>
      <c r="AD792" s="383"/>
      <c r="AE792" s="383"/>
      <c r="AF792" s="383"/>
      <c r="AG792" s="383"/>
      <c r="AH792" s="383"/>
      <c r="AI792" s="383"/>
      <c r="AJ792" s="383"/>
      <c r="AK792" s="383"/>
      <c r="AL792" s="383"/>
      <c r="AM792" s="383"/>
      <c r="AN792" s="383"/>
      <c r="AO792" s="383"/>
      <c r="AP792" s="383"/>
      <c r="AQ792" s="383"/>
      <c r="AR792" s="383"/>
    </row>
    <row r="793" spans="2:44" s="639" customFormat="1" ht="12" customHeight="1">
      <c r="B793" s="638"/>
      <c r="N793" s="639" t="s">
        <v>1640</v>
      </c>
      <c r="O793" s="639" t="s">
        <v>1892</v>
      </c>
      <c r="X793" s="383"/>
      <c r="Y793" s="383"/>
      <c r="Z793" s="383"/>
      <c r="AA793" s="383"/>
      <c r="AB793" s="383"/>
      <c r="AC793" s="383"/>
      <c r="AD793" s="383"/>
      <c r="AE793" s="383"/>
      <c r="AF793" s="383"/>
      <c r="AG793" s="383"/>
      <c r="AH793" s="383"/>
      <c r="AI793" s="383"/>
      <c r="AJ793" s="383"/>
      <c r="AK793" s="383"/>
      <c r="AL793" s="383"/>
      <c r="AM793" s="383"/>
      <c r="AN793" s="383"/>
      <c r="AO793" s="383"/>
      <c r="AP793" s="383"/>
      <c r="AQ793" s="383"/>
      <c r="AR793" s="383"/>
    </row>
    <row r="794" spans="2:44" s="639" customFormat="1" ht="12" customHeight="1">
      <c r="B794" s="638"/>
      <c r="N794" s="639" t="s">
        <v>1641</v>
      </c>
      <c r="O794" s="639" t="s">
        <v>1155</v>
      </c>
      <c r="X794" s="383"/>
      <c r="Y794" s="383"/>
      <c r="Z794" s="383"/>
      <c r="AA794" s="383"/>
      <c r="AB794" s="383"/>
      <c r="AC794" s="383"/>
      <c r="AD794" s="383"/>
      <c r="AE794" s="383"/>
      <c r="AF794" s="383"/>
      <c r="AG794" s="383"/>
      <c r="AH794" s="383"/>
      <c r="AI794" s="383"/>
      <c r="AJ794" s="383"/>
      <c r="AK794" s="383"/>
      <c r="AL794" s="383"/>
      <c r="AM794" s="383"/>
      <c r="AN794" s="383"/>
      <c r="AO794" s="383"/>
      <c r="AP794" s="383"/>
      <c r="AQ794" s="383"/>
      <c r="AR794" s="383"/>
    </row>
    <row r="795" spans="2:44" s="639" customFormat="1" ht="12" customHeight="1">
      <c r="B795" s="638"/>
      <c r="N795" s="639" t="s">
        <v>1140</v>
      </c>
      <c r="O795" s="639" t="s">
        <v>166</v>
      </c>
      <c r="X795" s="383"/>
      <c r="Y795" s="383"/>
      <c r="Z795" s="383"/>
      <c r="AA795" s="383"/>
      <c r="AB795" s="383"/>
      <c r="AC795" s="383"/>
      <c r="AD795" s="383"/>
      <c r="AE795" s="383"/>
      <c r="AF795" s="383"/>
      <c r="AG795" s="383"/>
    </row>
    <row r="796" spans="2:44" s="639" customFormat="1" ht="12" customHeight="1">
      <c r="B796" s="638"/>
      <c r="N796" s="639" t="s">
        <v>1642</v>
      </c>
      <c r="O796" s="639" t="s">
        <v>1393</v>
      </c>
      <c r="X796" s="383"/>
      <c r="Y796" s="383"/>
      <c r="Z796" s="383"/>
      <c r="AA796" s="383"/>
      <c r="AB796" s="383"/>
      <c r="AC796" s="383"/>
      <c r="AD796" s="383"/>
      <c r="AE796" s="383"/>
      <c r="AF796" s="383"/>
      <c r="AG796" s="383"/>
    </row>
    <row r="797" spans="2:44" s="639" customFormat="1" ht="12" customHeight="1">
      <c r="B797" s="638"/>
      <c r="N797" s="639" t="s">
        <v>1643</v>
      </c>
      <c r="O797" s="639" t="s">
        <v>172</v>
      </c>
      <c r="X797" s="383"/>
      <c r="Y797" s="383"/>
      <c r="Z797" s="383"/>
      <c r="AA797" s="383"/>
      <c r="AB797" s="383"/>
      <c r="AC797" s="383"/>
      <c r="AD797" s="383"/>
      <c r="AE797" s="383"/>
      <c r="AF797" s="383"/>
      <c r="AG797" s="383"/>
    </row>
    <row r="798" spans="2:44" s="639" customFormat="1" ht="12" customHeight="1">
      <c r="B798" s="638"/>
      <c r="N798" s="639" t="s">
        <v>1644</v>
      </c>
      <c r="O798" s="639" t="s">
        <v>1414</v>
      </c>
      <c r="X798" s="383"/>
      <c r="Y798" s="383"/>
      <c r="Z798" s="383"/>
      <c r="AA798" s="383"/>
      <c r="AB798" s="383"/>
      <c r="AC798" s="383"/>
      <c r="AD798" s="383"/>
      <c r="AE798" s="383"/>
      <c r="AF798" s="383"/>
      <c r="AG798" s="383"/>
    </row>
    <row r="799" spans="2:44" s="639" customFormat="1" ht="12" customHeight="1">
      <c r="B799" s="638"/>
      <c r="N799" s="639" t="s">
        <v>1645</v>
      </c>
      <c r="O799" s="639" t="s">
        <v>2003</v>
      </c>
      <c r="X799" s="383"/>
      <c r="Y799" s="383"/>
      <c r="Z799" s="383"/>
      <c r="AA799" s="383"/>
      <c r="AB799" s="383"/>
      <c r="AC799" s="383"/>
      <c r="AD799" s="383"/>
      <c r="AE799" s="383"/>
      <c r="AF799" s="383"/>
      <c r="AG799" s="383"/>
    </row>
    <row r="800" spans="2:44" s="639" customFormat="1" ht="12" customHeight="1">
      <c r="B800" s="638"/>
      <c r="N800" s="639" t="s">
        <v>1646</v>
      </c>
      <c r="O800" s="639" t="s">
        <v>2312</v>
      </c>
      <c r="X800" s="383"/>
      <c r="Y800" s="383"/>
      <c r="Z800" s="383"/>
      <c r="AA800" s="383"/>
      <c r="AB800" s="383"/>
      <c r="AC800" s="383"/>
      <c r="AD800" s="383"/>
      <c r="AE800" s="383"/>
      <c r="AF800" s="383"/>
      <c r="AG800" s="383"/>
    </row>
    <row r="801" spans="2:33" s="639" customFormat="1" ht="12" customHeight="1">
      <c r="B801" s="638"/>
      <c r="N801" s="639" t="s">
        <v>1647</v>
      </c>
      <c r="O801" s="639" t="s">
        <v>171</v>
      </c>
      <c r="X801" s="383"/>
      <c r="Y801" s="383"/>
      <c r="Z801" s="383"/>
      <c r="AA801" s="383"/>
      <c r="AB801" s="383"/>
      <c r="AC801" s="383"/>
      <c r="AD801" s="383"/>
      <c r="AE801" s="383"/>
      <c r="AF801" s="383"/>
      <c r="AG801" s="383"/>
    </row>
    <row r="802" spans="2:33" s="639" customFormat="1" ht="12" customHeight="1">
      <c r="B802" s="638"/>
      <c r="N802" s="639" t="s">
        <v>2529</v>
      </c>
      <c r="O802" s="639" t="s">
        <v>711</v>
      </c>
      <c r="X802" s="383"/>
      <c r="Y802" s="383"/>
      <c r="Z802" s="383"/>
      <c r="AA802" s="383"/>
      <c r="AB802" s="383"/>
      <c r="AC802" s="383"/>
      <c r="AD802" s="383"/>
      <c r="AE802" s="383"/>
      <c r="AF802" s="383"/>
      <c r="AG802" s="383"/>
    </row>
    <row r="803" spans="2:33" s="639" customFormat="1" ht="12" customHeight="1">
      <c r="B803" s="638"/>
      <c r="N803" s="639" t="s">
        <v>2530</v>
      </c>
      <c r="O803" s="639" t="s">
        <v>697</v>
      </c>
      <c r="X803" s="383"/>
      <c r="Y803" s="383"/>
      <c r="Z803" s="383"/>
      <c r="AA803" s="383"/>
      <c r="AB803" s="383"/>
      <c r="AC803" s="383"/>
      <c r="AD803" s="383"/>
      <c r="AE803" s="383"/>
      <c r="AF803" s="383"/>
      <c r="AG803" s="383"/>
    </row>
    <row r="804" spans="2:33" s="639" customFormat="1" ht="12" customHeight="1">
      <c r="B804" s="638"/>
      <c r="N804" s="639" t="s">
        <v>2531</v>
      </c>
      <c r="O804" s="639" t="s">
        <v>346</v>
      </c>
      <c r="X804" s="383"/>
      <c r="Y804" s="383"/>
      <c r="Z804" s="383"/>
      <c r="AA804" s="383"/>
      <c r="AB804" s="383"/>
      <c r="AC804" s="383"/>
      <c r="AD804" s="383"/>
      <c r="AE804" s="383"/>
      <c r="AF804" s="383"/>
      <c r="AG804" s="383"/>
    </row>
    <row r="805" spans="2:33" s="639" customFormat="1" ht="12" customHeight="1">
      <c r="B805" s="638"/>
      <c r="N805" s="639" t="s">
        <v>882</v>
      </c>
      <c r="O805" s="639" t="s">
        <v>350</v>
      </c>
      <c r="X805" s="383"/>
      <c r="Y805" s="383"/>
      <c r="Z805" s="383"/>
      <c r="AA805" s="383"/>
      <c r="AB805" s="383"/>
      <c r="AC805" s="383"/>
      <c r="AD805" s="383"/>
      <c r="AE805" s="383"/>
      <c r="AF805" s="383"/>
      <c r="AG805" s="383"/>
    </row>
    <row r="806" spans="2:33" s="639" customFormat="1" ht="12" customHeight="1">
      <c r="B806" s="638"/>
      <c r="N806" s="639" t="s">
        <v>883</v>
      </c>
      <c r="O806" s="639" t="s">
        <v>2133</v>
      </c>
      <c r="X806" s="383"/>
      <c r="Y806" s="383"/>
      <c r="Z806" s="383"/>
      <c r="AA806" s="383"/>
      <c r="AB806" s="383"/>
      <c r="AC806" s="383"/>
      <c r="AD806" s="383"/>
      <c r="AE806" s="383"/>
      <c r="AF806" s="383"/>
      <c r="AG806" s="383"/>
    </row>
    <row r="807" spans="2:33" s="639" customFormat="1" ht="12" customHeight="1">
      <c r="B807" s="638"/>
      <c r="N807" s="639" t="s">
        <v>3263</v>
      </c>
      <c r="O807" s="639" t="s">
        <v>117</v>
      </c>
      <c r="X807" s="383"/>
      <c r="Y807" s="383"/>
      <c r="Z807" s="383"/>
      <c r="AA807" s="383"/>
      <c r="AB807" s="383"/>
      <c r="AC807" s="383"/>
      <c r="AD807" s="383"/>
      <c r="AE807" s="383"/>
      <c r="AF807" s="383"/>
      <c r="AG807" s="383"/>
    </row>
    <row r="808" spans="2:33" s="639" customFormat="1" ht="12" customHeight="1">
      <c r="B808" s="638"/>
      <c r="N808" s="639" t="s">
        <v>884</v>
      </c>
      <c r="O808" s="639" t="s">
        <v>2037</v>
      </c>
      <c r="X808" s="383"/>
      <c r="Y808" s="383"/>
      <c r="Z808" s="383"/>
      <c r="AA808" s="383"/>
      <c r="AB808" s="383"/>
      <c r="AC808" s="383"/>
      <c r="AD808" s="383"/>
      <c r="AE808" s="383"/>
      <c r="AF808" s="383"/>
      <c r="AG808" s="383"/>
    </row>
    <row r="809" spans="2:33" s="639" customFormat="1" ht="12" customHeight="1">
      <c r="B809" s="638"/>
      <c r="N809" s="639" t="s">
        <v>885</v>
      </c>
      <c r="O809" s="639" t="s">
        <v>1155</v>
      </c>
      <c r="X809" s="383"/>
      <c r="Y809" s="383"/>
      <c r="Z809" s="383"/>
      <c r="AA809" s="383"/>
      <c r="AB809" s="383"/>
      <c r="AC809" s="383"/>
      <c r="AD809" s="383"/>
      <c r="AE809" s="383"/>
      <c r="AF809" s="383"/>
      <c r="AG809" s="383"/>
    </row>
    <row r="810" spans="2:33" s="639" customFormat="1" ht="12" customHeight="1">
      <c r="B810" s="638"/>
      <c r="X810" s="383"/>
      <c r="Y810" s="383"/>
      <c r="Z810" s="383"/>
      <c r="AA810" s="383"/>
      <c r="AB810" s="383"/>
      <c r="AC810" s="383"/>
      <c r="AD810" s="383"/>
      <c r="AE810" s="383"/>
      <c r="AF810" s="383"/>
      <c r="AG810" s="383"/>
    </row>
    <row r="811" spans="2:33" s="639" customFormat="1" ht="12" customHeight="1">
      <c r="B811" s="638"/>
    </row>
    <row r="812" spans="2:33" s="639" customFormat="1" ht="12" customHeight="1">
      <c r="B812" s="638"/>
    </row>
    <row r="813" spans="2:33" s="639" customFormat="1" ht="12" customHeight="1">
      <c r="B813" s="638"/>
    </row>
    <row r="814" spans="2:33" s="639" customFormat="1" ht="12" customHeight="1">
      <c r="B814" s="638"/>
    </row>
    <row r="815" spans="2:33" s="639" customFormat="1" ht="12" customHeight="1">
      <c r="B815" s="638"/>
    </row>
    <row r="816" spans="2:33" s="639" customFormat="1" ht="12" customHeight="1">
      <c r="B816" s="638"/>
    </row>
    <row r="817" spans="2:2" s="639" customFormat="1" ht="12" customHeight="1">
      <c r="B817" s="638"/>
    </row>
    <row r="818" spans="2:2" s="639" customFormat="1" ht="12" customHeight="1">
      <c r="B818" s="638"/>
    </row>
    <row r="819" spans="2:2" s="639" customFormat="1" ht="12" customHeight="1">
      <c r="B819" s="638"/>
    </row>
    <row r="820" spans="2:2" s="639" customFormat="1" ht="12" customHeight="1">
      <c r="B820" s="638"/>
    </row>
    <row r="821" spans="2:2" s="639" customFormat="1" ht="12" customHeight="1">
      <c r="B821" s="638"/>
    </row>
    <row r="822" spans="2:2" s="639" customFormat="1" ht="12" customHeight="1">
      <c r="B822" s="638"/>
    </row>
    <row r="823" spans="2:2" s="639" customFormat="1" ht="12" customHeight="1">
      <c r="B823" s="638"/>
    </row>
    <row r="824" spans="2:2" s="639" customFormat="1" ht="12" customHeight="1">
      <c r="B824" s="638"/>
    </row>
    <row r="825" spans="2:2" s="639" customFormat="1" ht="12" customHeight="1">
      <c r="B825" s="638"/>
    </row>
    <row r="826" spans="2:2" s="639" customFormat="1" ht="12" customHeight="1">
      <c r="B826" s="638"/>
    </row>
    <row r="827" spans="2:2" s="639" customFormat="1" ht="12" customHeight="1">
      <c r="B827" s="638"/>
    </row>
    <row r="828" spans="2:2" s="639" customFormat="1" ht="12" customHeight="1">
      <c r="B828" s="638"/>
    </row>
    <row r="829" spans="2:2" s="639" customFormat="1" ht="12" customHeight="1">
      <c r="B829" s="638"/>
    </row>
    <row r="830" spans="2:2" s="639" customFormat="1" ht="12" customHeight="1">
      <c r="B830" s="638"/>
    </row>
    <row r="831" spans="2:2" s="639" customFormat="1" ht="12" customHeight="1">
      <c r="B831" s="638"/>
    </row>
    <row r="832" spans="2:2" s="639" customFormat="1" ht="12" customHeight="1">
      <c r="B832" s="638"/>
    </row>
    <row r="833" spans="2:27" s="639" customFormat="1" ht="12" customHeight="1">
      <c r="B833" s="638"/>
    </row>
    <row r="834" spans="2:27" s="639" customFormat="1" ht="12" customHeight="1">
      <c r="B834" s="638"/>
    </row>
    <row r="835" spans="2:27" s="639" customFormat="1" ht="12" customHeight="1">
      <c r="B835" s="638"/>
    </row>
    <row r="836" spans="2:27" s="639" customFormat="1" ht="12" customHeight="1">
      <c r="B836" s="638"/>
    </row>
    <row r="837" spans="2:27" s="639" customFormat="1" ht="12" customHeight="1">
      <c r="B837" s="638"/>
    </row>
    <row r="838" spans="2:27" s="639" customFormat="1" ht="12" customHeight="1">
      <c r="B838" s="638"/>
      <c r="N838" s="383"/>
      <c r="O838" s="383"/>
    </row>
    <row r="839" spans="2:27" ht="12" customHeight="1">
      <c r="I839" s="639"/>
      <c r="Z839" s="481"/>
      <c r="AA839" s="481"/>
    </row>
    <row r="840" spans="2:27" ht="12" customHeight="1">
      <c r="Z840" s="481"/>
      <c r="AA840" s="481"/>
    </row>
    <row r="841" spans="2:27" ht="12" customHeight="1">
      <c r="Z841" s="481"/>
      <c r="AA841" s="481"/>
    </row>
    <row r="842" spans="2:27" ht="12" customHeight="1">
      <c r="Z842" s="481"/>
      <c r="AA842" s="481"/>
    </row>
  </sheetData>
  <sheetProtection password="ACD2" sheet="1" objects="1" scenarios="1" formatColumns="0" formatRows="0"/>
  <sortState ref="C181:H340">
    <sortCondition ref="C181:C340"/>
    <sortCondition ref="E181:E340"/>
  </sortState>
  <mergeCells count="151">
    <mergeCell ref="N35:P35"/>
    <mergeCell ref="F109:I109"/>
    <mergeCell ref="C108:E108"/>
    <mergeCell ref="C111:P112"/>
    <mergeCell ref="M109:P109"/>
    <mergeCell ref="M90:N90"/>
    <mergeCell ref="N66:P66"/>
    <mergeCell ref="O89:P89"/>
    <mergeCell ref="F35:K35"/>
    <mergeCell ref="J109:L109"/>
    <mergeCell ref="C109:E109"/>
    <mergeCell ref="E92:G92"/>
    <mergeCell ref="J105:L105"/>
    <mergeCell ref="M107:P107"/>
    <mergeCell ref="F107:I107"/>
    <mergeCell ref="J107:L107"/>
    <mergeCell ref="F105:I105"/>
    <mergeCell ref="F36:H36"/>
    <mergeCell ref="N38:O38"/>
    <mergeCell ref="F37:K37"/>
    <mergeCell ref="I38:K38"/>
    <mergeCell ref="K66:L66"/>
    <mergeCell ref="J36:L36"/>
    <mergeCell ref="I93:J93"/>
    <mergeCell ref="F14:L14"/>
    <mergeCell ref="F15:L15"/>
    <mergeCell ref="N14:P14"/>
    <mergeCell ref="F25:L25"/>
    <mergeCell ref="H32:I32"/>
    <mergeCell ref="O27:P27"/>
    <mergeCell ref="F32:G32"/>
    <mergeCell ref="N32:P32"/>
    <mergeCell ref="N33:O33"/>
    <mergeCell ref="F33:G33"/>
    <mergeCell ref="O15:P15"/>
    <mergeCell ref="J32:K32"/>
    <mergeCell ref="F28:H28"/>
    <mergeCell ref="F26:L26"/>
    <mergeCell ref="O29:P29"/>
    <mergeCell ref="J33:K33"/>
    <mergeCell ref="H33:I33"/>
    <mergeCell ref="O24:P24"/>
    <mergeCell ref="J718:M718"/>
    <mergeCell ref="H166:I166"/>
    <mergeCell ref="H164:I164"/>
    <mergeCell ref="H165:I165"/>
    <mergeCell ref="A169:J169"/>
    <mergeCell ref="K169:P169"/>
    <mergeCell ref="C114:E114"/>
    <mergeCell ref="F114:I114"/>
    <mergeCell ref="L151:M151"/>
    <mergeCell ref="C151:F151"/>
    <mergeCell ref="O126:P126"/>
    <mergeCell ref="M142:O142"/>
    <mergeCell ref="M117:P117"/>
    <mergeCell ref="H127:I127"/>
    <mergeCell ref="J142:K142"/>
    <mergeCell ref="H124:I124"/>
    <mergeCell ref="I143:K143"/>
    <mergeCell ref="J115:L115"/>
    <mergeCell ref="F115:I115"/>
    <mergeCell ref="J117:L117"/>
    <mergeCell ref="J114:L114"/>
    <mergeCell ref="O125:P125"/>
    <mergeCell ref="L152:M152"/>
    <mergeCell ref="O160:P160"/>
    <mergeCell ref="A1:P1"/>
    <mergeCell ref="O17:P17"/>
    <mergeCell ref="H31:I31"/>
    <mergeCell ref="O4:P4"/>
    <mergeCell ref="F23:L23"/>
    <mergeCell ref="F24:L24"/>
    <mergeCell ref="J27:K27"/>
    <mergeCell ref="O16:P16"/>
    <mergeCell ref="O26:P26"/>
    <mergeCell ref="F27:H27"/>
    <mergeCell ref="L18:P18"/>
    <mergeCell ref="J28:K28"/>
    <mergeCell ref="F31:G31"/>
    <mergeCell ref="F18:H18"/>
    <mergeCell ref="J31:K31"/>
    <mergeCell ref="J6:K6"/>
    <mergeCell ref="O9:P9"/>
    <mergeCell ref="O10:P10"/>
    <mergeCell ref="O23:P23"/>
    <mergeCell ref="J7:K7"/>
    <mergeCell ref="O25:P25"/>
    <mergeCell ref="F16:H16"/>
    <mergeCell ref="J17:K17"/>
    <mergeCell ref="G29:H29"/>
    <mergeCell ref="Q169:U170"/>
    <mergeCell ref="O3:P3"/>
    <mergeCell ref="M140:P140"/>
    <mergeCell ref="E142:H142"/>
    <mergeCell ref="C105:E105"/>
    <mergeCell ref="L153:M153"/>
    <mergeCell ref="O159:P159"/>
    <mergeCell ref="J116:L116"/>
    <mergeCell ref="M106:P106"/>
    <mergeCell ref="F106:I106"/>
    <mergeCell ref="E143:G143"/>
    <mergeCell ref="M145:O145"/>
    <mergeCell ref="J145:K145"/>
    <mergeCell ref="J106:L106"/>
    <mergeCell ref="L93:M93"/>
    <mergeCell ref="M92:P92"/>
    <mergeCell ref="O93:P93"/>
    <mergeCell ref="I49:I50"/>
    <mergeCell ref="N158:O158"/>
    <mergeCell ref="C106:E106"/>
    <mergeCell ref="F108:I108"/>
    <mergeCell ref="F9:H9"/>
    <mergeCell ref="E91:G91"/>
    <mergeCell ref="H66:I66"/>
    <mergeCell ref="I92:K92"/>
    <mergeCell ref="K91:L91"/>
    <mergeCell ref="H85:I85"/>
    <mergeCell ref="O90:P90"/>
    <mergeCell ref="N36:P36"/>
    <mergeCell ref="E90:L90"/>
    <mergeCell ref="F38:G38"/>
    <mergeCell ref="E89:L89"/>
    <mergeCell ref="M108:P108"/>
    <mergeCell ref="M89:N89"/>
    <mergeCell ref="E93:G93"/>
    <mergeCell ref="H75:J75"/>
    <mergeCell ref="K71:L71"/>
    <mergeCell ref="N37:P37"/>
    <mergeCell ref="K68:L68"/>
    <mergeCell ref="C107:E107"/>
    <mergeCell ref="J108:L108"/>
    <mergeCell ref="M105:P105"/>
    <mergeCell ref="O161:P161"/>
    <mergeCell ref="C116:E116"/>
    <mergeCell ref="F116:I116"/>
    <mergeCell ref="F117:I117"/>
    <mergeCell ref="M115:P115"/>
    <mergeCell ref="M114:P114"/>
    <mergeCell ref="M147:O147"/>
    <mergeCell ref="C118:E118"/>
    <mergeCell ref="F118:I118"/>
    <mergeCell ref="J118:L118"/>
    <mergeCell ref="C117:E117"/>
    <mergeCell ref="M143:O143"/>
    <mergeCell ref="J147:K147"/>
    <mergeCell ref="M118:P118"/>
    <mergeCell ref="M116:P116"/>
    <mergeCell ref="E141:K141"/>
    <mergeCell ref="E140:K140"/>
    <mergeCell ref="M141:P141"/>
    <mergeCell ref="C115:E115"/>
  </mergeCells>
  <phoneticPr fontId="6" type="noConversion"/>
  <dataValidations count="21">
    <dataValidation type="list" showInputMessage="1" showErrorMessage="1" sqref="H122 P77 F29 O24 F47">
      <formula1>"Yes, No"</formula1>
    </dataValidation>
    <dataValidation type="list" allowBlank="1" showInputMessage="1" showErrorMessage="1" sqref="H81 I155:I161 I149 O132 H132 I145 K137 D137 I147 H126 H120 H129 P155:P158 H154 I151 H83 D39">
      <formula1>"Yes, No"</formula1>
    </dataValidation>
    <dataValidation type="whole" allowBlank="1" showInputMessage="1" showErrorMessage="1" errorTitle="10-digit number required" error="This cell is formatted for 10 digit phone numbers.  Please enter only numeric characters.  Do not enter hyphens, parentheses, periods, or spaces." sqref="E143:G143 I143:K143 M142:O143">
      <formula1>1000000000</formula1>
      <formula2>9999999999</formula2>
    </dataValidation>
    <dataValidation type="whole" allowBlank="1" showInputMessage="1" showErrorMessage="1" errorTitle="9-digit zip code required" error="This cell is formatted for 9 digit zip codes.  Please enter only numeric characters.  Do not enter hyphens, parentheses, periods, or spaces." sqref="J142:K142 K91:L91 J17:K17 J27:K27 F38:G38">
      <formula1>1000000</formula1>
      <formula2>999999999</formula2>
    </dataValidation>
    <dataValidation type="whole" showInputMessage="1" showErrorMessage="1" error="This cell is formatted for 10 digit phone numbers.  Please enter only numeric characters.  Do not enter hyphens, parentheses, periods, or spaces." sqref="E93 F18">
      <formula1>1000000000</formula1>
      <formula2>9999999999</formula2>
    </dataValidation>
    <dataValidation type="whole" allowBlank="1" showInputMessage="1" showErrorMessage="1" error="This cell is formatted for 10 digit phone numbers.  Please enter only numeric characters.  Do not enter hyphens, parentheses, periods, or spaces." sqref="O93:P93 I93 L93 O15:O17">
      <formula1>1000000000</formula1>
      <formula2>9999999999</formula2>
    </dataValidation>
    <dataValidation showErrorMessage="1" errorTitle="State" error="Please select the appropriate state from the list provided by clicking the arrow to the right-hand side of the box." promptTitle="State" prompt="Please select the appropriate state from the list provided by clicking the arrow to the right-hand side of the box." sqref="I91"/>
    <dataValidation type="list" allowBlank="1" showInputMessage="1" showErrorMessage="1" sqref="E89">
      <formula1>$J$178:$J$718</formula1>
    </dataValidation>
    <dataValidation type="list" allowBlank="1" showInputMessage="1" showErrorMessage="1" sqref="N84 N75:N76 N72 N78 N67 N57 S49">
      <formula1>"Elderly, Housing for Older Persons"</formula1>
    </dataValidation>
    <dataValidation type="list" allowBlank="1" showInputMessage="1" showErrorMessage="1" sqref="H75">
      <formula1>"20% of Units at 50% of AMI, 40% of Units at 60% of AMI"</formula1>
    </dataValidation>
    <dataValidation type="list" allowBlank="1" showInputMessage="1" showErrorMessage="1" sqref="H85:I85">
      <formula1>"&lt;&lt;Select Pool&gt;&gt;, Flexible, Rural, N/A - 4% Bond"</formula1>
    </dataValidation>
    <dataValidation type="whole" operator="greaterThanOrEqual" showInputMessage="1" showErrorMessage="1" error="Please enter a whole number or leave this cell empty." sqref="M48:P48 K48 F44 I32:K34 L30:P30 F32:H33">
      <formula1>0</formula1>
    </dataValidation>
    <dataValidation type="list" allowBlank="1" showInputMessage="1" showErrorMessage="1" sqref="H66:I66">
      <formula1>"Family,Elderly,HFOP, Other"</formula1>
    </dataValidation>
    <dataValidation type="list" operator="greaterThanOrEqual" showInputMessage="1" showErrorMessage="1" error="Please enter a whole number or leave this cell empty." sqref="N28 P28">
      <formula1>"Yes, No"</formula1>
    </dataValidation>
    <dataValidation allowBlank="1" showErrorMessage="1" error="This cell formatted for 10 digit phone numbers.  Please enter only numeric characters.  Do not enter hyphens, parentheses, or spaces." prompt="This cell formatted for 10 digit phone numbers.  Please enter only numeric characters.  Do not enter hyphens, parentheses, or spaces." sqref="I38:K38"/>
    <dataValidation type="list" showInputMessage="1" showErrorMessage="1" sqref="O23:P23">
      <formula1>"Yes - no Master Plan, Yes- w/Master Plan, No"</formula1>
    </dataValidation>
    <dataValidation type="list" allowBlank="1" showInputMessage="1" showErrorMessage="1" sqref="F17">
      <formula1>$B$179:$B$229</formula1>
    </dataValidation>
    <dataValidation type="list" allowBlank="1" showInputMessage="1" showErrorMessage="1" sqref="F27:H27">
      <formula1>$N$179:$N$809</formula1>
    </dataValidation>
    <dataValidation type="list" allowBlank="1" showInputMessage="1" showErrorMessage="1" sqref="O10:P10">
      <formula1>"&lt;&lt;Select&gt;&gt;,Yes - see Comment, No, N/A - no pre-app"</formula1>
    </dataValidation>
    <dataValidation type="list" allowBlank="1" showInputMessage="1" showErrorMessage="1" sqref="F9:H9">
      <formula1>"(Select an Application Type), Competitive Round, Tax Exempt Bond / 4% credit"</formula1>
    </dataValidation>
    <dataValidation type="list" allowBlank="1" showInputMessage="1" showErrorMessage="1" sqref="F28:H28">
      <formula1>"&lt;&lt; Select from list &gt;&gt;, Within City Limits, In Unincorporated County"</formula1>
    </dataValidation>
  </dataValidations>
  <hyperlinks>
    <hyperlink ref="N32" r:id="rId1"/>
    <hyperlink ref="N33" r:id="rId2"/>
  </hyperlinks>
  <printOptions horizontalCentered="1"/>
  <pageMargins left="0.25" right="0.25" top="0.75" bottom="0.75" header="0.5" footer="0.5"/>
  <pageSetup fitToHeight="0" orientation="landscape" r:id="rId3"/>
  <headerFooter alignWithMargins="0">
    <oddHeader>&amp;L&amp;11Georgia Department of Community Affairs&amp;C&amp;11 2014 Funding Application&amp;R&amp;11Housing Finance and Development Division</oddHeader>
    <oddFooter>&amp;L&amp;"Arial Narrow,Regular"&amp;G &amp;F&amp;C&amp;"Arial Narrow,Regular"&amp;A&amp;R&amp;"Arial Narrow,Regular"&amp;P of &amp;N</oddFooter>
  </headerFooter>
  <rowBreaks count="3" manualBreakCount="3">
    <brk id="46" max="16383" man="1"/>
    <brk id="94" max="16383" man="1"/>
    <brk id="133" max="16383" man="1"/>
  </rowBreaks>
  <legacyDrawingHF r:id="rId4"/>
</worksheet>
</file>

<file path=xl/worksheets/sheet3.xml><?xml version="1.0" encoding="utf-8"?>
<worksheet xmlns="http://schemas.openxmlformats.org/spreadsheetml/2006/main" xmlns:r="http://schemas.openxmlformats.org/officeDocument/2006/relationships">
  <sheetPr codeName="Sheet4">
    <pageSetUpPr fitToPage="1"/>
  </sheetPr>
  <dimension ref="A1:Z215"/>
  <sheetViews>
    <sheetView showGridLines="0" zoomScale="80" zoomScaleNormal="80" workbookViewId="0">
      <selection sqref="A1:XFD1048576"/>
    </sheetView>
  </sheetViews>
  <sheetFormatPr defaultColWidth="9.140625" defaultRowHeight="12" customHeight="1"/>
  <cols>
    <col min="1" max="1" width="2.7109375" style="383" customWidth="1"/>
    <col min="2" max="4" width="2.28515625" style="383" customWidth="1"/>
    <col min="5" max="5" width="14.7109375" style="383" customWidth="1"/>
    <col min="6" max="6" width="6.140625" style="383" customWidth="1"/>
    <col min="7" max="7" width="2.7109375" style="383" customWidth="1"/>
    <col min="8" max="8" width="8" style="383" customWidth="1"/>
    <col min="9" max="9" width="6.28515625" style="383" customWidth="1"/>
    <col min="10" max="10" width="8.28515625" style="383" customWidth="1"/>
    <col min="11" max="11" width="9.7109375" style="383" customWidth="1"/>
    <col min="12" max="13" width="8.85546875" style="383" customWidth="1"/>
    <col min="14" max="14" width="9.42578125" style="383" customWidth="1"/>
    <col min="15" max="15" width="9.7109375" style="383" customWidth="1"/>
    <col min="16" max="16" width="6.140625" style="383" customWidth="1"/>
    <col min="17" max="19" width="6.28515625" style="383" customWidth="1"/>
    <col min="20" max="24" width="11.5703125" style="383" customWidth="1"/>
    <col min="25" max="16384" width="9.140625" style="383"/>
  </cols>
  <sheetData>
    <row r="1" spans="1:26" s="363" customFormat="1" ht="13.9" customHeight="1">
      <c r="A1" s="1522" t="str">
        <f>CONCATENATE("PART TWO - DEVELOPMENT TEAM INFORMATION","  -  ",'Part I-Project Information'!$O$4," ",'Part I-Project Information'!$F$23,", ",'Part I-Project Information'!F27,", ",'Part I-Project Information'!J28," County")</f>
        <v>PART TWO - DEVELOPMENT TEAM INFORMATION  -  2014-028 Highland Estates, Rome, Floyd County</v>
      </c>
      <c r="B1" s="1523"/>
      <c r="C1" s="1523"/>
      <c r="D1" s="1523"/>
      <c r="E1" s="1523"/>
      <c r="F1" s="1523"/>
      <c r="G1" s="1523"/>
      <c r="H1" s="1523"/>
      <c r="I1" s="1523"/>
      <c r="J1" s="1523"/>
      <c r="K1" s="1523"/>
      <c r="L1" s="1523"/>
      <c r="M1" s="1523"/>
      <c r="N1" s="1523"/>
      <c r="O1" s="1523"/>
      <c r="P1" s="1523"/>
      <c r="Q1" s="1523"/>
      <c r="R1" s="1523"/>
      <c r="S1" s="1524"/>
    </row>
    <row r="3" spans="1:26" s="363" customFormat="1" ht="13.15" customHeight="1">
      <c r="A3" s="366" t="s">
        <v>652</v>
      </c>
      <c r="B3" s="370" t="s">
        <v>1979</v>
      </c>
      <c r="C3" s="370"/>
      <c r="E3" s="370"/>
      <c r="F3" s="370"/>
      <c r="G3" s="370"/>
      <c r="H3" s="370"/>
      <c r="I3" s="370"/>
      <c r="J3" s="370"/>
      <c r="K3" s="370"/>
      <c r="L3" s="370"/>
      <c r="M3" s="370"/>
    </row>
    <row r="4" spans="1:26" s="363" customFormat="1" ht="8.4499999999999993" customHeight="1">
      <c r="A4" s="366"/>
      <c r="B4" s="366"/>
      <c r="C4" s="366"/>
      <c r="D4" s="370"/>
      <c r="E4" s="370"/>
      <c r="F4" s="370"/>
      <c r="G4" s="370"/>
      <c r="H4" s="370"/>
      <c r="I4" s="370"/>
      <c r="J4" s="370"/>
    </row>
    <row r="5" spans="1:26" s="363" customFormat="1" ht="12.6" customHeight="1">
      <c r="B5" s="366" t="s">
        <v>2110</v>
      </c>
      <c r="C5" s="370" t="s">
        <v>1975</v>
      </c>
      <c r="H5" s="1372" t="s">
        <v>3451</v>
      </c>
      <c r="I5" s="1379"/>
      <c r="J5" s="1379"/>
      <c r="K5" s="1379"/>
      <c r="L5" s="1379"/>
      <c r="M5" s="1379"/>
      <c r="N5" s="1380"/>
      <c r="O5" s="1148" t="s">
        <v>2117</v>
      </c>
      <c r="P5" s="1148"/>
      <c r="Q5" s="1372" t="s">
        <v>3463</v>
      </c>
      <c r="R5" s="1379"/>
      <c r="S5" s="1380"/>
    </row>
    <row r="6" spans="1:26" s="363" customFormat="1" ht="12.6" customHeight="1">
      <c r="D6" s="407"/>
      <c r="E6" s="369" t="s">
        <v>1077</v>
      </c>
      <c r="F6" s="377"/>
      <c r="H6" s="1372" t="s">
        <v>3461</v>
      </c>
      <c r="I6" s="1379"/>
      <c r="J6" s="1379"/>
      <c r="K6" s="1379"/>
      <c r="L6" s="1379"/>
      <c r="M6" s="1379"/>
      <c r="N6" s="1380"/>
      <c r="O6" s="1148" t="s">
        <v>1861</v>
      </c>
      <c r="Q6" s="1372" t="s">
        <v>3464</v>
      </c>
      <c r="R6" s="1379"/>
      <c r="S6" s="1380"/>
    </row>
    <row r="7" spans="1:26" s="363" customFormat="1" ht="12.6" customHeight="1">
      <c r="D7" s="407"/>
      <c r="E7" s="369" t="s">
        <v>654</v>
      </c>
      <c r="H7" s="1372" t="s">
        <v>3462</v>
      </c>
      <c r="I7" s="1379"/>
      <c r="J7" s="1380"/>
      <c r="K7" s="1242" t="s">
        <v>807</v>
      </c>
      <c r="L7" s="1372" t="s">
        <v>3517</v>
      </c>
      <c r="M7" s="1379"/>
      <c r="N7" s="1380"/>
      <c r="O7" s="1148" t="s">
        <v>1918</v>
      </c>
      <c r="Q7" s="1367">
        <v>2567609657</v>
      </c>
      <c r="R7" s="1368"/>
      <c r="S7" s="1369"/>
    </row>
    <row r="8" spans="1:26" s="363" customFormat="1" ht="12.6" customHeight="1">
      <c r="D8" s="407"/>
      <c r="E8" s="369" t="s">
        <v>1914</v>
      </c>
      <c r="H8" s="1225" t="s">
        <v>886</v>
      </c>
      <c r="I8" s="1153" t="s">
        <v>1360</v>
      </c>
      <c r="J8" s="1381">
        <v>356303731</v>
      </c>
      <c r="K8" s="1380"/>
      <c r="L8" s="330" t="s">
        <v>2985</v>
      </c>
      <c r="M8" s="1520">
        <v>101</v>
      </c>
      <c r="N8" s="1521"/>
      <c r="O8" s="1148" t="s">
        <v>2106</v>
      </c>
      <c r="Q8" s="1367"/>
      <c r="R8" s="1368"/>
      <c r="S8" s="1369"/>
    </row>
    <row r="9" spans="1:26" s="363" customFormat="1" ht="12.6" customHeight="1">
      <c r="D9" s="407"/>
      <c r="E9" s="369" t="s">
        <v>2112</v>
      </c>
      <c r="H9" s="1367">
        <v>2567609657</v>
      </c>
      <c r="I9" s="1369"/>
      <c r="J9" s="1243"/>
      <c r="K9" s="1153" t="s">
        <v>1917</v>
      </c>
      <c r="L9" s="1397">
        <v>2567675804</v>
      </c>
      <c r="M9" s="1519"/>
      <c r="N9" s="371" t="s">
        <v>2111</v>
      </c>
      <c r="O9" s="1376" t="s">
        <v>3465</v>
      </c>
      <c r="P9" s="1377"/>
      <c r="Q9" s="1377"/>
      <c r="R9" s="1377"/>
      <c r="S9" s="1378"/>
    </row>
    <row r="10" spans="1:26" s="363" customFormat="1" ht="13.15" customHeight="1">
      <c r="D10" s="407"/>
      <c r="E10" s="356" t="s">
        <v>2984</v>
      </c>
      <c r="H10" s="401"/>
      <c r="K10" s="330"/>
      <c r="N10" s="442" t="s">
        <v>1361</v>
      </c>
      <c r="Q10" s="1153"/>
    </row>
    <row r="11" spans="1:26" s="363" customFormat="1" ht="4.1500000000000004" customHeight="1">
      <c r="D11" s="408"/>
      <c r="E11" s="369"/>
      <c r="F11" s="370"/>
      <c r="G11" s="370"/>
      <c r="H11" s="370"/>
      <c r="I11" s="370"/>
      <c r="J11" s="370"/>
      <c r="N11" s="370"/>
      <c r="O11" s="370"/>
      <c r="P11" s="370"/>
      <c r="Q11" s="370"/>
      <c r="R11" s="370"/>
      <c r="S11" s="370"/>
      <c r="T11" s="370"/>
    </row>
    <row r="12" spans="1:26" s="363" customFormat="1" ht="13.15" customHeight="1">
      <c r="B12" s="406" t="s">
        <v>2113</v>
      </c>
      <c r="C12" s="370" t="s">
        <v>1976</v>
      </c>
      <c r="F12" s="370"/>
      <c r="G12" s="370"/>
      <c r="H12" s="370"/>
      <c r="I12" s="370"/>
      <c r="J12" s="370"/>
      <c r="N12" s="1244" t="s">
        <v>3006</v>
      </c>
      <c r="P12" s="1245" t="s">
        <v>1359</v>
      </c>
      <c r="W12" s="1245"/>
      <c r="X12" s="1245"/>
      <c r="Y12" s="1245"/>
      <c r="Z12" s="1245"/>
    </row>
    <row r="13" spans="1:26" s="363" customFormat="1" ht="4.1500000000000004" customHeight="1">
      <c r="D13" s="408"/>
      <c r="E13" s="369"/>
      <c r="F13" s="370"/>
      <c r="G13" s="370"/>
      <c r="H13" s="370"/>
      <c r="I13" s="370"/>
      <c r="J13" s="370"/>
      <c r="N13" s="419"/>
      <c r="P13" s="416"/>
      <c r="W13" s="416"/>
      <c r="X13" s="416"/>
      <c r="Y13" s="330"/>
      <c r="Z13" s="330"/>
    </row>
    <row r="14" spans="1:26" s="363" customFormat="1" ht="13.15" customHeight="1">
      <c r="C14" s="409" t="s">
        <v>2114</v>
      </c>
      <c r="D14" s="406" t="s">
        <v>2115</v>
      </c>
      <c r="H14" s="1156"/>
      <c r="I14" s="1156"/>
      <c r="J14" s="1156"/>
      <c r="N14" s="1244"/>
      <c r="W14" s="1246"/>
      <c r="X14" s="1246"/>
      <c r="Y14" s="1246"/>
      <c r="Z14" s="1246"/>
    </row>
    <row r="15" spans="1:26" s="363" customFormat="1" ht="4.1500000000000004" customHeight="1">
      <c r="D15" s="409"/>
      <c r="E15" s="410"/>
      <c r="H15" s="1247"/>
      <c r="I15" s="1247"/>
      <c r="J15" s="1247"/>
      <c r="K15" s="1149"/>
      <c r="L15" s="1247"/>
      <c r="M15" s="1247"/>
      <c r="N15" s="1149"/>
      <c r="O15" s="1248"/>
      <c r="P15" s="1248"/>
      <c r="Q15" s="1153"/>
      <c r="R15" s="1248"/>
      <c r="S15" s="1248"/>
    </row>
    <row r="16" spans="1:26" s="363" customFormat="1" ht="12.6" customHeight="1">
      <c r="D16" s="366" t="s">
        <v>2246</v>
      </c>
      <c r="E16" s="363" t="s">
        <v>1977</v>
      </c>
      <c r="H16" s="1372" t="s">
        <v>3479</v>
      </c>
      <c r="I16" s="1379"/>
      <c r="J16" s="1379"/>
      <c r="K16" s="1379"/>
      <c r="L16" s="1379"/>
      <c r="M16" s="1379"/>
      <c r="N16" s="1380"/>
      <c r="O16" s="1148" t="s">
        <v>2117</v>
      </c>
      <c r="P16" s="1148"/>
      <c r="Q16" s="1372" t="s">
        <v>3463</v>
      </c>
      <c r="R16" s="1379"/>
      <c r="S16" s="1380"/>
    </row>
    <row r="17" spans="4:19" s="363" customFormat="1" ht="12.6" customHeight="1">
      <c r="D17" s="407"/>
      <c r="E17" s="369" t="s">
        <v>1077</v>
      </c>
      <c r="F17" s="377"/>
      <c r="H17" s="1372" t="s">
        <v>3461</v>
      </c>
      <c r="I17" s="1379"/>
      <c r="J17" s="1379"/>
      <c r="K17" s="1379"/>
      <c r="L17" s="1379"/>
      <c r="M17" s="1379"/>
      <c r="N17" s="1380"/>
      <c r="O17" s="1148" t="s">
        <v>1861</v>
      </c>
      <c r="Q17" s="1372" t="s">
        <v>3464</v>
      </c>
      <c r="R17" s="1379"/>
      <c r="S17" s="1380"/>
    </row>
    <row r="18" spans="4:19" s="363" customFormat="1" ht="12.6" customHeight="1">
      <c r="D18" s="407"/>
      <c r="E18" s="369" t="s">
        <v>654</v>
      </c>
      <c r="H18" s="1372" t="s">
        <v>3462</v>
      </c>
      <c r="I18" s="1379"/>
      <c r="J18" s="1380"/>
      <c r="K18" s="1145" t="s">
        <v>2926</v>
      </c>
      <c r="L18" s="1372"/>
      <c r="M18" s="1379"/>
      <c r="N18" s="1380"/>
      <c r="O18" s="1148" t="s">
        <v>1918</v>
      </c>
      <c r="Q18" s="1367">
        <v>2567609657</v>
      </c>
      <c r="R18" s="1368"/>
      <c r="S18" s="1369"/>
    </row>
    <row r="19" spans="4:19" s="363" customFormat="1" ht="12.6" customHeight="1">
      <c r="D19" s="366"/>
      <c r="E19" s="369" t="s">
        <v>1914</v>
      </c>
      <c r="H19" s="1225" t="s">
        <v>886</v>
      </c>
      <c r="I19" s="1153" t="s">
        <v>1360</v>
      </c>
      <c r="J19" s="1381">
        <v>356303731</v>
      </c>
      <c r="K19" s="1380"/>
      <c r="O19" s="1148" t="s">
        <v>2106</v>
      </c>
      <c r="Q19" s="1367"/>
      <c r="R19" s="1368"/>
      <c r="S19" s="1369"/>
    </row>
    <row r="20" spans="4:19" s="363" customFormat="1" ht="12.6" customHeight="1">
      <c r="D20" s="407"/>
      <c r="E20" s="369" t="s">
        <v>2112</v>
      </c>
      <c r="H20" s="1367">
        <v>2567609657</v>
      </c>
      <c r="I20" s="1369"/>
      <c r="J20" s="1243"/>
      <c r="K20" s="1153" t="s">
        <v>1917</v>
      </c>
      <c r="L20" s="1397">
        <v>2567675804</v>
      </c>
      <c r="M20" s="1380"/>
      <c r="N20" s="371" t="s">
        <v>2111</v>
      </c>
      <c r="O20" s="1376" t="s">
        <v>3465</v>
      </c>
      <c r="P20" s="1377"/>
      <c r="Q20" s="1377"/>
      <c r="R20" s="1377"/>
      <c r="S20" s="1378"/>
    </row>
    <row r="21" spans="4:19" ht="4.1500000000000004" customHeight="1">
      <c r="D21" s="392"/>
      <c r="H21" s="1249"/>
      <c r="I21" s="1249"/>
      <c r="J21" s="1249"/>
      <c r="K21" s="1153"/>
      <c r="L21" s="1249"/>
      <c r="M21" s="1249"/>
      <c r="N21" s="1149"/>
      <c r="O21" s="1248"/>
      <c r="P21" s="1248"/>
      <c r="Q21" s="1153"/>
      <c r="R21" s="1248"/>
      <c r="S21" s="1248"/>
    </row>
    <row r="22" spans="4:19" s="363" customFormat="1" ht="12.6" customHeight="1">
      <c r="D22" s="366" t="s">
        <v>2247</v>
      </c>
      <c r="E22" s="363" t="s">
        <v>1978</v>
      </c>
      <c r="F22" s="1156"/>
      <c r="H22" s="1372"/>
      <c r="I22" s="1379"/>
      <c r="J22" s="1379"/>
      <c r="K22" s="1379"/>
      <c r="L22" s="1379"/>
      <c r="M22" s="1379"/>
      <c r="N22" s="1380"/>
      <c r="O22" s="1148" t="s">
        <v>2117</v>
      </c>
      <c r="P22" s="1148"/>
      <c r="Q22" s="1372"/>
      <c r="R22" s="1379"/>
      <c r="S22" s="1380"/>
    </row>
    <row r="23" spans="4:19" s="363" customFormat="1" ht="12.6" customHeight="1">
      <c r="D23" s="407"/>
      <c r="E23" s="369" t="s">
        <v>1077</v>
      </c>
      <c r="F23" s="377"/>
      <c r="H23" s="1372"/>
      <c r="I23" s="1379"/>
      <c r="J23" s="1379"/>
      <c r="K23" s="1379"/>
      <c r="L23" s="1379"/>
      <c r="M23" s="1379"/>
      <c r="N23" s="1380"/>
      <c r="O23" s="1148" t="s">
        <v>1861</v>
      </c>
      <c r="Q23" s="1372"/>
      <c r="R23" s="1379"/>
      <c r="S23" s="1380"/>
    </row>
    <row r="24" spans="4:19" s="363" customFormat="1" ht="12.6" customHeight="1">
      <c r="D24" s="407"/>
      <c r="E24" s="369" t="s">
        <v>654</v>
      </c>
      <c r="H24" s="1372"/>
      <c r="I24" s="1379"/>
      <c r="J24" s="1380"/>
      <c r="K24" s="1145" t="s">
        <v>2926</v>
      </c>
      <c r="L24" s="1372"/>
      <c r="M24" s="1379"/>
      <c r="N24" s="1380"/>
      <c r="O24" s="1148" t="s">
        <v>1918</v>
      </c>
      <c r="Q24" s="1367"/>
      <c r="R24" s="1368"/>
      <c r="S24" s="1369"/>
    </row>
    <row r="25" spans="4:19" s="363" customFormat="1" ht="12.6" customHeight="1">
      <c r="E25" s="369" t="s">
        <v>1914</v>
      </c>
      <c r="H25" s="1225"/>
      <c r="I25" s="394" t="s">
        <v>2367</v>
      </c>
      <c r="J25" s="1381"/>
      <c r="K25" s="1380"/>
      <c r="O25" s="1148" t="s">
        <v>2106</v>
      </c>
      <c r="Q25" s="1367"/>
      <c r="R25" s="1368"/>
      <c r="S25" s="1369"/>
    </row>
    <row r="26" spans="4:19" s="363" customFormat="1" ht="12.6" customHeight="1">
      <c r="D26" s="407"/>
      <c r="E26" s="369" t="s">
        <v>2112</v>
      </c>
      <c r="H26" s="1367"/>
      <c r="I26" s="1369"/>
      <c r="J26" s="1243"/>
      <c r="K26" s="1153" t="s">
        <v>1917</v>
      </c>
      <c r="L26" s="1397"/>
      <c r="M26" s="1380"/>
      <c r="N26" s="371" t="s">
        <v>2111</v>
      </c>
      <c r="O26" s="1376"/>
      <c r="P26" s="1377"/>
      <c r="Q26" s="1377"/>
      <c r="R26" s="1377"/>
      <c r="S26" s="1378"/>
    </row>
    <row r="27" spans="4:19" s="363" customFormat="1" ht="4.1500000000000004" customHeight="1">
      <c r="D27" s="407"/>
      <c r="E27" s="1156"/>
      <c r="F27" s="1156"/>
      <c r="G27" s="1148"/>
      <c r="H27" s="1249"/>
      <c r="I27" s="1249"/>
      <c r="J27" s="1249"/>
      <c r="K27" s="1153"/>
      <c r="L27" s="1249"/>
      <c r="M27" s="1249"/>
      <c r="N27" s="1149"/>
      <c r="O27" s="1248"/>
      <c r="P27" s="1248"/>
      <c r="Q27" s="1153"/>
      <c r="R27" s="1248"/>
      <c r="S27" s="1248"/>
    </row>
    <row r="28" spans="4:19" s="363" customFormat="1" ht="12.6" customHeight="1">
      <c r="D28" s="366" t="s">
        <v>1847</v>
      </c>
      <c r="E28" s="363" t="s">
        <v>1978</v>
      </c>
      <c r="F28" s="1156"/>
      <c r="H28" s="1372"/>
      <c r="I28" s="1379"/>
      <c r="J28" s="1379"/>
      <c r="K28" s="1379"/>
      <c r="L28" s="1379"/>
      <c r="M28" s="1379"/>
      <c r="N28" s="1380"/>
      <c r="O28" s="1148" t="s">
        <v>2117</v>
      </c>
      <c r="P28" s="1148"/>
      <c r="Q28" s="1372"/>
      <c r="R28" s="1379"/>
      <c r="S28" s="1380"/>
    </row>
    <row r="29" spans="4:19" s="363" customFormat="1" ht="12.6" customHeight="1">
      <c r="D29" s="407"/>
      <c r="E29" s="369" t="s">
        <v>1077</v>
      </c>
      <c r="F29" s="377"/>
      <c r="H29" s="1372"/>
      <c r="I29" s="1379"/>
      <c r="J29" s="1379"/>
      <c r="K29" s="1379"/>
      <c r="L29" s="1379"/>
      <c r="M29" s="1379"/>
      <c r="N29" s="1380"/>
      <c r="O29" s="1148" t="s">
        <v>1861</v>
      </c>
      <c r="Q29" s="1372"/>
      <c r="R29" s="1379"/>
      <c r="S29" s="1380"/>
    </row>
    <row r="30" spans="4:19" s="363" customFormat="1" ht="12.6" customHeight="1">
      <c r="D30" s="407"/>
      <c r="E30" s="369" t="s">
        <v>654</v>
      </c>
      <c r="H30" s="1372"/>
      <c r="I30" s="1379"/>
      <c r="J30" s="1380"/>
      <c r="K30" s="1145" t="s">
        <v>2926</v>
      </c>
      <c r="L30" s="1372"/>
      <c r="M30" s="1379"/>
      <c r="N30" s="1380"/>
      <c r="O30" s="1148" t="s">
        <v>1918</v>
      </c>
      <c r="Q30" s="1367"/>
      <c r="R30" s="1368"/>
      <c r="S30" s="1369"/>
    </row>
    <row r="31" spans="4:19" s="363" customFormat="1" ht="12.6" customHeight="1">
      <c r="E31" s="369" t="s">
        <v>1914</v>
      </c>
      <c r="H31" s="1225"/>
      <c r="I31" s="394" t="s">
        <v>2367</v>
      </c>
      <c r="J31" s="1381"/>
      <c r="K31" s="1380"/>
      <c r="O31" s="1148" t="s">
        <v>2106</v>
      </c>
      <c r="Q31" s="1367"/>
      <c r="R31" s="1368"/>
      <c r="S31" s="1369"/>
    </row>
    <row r="32" spans="4:19" s="363" customFormat="1" ht="12.6" customHeight="1">
      <c r="D32" s="407"/>
      <c r="E32" s="369" t="s">
        <v>2112</v>
      </c>
      <c r="H32" s="1367"/>
      <c r="I32" s="1369"/>
      <c r="J32" s="1243"/>
      <c r="K32" s="1153" t="s">
        <v>1917</v>
      </c>
      <c r="L32" s="1397"/>
      <c r="M32" s="1380"/>
      <c r="N32" s="371" t="s">
        <v>2111</v>
      </c>
      <c r="O32" s="1376"/>
      <c r="P32" s="1377"/>
      <c r="Q32" s="1377"/>
      <c r="R32" s="1377"/>
      <c r="S32" s="1378"/>
    </row>
    <row r="33" spans="3:19" ht="4.1500000000000004" customHeight="1"/>
    <row r="34" spans="3:19" s="363" customFormat="1" ht="13.15" customHeight="1">
      <c r="C34" s="409" t="s">
        <v>2116</v>
      </c>
      <c r="D34" s="406" t="s">
        <v>1980</v>
      </c>
      <c r="H34" s="1156"/>
      <c r="I34" s="1156"/>
      <c r="J34" s="1156"/>
      <c r="K34" s="1156"/>
      <c r="L34" s="1156"/>
      <c r="M34" s="1156"/>
    </row>
    <row r="35" spans="3:19" s="363" customFormat="1" ht="4.1500000000000004" customHeight="1">
      <c r="C35" s="411"/>
      <c r="D35" s="406"/>
      <c r="H35" s="1247"/>
      <c r="I35" s="1247"/>
      <c r="J35" s="1247"/>
      <c r="K35" s="1149"/>
      <c r="L35" s="1247"/>
      <c r="M35" s="1247"/>
      <c r="N35" s="1149"/>
      <c r="O35" s="1248"/>
      <c r="P35" s="1248"/>
      <c r="Q35" s="1153"/>
      <c r="R35" s="1248"/>
      <c r="S35" s="1248"/>
    </row>
    <row r="36" spans="3:19" s="363" customFormat="1" ht="12.6" customHeight="1">
      <c r="D36" s="366" t="s">
        <v>2246</v>
      </c>
      <c r="E36" s="363" t="s">
        <v>794</v>
      </c>
      <c r="H36" s="1372" t="s">
        <v>3433</v>
      </c>
      <c r="I36" s="1379"/>
      <c r="J36" s="1379"/>
      <c r="K36" s="1379"/>
      <c r="L36" s="1379"/>
      <c r="M36" s="1379"/>
      <c r="N36" s="1380"/>
      <c r="O36" s="1148" t="s">
        <v>2117</v>
      </c>
      <c r="P36" s="1148"/>
      <c r="Q36" s="1372" t="s">
        <v>3436</v>
      </c>
      <c r="R36" s="1379"/>
      <c r="S36" s="1380"/>
    </row>
    <row r="37" spans="3:19" s="363" customFormat="1" ht="12.6" customHeight="1">
      <c r="D37" s="407"/>
      <c r="E37" s="369" t="s">
        <v>1077</v>
      </c>
      <c r="F37" s="377"/>
      <c r="H37" s="1372" t="s">
        <v>3434</v>
      </c>
      <c r="I37" s="1379"/>
      <c r="J37" s="1379"/>
      <c r="K37" s="1379"/>
      <c r="L37" s="1379"/>
      <c r="M37" s="1379"/>
      <c r="N37" s="1380"/>
      <c r="O37" s="1148" t="s">
        <v>1861</v>
      </c>
      <c r="Q37" s="1372" t="s">
        <v>3437</v>
      </c>
      <c r="R37" s="1379"/>
      <c r="S37" s="1380"/>
    </row>
    <row r="38" spans="3:19" s="363" customFormat="1" ht="12.6" customHeight="1">
      <c r="D38" s="407"/>
      <c r="E38" s="369" t="s">
        <v>654</v>
      </c>
      <c r="H38" s="1372" t="s">
        <v>2692</v>
      </c>
      <c r="I38" s="1379"/>
      <c r="J38" s="1380"/>
      <c r="K38" s="1145" t="s">
        <v>2926</v>
      </c>
      <c r="L38" s="1372" t="s">
        <v>3435</v>
      </c>
      <c r="M38" s="1379"/>
      <c r="N38" s="1380"/>
      <c r="O38" s="1148" t="s">
        <v>1918</v>
      </c>
      <c r="Q38" s="1367">
        <v>5734432021</v>
      </c>
      <c r="R38" s="1368"/>
      <c r="S38" s="1369"/>
    </row>
    <row r="39" spans="3:19" s="363" customFormat="1" ht="12.6" customHeight="1">
      <c r="E39" s="369" t="s">
        <v>1914</v>
      </c>
      <c r="H39" s="1225" t="s">
        <v>1422</v>
      </c>
      <c r="I39" s="394" t="s">
        <v>2367</v>
      </c>
      <c r="J39" s="1381">
        <v>652034905</v>
      </c>
      <c r="K39" s="1380"/>
      <c r="O39" s="1148" t="s">
        <v>2106</v>
      </c>
      <c r="Q39" s="1367"/>
      <c r="R39" s="1368"/>
      <c r="S39" s="1369"/>
    </row>
    <row r="40" spans="3:19" s="363" customFormat="1" ht="12.6" customHeight="1">
      <c r="D40" s="407"/>
      <c r="E40" s="369" t="s">
        <v>2112</v>
      </c>
      <c r="H40" s="1367">
        <v>5734432021</v>
      </c>
      <c r="I40" s="1369"/>
      <c r="J40" s="1243"/>
      <c r="K40" s="1153" t="s">
        <v>1917</v>
      </c>
      <c r="L40" s="1397">
        <v>5738747116</v>
      </c>
      <c r="M40" s="1380"/>
      <c r="N40" s="371" t="s">
        <v>2111</v>
      </c>
      <c r="O40" s="1376" t="s">
        <v>3438</v>
      </c>
      <c r="P40" s="1377"/>
      <c r="Q40" s="1377"/>
      <c r="R40" s="1377"/>
      <c r="S40" s="1378"/>
    </row>
    <row r="41" spans="3:19" ht="4.1500000000000004" customHeight="1">
      <c r="H41" s="1249"/>
      <c r="I41" s="1249"/>
      <c r="J41" s="1249"/>
      <c r="K41" s="1153"/>
      <c r="L41" s="1249"/>
      <c r="M41" s="1249"/>
      <c r="N41" s="1149"/>
      <c r="O41" s="1248"/>
      <c r="P41" s="1248"/>
      <c r="Q41" s="1153"/>
      <c r="R41" s="1248"/>
      <c r="S41" s="1248"/>
    </row>
    <row r="42" spans="3:19" s="363" customFormat="1" ht="12.6" customHeight="1">
      <c r="D42" s="366" t="s">
        <v>2247</v>
      </c>
      <c r="E42" s="363" t="s">
        <v>795</v>
      </c>
      <c r="F42" s="366"/>
      <c r="H42" s="1372" t="s">
        <v>3433</v>
      </c>
      <c r="I42" s="1379"/>
      <c r="J42" s="1379"/>
      <c r="K42" s="1379"/>
      <c r="L42" s="1379"/>
      <c r="M42" s="1379"/>
      <c r="N42" s="1380"/>
      <c r="O42" s="1148" t="s">
        <v>2117</v>
      </c>
      <c r="P42" s="1148"/>
      <c r="Q42" s="1372" t="s">
        <v>3436</v>
      </c>
      <c r="R42" s="1379"/>
      <c r="S42" s="1380"/>
    </row>
    <row r="43" spans="3:19" s="363" customFormat="1" ht="12.6" customHeight="1">
      <c r="D43" s="407"/>
      <c r="E43" s="369" t="s">
        <v>1077</v>
      </c>
      <c r="F43" s="377"/>
      <c r="H43" s="1372" t="s">
        <v>3434</v>
      </c>
      <c r="I43" s="1379"/>
      <c r="J43" s="1379"/>
      <c r="K43" s="1379"/>
      <c r="L43" s="1379"/>
      <c r="M43" s="1379"/>
      <c r="N43" s="1380"/>
      <c r="O43" s="1148" t="s">
        <v>1861</v>
      </c>
      <c r="Q43" s="1372" t="s">
        <v>3437</v>
      </c>
      <c r="R43" s="1379"/>
      <c r="S43" s="1380"/>
    </row>
    <row r="44" spans="3:19" s="363" customFormat="1" ht="12.6" customHeight="1">
      <c r="D44" s="407"/>
      <c r="E44" s="369" t="s">
        <v>654</v>
      </c>
      <c r="H44" s="1372" t="s">
        <v>2692</v>
      </c>
      <c r="I44" s="1379"/>
      <c r="J44" s="1380"/>
      <c r="K44" s="1145" t="s">
        <v>2926</v>
      </c>
      <c r="L44" s="1372" t="s">
        <v>3435</v>
      </c>
      <c r="M44" s="1379"/>
      <c r="N44" s="1380"/>
      <c r="O44" s="1148" t="s">
        <v>1918</v>
      </c>
      <c r="Q44" s="1367">
        <v>5734432021</v>
      </c>
      <c r="R44" s="1368"/>
      <c r="S44" s="1369"/>
    </row>
    <row r="45" spans="3:19" s="363" customFormat="1" ht="12.6" customHeight="1">
      <c r="D45" s="366"/>
      <c r="E45" s="369" t="s">
        <v>1914</v>
      </c>
      <c r="H45" s="1225" t="s">
        <v>1422</v>
      </c>
      <c r="I45" s="394" t="s">
        <v>2367</v>
      </c>
      <c r="J45" s="1381">
        <v>652034905</v>
      </c>
      <c r="K45" s="1380"/>
      <c r="O45" s="1148" t="s">
        <v>2106</v>
      </c>
      <c r="Q45" s="1367"/>
      <c r="R45" s="1368"/>
      <c r="S45" s="1369"/>
    </row>
    <row r="46" spans="3:19" s="363" customFormat="1" ht="12.6" customHeight="1">
      <c r="D46" s="407"/>
      <c r="E46" s="369" t="s">
        <v>2112</v>
      </c>
      <c r="H46" s="1367">
        <v>5734432021</v>
      </c>
      <c r="I46" s="1369"/>
      <c r="J46" s="1243"/>
      <c r="K46" s="1153" t="s">
        <v>1917</v>
      </c>
      <c r="L46" s="1397">
        <v>5738747116</v>
      </c>
      <c r="M46" s="1380"/>
      <c r="N46" s="371" t="s">
        <v>2111</v>
      </c>
      <c r="O46" s="1376" t="s">
        <v>3438</v>
      </c>
      <c r="P46" s="1377"/>
      <c r="Q46" s="1377"/>
      <c r="R46" s="1377"/>
      <c r="S46" s="1378"/>
    </row>
    <row r="47" spans="3:19" s="363" customFormat="1" ht="4.1500000000000004" customHeight="1">
      <c r="D47" s="407"/>
      <c r="E47" s="369"/>
      <c r="F47" s="366"/>
      <c r="H47" s="401"/>
      <c r="I47" s="401"/>
      <c r="J47" s="1250"/>
      <c r="K47" s="1153"/>
      <c r="L47" s="401"/>
      <c r="M47" s="401"/>
      <c r="N47" s="1153"/>
      <c r="O47" s="401"/>
      <c r="P47" s="401"/>
      <c r="Q47" s="1153"/>
      <c r="R47" s="401"/>
      <c r="S47" s="401"/>
    </row>
    <row r="48" spans="3:19" s="363" customFormat="1" ht="13.15" customHeight="1">
      <c r="C48" s="411" t="s">
        <v>2698</v>
      </c>
      <c r="D48" s="406" t="s">
        <v>690</v>
      </c>
      <c r="H48" s="1156"/>
      <c r="I48" s="1156"/>
      <c r="J48" s="1156"/>
      <c r="K48" s="1156"/>
      <c r="L48" s="1156"/>
      <c r="M48" s="1156"/>
    </row>
    <row r="49" spans="1:19" s="363" customFormat="1" ht="4.1500000000000004" customHeight="1">
      <c r="D49" s="411"/>
      <c r="E49" s="410"/>
      <c r="H49" s="1247"/>
      <c r="I49" s="1247"/>
      <c r="J49" s="1247"/>
      <c r="K49" s="1149"/>
      <c r="L49" s="1247"/>
      <c r="M49" s="1247"/>
      <c r="N49" s="1149"/>
      <c r="O49" s="1248"/>
      <c r="P49" s="1248"/>
      <c r="Q49" s="1153"/>
      <c r="R49" s="1248"/>
      <c r="S49" s="1248"/>
    </row>
    <row r="50" spans="1:19" s="363" customFormat="1" ht="12.6" customHeight="1">
      <c r="E50" s="363" t="s">
        <v>95</v>
      </c>
      <c r="H50" s="1372"/>
      <c r="I50" s="1379"/>
      <c r="J50" s="1379"/>
      <c r="K50" s="1379"/>
      <c r="L50" s="1379"/>
      <c r="M50" s="1379"/>
      <c r="N50" s="1380"/>
      <c r="O50" s="1148" t="s">
        <v>2117</v>
      </c>
      <c r="P50" s="1148"/>
      <c r="Q50" s="1372"/>
      <c r="R50" s="1379"/>
      <c r="S50" s="1380"/>
    </row>
    <row r="51" spans="1:19" s="363" customFormat="1" ht="12.6" customHeight="1">
      <c r="D51" s="407"/>
      <c r="E51" s="369" t="s">
        <v>1077</v>
      </c>
      <c r="F51" s="377"/>
      <c r="H51" s="1372"/>
      <c r="I51" s="1379"/>
      <c r="J51" s="1379"/>
      <c r="K51" s="1379"/>
      <c r="L51" s="1379"/>
      <c r="M51" s="1379"/>
      <c r="N51" s="1380"/>
      <c r="O51" s="1148" t="s">
        <v>1861</v>
      </c>
      <c r="Q51" s="1372"/>
      <c r="R51" s="1379"/>
      <c r="S51" s="1380"/>
    </row>
    <row r="52" spans="1:19" s="363" customFormat="1" ht="12.6" customHeight="1">
      <c r="D52" s="407"/>
      <c r="E52" s="369" t="s">
        <v>654</v>
      </c>
      <c r="H52" s="1372"/>
      <c r="I52" s="1379"/>
      <c r="J52" s="1380"/>
      <c r="K52" s="1145" t="s">
        <v>2926</v>
      </c>
      <c r="L52" s="1372"/>
      <c r="M52" s="1379"/>
      <c r="N52" s="1380"/>
      <c r="O52" s="1148" t="s">
        <v>1918</v>
      </c>
      <c r="Q52" s="1367"/>
      <c r="R52" s="1368"/>
      <c r="S52" s="1369"/>
    </row>
    <row r="53" spans="1:19" s="363" customFormat="1" ht="12.6" customHeight="1">
      <c r="E53" s="369" t="s">
        <v>1914</v>
      </c>
      <c r="H53" s="1225"/>
      <c r="I53" s="394" t="s">
        <v>2367</v>
      </c>
      <c r="J53" s="1381"/>
      <c r="K53" s="1380"/>
      <c r="O53" s="1148" t="s">
        <v>2106</v>
      </c>
      <c r="Q53" s="1367"/>
      <c r="R53" s="1368"/>
      <c r="S53" s="1369"/>
    </row>
    <row r="54" spans="1:19" s="363" customFormat="1" ht="12.6" customHeight="1">
      <c r="D54" s="407"/>
      <c r="E54" s="369" t="s">
        <v>2112</v>
      </c>
      <c r="H54" s="1367"/>
      <c r="I54" s="1369"/>
      <c r="J54" s="1243"/>
      <c r="K54" s="1153" t="s">
        <v>1917</v>
      </c>
      <c r="L54" s="1397"/>
      <c r="M54" s="1380"/>
      <c r="N54" s="371" t="s">
        <v>2111</v>
      </c>
      <c r="O54" s="1376"/>
      <c r="P54" s="1377"/>
      <c r="Q54" s="1377"/>
      <c r="R54" s="1377"/>
      <c r="S54" s="1378"/>
    </row>
    <row r="55" spans="1:19" ht="6.75" customHeight="1"/>
    <row r="56" spans="1:19" s="363" customFormat="1" ht="13.15" customHeight="1">
      <c r="A56" s="366" t="s">
        <v>784</v>
      </c>
      <c r="B56" s="366" t="s">
        <v>691</v>
      </c>
      <c r="F56" s="366"/>
      <c r="G56" s="1153"/>
      <c r="H56" s="1153"/>
      <c r="I56" s="1153"/>
      <c r="J56" s="1156"/>
      <c r="K56" s="1156"/>
      <c r="L56" s="1156"/>
      <c r="M56" s="1156"/>
      <c r="N56" s="1156"/>
      <c r="O56" s="1156"/>
      <c r="P56" s="1156"/>
      <c r="Q56" s="1156"/>
      <c r="R56" s="1156"/>
      <c r="S56" s="1156"/>
    </row>
    <row r="57" spans="1:19" s="363" customFormat="1" ht="9" customHeight="1">
      <c r="A57" s="366"/>
      <c r="B57" s="366"/>
      <c r="F57" s="366"/>
      <c r="G57" s="1153"/>
      <c r="H57" s="1247"/>
      <c r="I57" s="1247"/>
      <c r="J57" s="1247"/>
      <c r="K57" s="1149"/>
      <c r="L57" s="1247"/>
      <c r="M57" s="1247"/>
      <c r="N57" s="1149"/>
      <c r="O57" s="1248"/>
      <c r="P57" s="1248"/>
      <c r="Q57" s="1153"/>
      <c r="R57" s="1248"/>
      <c r="S57" s="1248"/>
    </row>
    <row r="58" spans="1:19" s="363" customFormat="1" ht="13.15" customHeight="1">
      <c r="B58" s="366" t="s">
        <v>2110</v>
      </c>
      <c r="C58" s="366" t="s">
        <v>298</v>
      </c>
      <c r="H58" s="1372" t="s">
        <v>3493</v>
      </c>
      <c r="I58" s="1379"/>
      <c r="J58" s="1379"/>
      <c r="K58" s="1379"/>
      <c r="L58" s="1379"/>
      <c r="M58" s="1379"/>
      <c r="N58" s="1380"/>
      <c r="O58" s="1148" t="s">
        <v>2117</v>
      </c>
      <c r="P58" s="1148"/>
      <c r="Q58" s="1372" t="s">
        <v>3463</v>
      </c>
      <c r="R58" s="1379"/>
      <c r="S58" s="1380"/>
    </row>
    <row r="59" spans="1:19" s="363" customFormat="1" ht="13.15" customHeight="1">
      <c r="D59" s="407"/>
      <c r="E59" s="369" t="s">
        <v>1077</v>
      </c>
      <c r="F59" s="377"/>
      <c r="H59" s="1372" t="s">
        <v>3461</v>
      </c>
      <c r="I59" s="1379"/>
      <c r="J59" s="1379"/>
      <c r="K59" s="1379"/>
      <c r="L59" s="1379"/>
      <c r="M59" s="1379"/>
      <c r="N59" s="1380"/>
      <c r="O59" s="1148" t="s">
        <v>1861</v>
      </c>
      <c r="Q59" s="1372" t="s">
        <v>3466</v>
      </c>
      <c r="R59" s="1379"/>
      <c r="S59" s="1380"/>
    </row>
    <row r="60" spans="1:19" s="363" customFormat="1" ht="13.15" customHeight="1">
      <c r="D60" s="407"/>
      <c r="E60" s="369" t="s">
        <v>654</v>
      </c>
      <c r="H60" s="1372" t="s">
        <v>3462</v>
      </c>
      <c r="I60" s="1379"/>
      <c r="J60" s="1380"/>
      <c r="K60" s="1145" t="s">
        <v>2926</v>
      </c>
      <c r="L60" s="1372" t="s">
        <v>3518</v>
      </c>
      <c r="M60" s="1379"/>
      <c r="N60" s="1380"/>
      <c r="O60" s="1148" t="s">
        <v>1918</v>
      </c>
      <c r="Q60" s="1367">
        <v>2567609657</v>
      </c>
      <c r="R60" s="1368"/>
      <c r="S60" s="1369"/>
    </row>
    <row r="61" spans="1:19" s="363" customFormat="1" ht="13.15" customHeight="1">
      <c r="E61" s="369" t="s">
        <v>1914</v>
      </c>
      <c r="H61" s="1225" t="s">
        <v>886</v>
      </c>
      <c r="I61" s="394" t="s">
        <v>2367</v>
      </c>
      <c r="J61" s="1381">
        <v>356303731</v>
      </c>
      <c r="K61" s="1380"/>
      <c r="O61" s="1148" t="s">
        <v>2106</v>
      </c>
      <c r="Q61" s="1367"/>
      <c r="R61" s="1368"/>
      <c r="S61" s="1369"/>
    </row>
    <row r="62" spans="1:19" s="363" customFormat="1" ht="13.15" customHeight="1">
      <c r="D62" s="407"/>
      <c r="E62" s="369" t="s">
        <v>2112</v>
      </c>
      <c r="H62" s="1367">
        <v>2567609657</v>
      </c>
      <c r="I62" s="1369"/>
      <c r="J62" s="1243"/>
      <c r="K62" s="1153" t="s">
        <v>1917</v>
      </c>
      <c r="L62" s="1397">
        <v>2567675804</v>
      </c>
      <c r="M62" s="1380"/>
      <c r="N62" s="371" t="s">
        <v>2111</v>
      </c>
      <c r="O62" s="1376" t="s">
        <v>3465</v>
      </c>
      <c r="P62" s="1377"/>
      <c r="Q62" s="1377"/>
      <c r="R62" s="1377"/>
      <c r="S62" s="1378"/>
    </row>
    <row r="63" spans="1:19" s="363" customFormat="1" ht="6.6" customHeight="1">
      <c r="D63" s="407"/>
      <c r="E63" s="1156"/>
      <c r="F63" s="1156"/>
      <c r="G63" s="1148"/>
      <c r="H63" s="1249"/>
      <c r="I63" s="1249"/>
      <c r="J63" s="1249"/>
      <c r="K63" s="1153"/>
      <c r="L63" s="1249"/>
      <c r="M63" s="1249"/>
      <c r="N63" s="1149"/>
      <c r="O63" s="1248"/>
      <c r="P63" s="1248"/>
      <c r="Q63" s="1153"/>
      <c r="R63" s="1248"/>
      <c r="S63" s="1248"/>
    </row>
    <row r="64" spans="1:19" s="363" customFormat="1" ht="13.15" customHeight="1">
      <c r="B64" s="366" t="s">
        <v>2113</v>
      </c>
      <c r="C64" s="366" t="s">
        <v>299</v>
      </c>
      <c r="H64" s="1372"/>
      <c r="I64" s="1379"/>
      <c r="J64" s="1379"/>
      <c r="K64" s="1379"/>
      <c r="L64" s="1379"/>
      <c r="M64" s="1379"/>
      <c r="N64" s="1380"/>
      <c r="O64" s="1148"/>
      <c r="P64" s="1148"/>
      <c r="Q64" s="1372"/>
      <c r="R64" s="1379"/>
      <c r="S64" s="1380"/>
    </row>
    <row r="65" spans="2:19" s="363" customFormat="1" ht="13.15" customHeight="1">
      <c r="D65" s="407"/>
      <c r="E65" s="369" t="s">
        <v>1077</v>
      </c>
      <c r="F65" s="377"/>
      <c r="H65" s="1372"/>
      <c r="I65" s="1379"/>
      <c r="J65" s="1379"/>
      <c r="K65" s="1379"/>
      <c r="L65" s="1379"/>
      <c r="M65" s="1379"/>
      <c r="N65" s="1380"/>
      <c r="O65" s="1148"/>
      <c r="Q65" s="1372"/>
      <c r="R65" s="1379"/>
      <c r="S65" s="1380"/>
    </row>
    <row r="66" spans="2:19" s="363" customFormat="1" ht="13.15" customHeight="1">
      <c r="D66" s="407"/>
      <c r="E66" s="369" t="s">
        <v>654</v>
      </c>
      <c r="H66" s="1372"/>
      <c r="I66" s="1379"/>
      <c r="J66" s="1380"/>
      <c r="K66" s="1145"/>
      <c r="L66" s="1372"/>
      <c r="M66" s="1379"/>
      <c r="N66" s="1380"/>
      <c r="O66" s="1148"/>
      <c r="Q66" s="1367"/>
      <c r="R66" s="1368"/>
      <c r="S66" s="1369"/>
    </row>
    <row r="67" spans="2:19" s="363" customFormat="1" ht="13.15" customHeight="1">
      <c r="E67" s="369" t="s">
        <v>1914</v>
      </c>
      <c r="H67" s="1225"/>
      <c r="I67" s="394"/>
      <c r="J67" s="1381"/>
      <c r="K67" s="1380"/>
      <c r="O67" s="1148"/>
      <c r="Q67" s="1367"/>
      <c r="R67" s="1368"/>
      <c r="S67" s="1369"/>
    </row>
    <row r="68" spans="2:19" s="363" customFormat="1" ht="13.15" customHeight="1">
      <c r="D68" s="407"/>
      <c r="E68" s="369" t="s">
        <v>2112</v>
      </c>
      <c r="H68" s="1367"/>
      <c r="I68" s="1369"/>
      <c r="J68" s="1243"/>
      <c r="K68" s="1153"/>
      <c r="L68" s="1397"/>
      <c r="M68" s="1380"/>
      <c r="N68" s="371"/>
      <c r="O68" s="1376"/>
      <c r="P68" s="1377"/>
      <c r="Q68" s="1377"/>
      <c r="R68" s="1377"/>
      <c r="S68" s="1378"/>
    </row>
    <row r="69" spans="2:19" s="363" customFormat="1" ht="6.6" customHeight="1">
      <c r="D69" s="407"/>
      <c r="E69" s="1156"/>
      <c r="F69" s="1156"/>
      <c r="G69" s="1148"/>
      <c r="H69" s="1249"/>
      <c r="I69" s="1249"/>
      <c r="J69" s="1249"/>
      <c r="K69" s="1153"/>
      <c r="L69" s="1249"/>
      <c r="M69" s="1249"/>
      <c r="N69" s="1149"/>
      <c r="O69" s="1248"/>
      <c r="P69" s="1248"/>
      <c r="Q69" s="1153"/>
      <c r="R69" s="1248"/>
      <c r="S69" s="1248"/>
    </row>
    <row r="70" spans="2:19" s="363" customFormat="1" ht="13.15" customHeight="1">
      <c r="B70" s="366" t="s">
        <v>793</v>
      </c>
      <c r="C70" s="366" t="s">
        <v>1626</v>
      </c>
      <c r="H70" s="1372"/>
      <c r="I70" s="1379"/>
      <c r="J70" s="1379"/>
      <c r="K70" s="1379"/>
      <c r="L70" s="1379"/>
      <c r="M70" s="1379"/>
      <c r="N70" s="1380"/>
      <c r="O70" s="1148" t="s">
        <v>2117</v>
      </c>
      <c r="P70" s="1148"/>
      <c r="Q70" s="1372"/>
      <c r="R70" s="1379"/>
      <c r="S70" s="1380"/>
    </row>
    <row r="71" spans="2:19" s="363" customFormat="1" ht="13.15" customHeight="1">
      <c r="D71" s="407"/>
      <c r="E71" s="369" t="s">
        <v>1077</v>
      </c>
      <c r="F71" s="377"/>
      <c r="H71" s="1372"/>
      <c r="I71" s="1379"/>
      <c r="J71" s="1379"/>
      <c r="K71" s="1379"/>
      <c r="L71" s="1379"/>
      <c r="M71" s="1379"/>
      <c r="N71" s="1380"/>
      <c r="O71" s="1148" t="s">
        <v>1861</v>
      </c>
      <c r="Q71" s="1372"/>
      <c r="R71" s="1379"/>
      <c r="S71" s="1380"/>
    </row>
    <row r="72" spans="2:19" s="363" customFormat="1" ht="13.15" customHeight="1">
      <c r="D72" s="407"/>
      <c r="E72" s="369" t="s">
        <v>654</v>
      </c>
      <c r="H72" s="1372"/>
      <c r="I72" s="1379"/>
      <c r="J72" s="1380"/>
      <c r="K72" s="1145" t="s">
        <v>2926</v>
      </c>
      <c r="L72" s="1372"/>
      <c r="M72" s="1379"/>
      <c r="N72" s="1380"/>
      <c r="O72" s="1148" t="s">
        <v>1918</v>
      </c>
      <c r="Q72" s="1367"/>
      <c r="R72" s="1368"/>
      <c r="S72" s="1369"/>
    </row>
    <row r="73" spans="2:19" s="363" customFormat="1" ht="13.15" customHeight="1">
      <c r="E73" s="369" t="s">
        <v>1914</v>
      </c>
      <c r="H73" s="1225"/>
      <c r="I73" s="394" t="s">
        <v>2367</v>
      </c>
      <c r="J73" s="1381"/>
      <c r="K73" s="1380"/>
      <c r="O73" s="1148" t="s">
        <v>2106</v>
      </c>
      <c r="Q73" s="1367"/>
      <c r="R73" s="1368"/>
      <c r="S73" s="1369"/>
    </row>
    <row r="74" spans="2:19" s="363" customFormat="1" ht="13.15" customHeight="1">
      <c r="D74" s="407"/>
      <c r="E74" s="369" t="s">
        <v>2112</v>
      </c>
      <c r="H74" s="1367"/>
      <c r="I74" s="1369"/>
      <c r="J74" s="1243"/>
      <c r="K74" s="1153" t="s">
        <v>1917</v>
      </c>
      <c r="L74" s="1397"/>
      <c r="M74" s="1380"/>
      <c r="N74" s="371" t="s">
        <v>2111</v>
      </c>
      <c r="O74" s="1376"/>
      <c r="P74" s="1377"/>
      <c r="Q74" s="1377"/>
      <c r="R74" s="1377"/>
      <c r="S74" s="1378"/>
    </row>
    <row r="75" spans="2:19" ht="6.6" customHeight="1">
      <c r="H75" s="1249"/>
      <c r="I75" s="1249"/>
      <c r="J75" s="1249"/>
      <c r="K75" s="1153"/>
      <c r="L75" s="1249"/>
      <c r="M75" s="1249"/>
      <c r="N75" s="1149"/>
      <c r="O75" s="1248"/>
      <c r="P75" s="1248"/>
      <c r="Q75" s="1153"/>
      <c r="R75" s="1248"/>
      <c r="S75" s="1248"/>
    </row>
    <row r="76" spans="2:19" s="363" customFormat="1" ht="13.15" customHeight="1">
      <c r="B76" s="366" t="s">
        <v>2245</v>
      </c>
      <c r="C76" s="366" t="s">
        <v>300</v>
      </c>
      <c r="H76" s="1372"/>
      <c r="I76" s="1379"/>
      <c r="J76" s="1379"/>
      <c r="K76" s="1379"/>
      <c r="L76" s="1379"/>
      <c r="M76" s="1379"/>
      <c r="N76" s="1380"/>
      <c r="O76" s="1148" t="s">
        <v>2117</v>
      </c>
      <c r="P76" s="1148"/>
      <c r="Q76" s="1372"/>
      <c r="R76" s="1379"/>
      <c r="S76" s="1380"/>
    </row>
    <row r="77" spans="2:19" s="363" customFormat="1" ht="13.15" customHeight="1">
      <c r="D77" s="407"/>
      <c r="E77" s="369" t="s">
        <v>1077</v>
      </c>
      <c r="F77" s="377"/>
      <c r="H77" s="1372"/>
      <c r="I77" s="1379"/>
      <c r="J77" s="1379"/>
      <c r="K77" s="1379"/>
      <c r="L77" s="1379"/>
      <c r="M77" s="1379"/>
      <c r="N77" s="1380"/>
      <c r="O77" s="1148" t="s">
        <v>1861</v>
      </c>
      <c r="Q77" s="1372"/>
      <c r="R77" s="1379"/>
      <c r="S77" s="1380"/>
    </row>
    <row r="78" spans="2:19" s="363" customFormat="1" ht="13.15" customHeight="1">
      <c r="D78" s="407"/>
      <c r="E78" s="369" t="s">
        <v>654</v>
      </c>
      <c r="H78" s="1372"/>
      <c r="I78" s="1379"/>
      <c r="J78" s="1380"/>
      <c r="K78" s="1145" t="s">
        <v>2926</v>
      </c>
      <c r="L78" s="1372"/>
      <c r="M78" s="1379"/>
      <c r="N78" s="1380"/>
      <c r="O78" s="1148" t="s">
        <v>1918</v>
      </c>
      <c r="Q78" s="1367"/>
      <c r="R78" s="1368"/>
      <c r="S78" s="1369"/>
    </row>
    <row r="79" spans="2:19" s="363" customFormat="1" ht="13.15" customHeight="1">
      <c r="E79" s="369" t="s">
        <v>1914</v>
      </c>
      <c r="H79" s="1225"/>
      <c r="I79" s="394" t="s">
        <v>2367</v>
      </c>
      <c r="J79" s="1381"/>
      <c r="K79" s="1380"/>
      <c r="O79" s="1148" t="s">
        <v>2106</v>
      </c>
      <c r="Q79" s="1367"/>
      <c r="R79" s="1368"/>
      <c r="S79" s="1369"/>
    </row>
    <row r="80" spans="2:19" s="363" customFormat="1" ht="13.15" customHeight="1">
      <c r="D80" s="407"/>
      <c r="E80" s="369" t="s">
        <v>2112</v>
      </c>
      <c r="H80" s="1367"/>
      <c r="I80" s="1369"/>
      <c r="J80" s="1243"/>
      <c r="K80" s="1153" t="s">
        <v>1917</v>
      </c>
      <c r="L80" s="1397"/>
      <c r="M80" s="1380"/>
      <c r="N80" s="371" t="s">
        <v>2111</v>
      </c>
      <c r="O80" s="1376"/>
      <c r="P80" s="1377"/>
      <c r="Q80" s="1377"/>
      <c r="R80" s="1377"/>
      <c r="S80" s="1378"/>
    </row>
    <row r="81" spans="1:19" ht="6.75" customHeight="1"/>
    <row r="82" spans="1:19" s="369" customFormat="1" ht="13.15" customHeight="1">
      <c r="A82" s="370" t="s">
        <v>786</v>
      </c>
      <c r="B82" s="370" t="s">
        <v>301</v>
      </c>
      <c r="D82" s="370"/>
      <c r="E82" s="1148"/>
      <c r="F82" s="329"/>
      <c r="G82" s="329"/>
      <c r="H82" s="329"/>
      <c r="I82" s="329"/>
      <c r="J82" s="329"/>
      <c r="K82" s="329"/>
      <c r="L82" s="329"/>
      <c r="M82" s="329"/>
    </row>
    <row r="83" spans="1:19" s="369" customFormat="1" ht="9" customHeight="1">
      <c r="A83" s="370"/>
      <c r="B83" s="370"/>
      <c r="D83" s="370"/>
      <c r="E83" s="1148"/>
      <c r="F83" s="329"/>
      <c r="G83" s="329"/>
      <c r="H83" s="1247"/>
      <c r="I83" s="1247"/>
      <c r="J83" s="1247"/>
      <c r="K83" s="1149"/>
      <c r="L83" s="1247"/>
      <c r="M83" s="1247"/>
      <c r="N83" s="1149"/>
      <c r="O83" s="1248"/>
      <c r="P83" s="1248"/>
      <c r="Q83" s="1153"/>
      <c r="R83" s="1248"/>
      <c r="S83" s="1248"/>
    </row>
    <row r="84" spans="1:19" s="363" customFormat="1" ht="13.15" customHeight="1">
      <c r="B84" s="366" t="s">
        <v>2110</v>
      </c>
      <c r="C84" s="366" t="s">
        <v>302</v>
      </c>
      <c r="H84" s="1372"/>
      <c r="I84" s="1379"/>
      <c r="J84" s="1379"/>
      <c r="K84" s="1379"/>
      <c r="L84" s="1379"/>
      <c r="M84" s="1379"/>
      <c r="N84" s="1380"/>
      <c r="O84" s="1148" t="s">
        <v>2117</v>
      </c>
      <c r="P84" s="1148"/>
      <c r="Q84" s="1372"/>
      <c r="R84" s="1379"/>
      <c r="S84" s="1380"/>
    </row>
    <row r="85" spans="1:19" s="363" customFormat="1" ht="13.15" customHeight="1">
      <c r="D85" s="407"/>
      <c r="E85" s="369" t="s">
        <v>1077</v>
      </c>
      <c r="F85" s="377"/>
      <c r="H85" s="1372"/>
      <c r="I85" s="1379"/>
      <c r="J85" s="1379"/>
      <c r="K85" s="1379"/>
      <c r="L85" s="1379"/>
      <c r="M85" s="1379"/>
      <c r="N85" s="1380"/>
      <c r="O85" s="1148" t="s">
        <v>1861</v>
      </c>
      <c r="Q85" s="1372"/>
      <c r="R85" s="1379"/>
      <c r="S85" s="1380"/>
    </row>
    <row r="86" spans="1:19" s="363" customFormat="1" ht="13.15" customHeight="1">
      <c r="D86" s="407"/>
      <c r="E86" s="369" t="s">
        <v>654</v>
      </c>
      <c r="H86" s="1372"/>
      <c r="I86" s="1379"/>
      <c r="J86" s="1380"/>
      <c r="K86" s="1145" t="s">
        <v>2926</v>
      </c>
      <c r="L86" s="1372"/>
      <c r="M86" s="1379"/>
      <c r="N86" s="1380"/>
      <c r="O86" s="1148" t="s">
        <v>1918</v>
      </c>
      <c r="Q86" s="1367"/>
      <c r="R86" s="1368"/>
      <c r="S86" s="1369"/>
    </row>
    <row r="87" spans="1:19" s="363" customFormat="1" ht="13.15" customHeight="1">
      <c r="E87" s="369" t="s">
        <v>1914</v>
      </c>
      <c r="H87" s="1225"/>
      <c r="I87" s="394" t="s">
        <v>2367</v>
      </c>
      <c r="J87" s="1381"/>
      <c r="K87" s="1380"/>
      <c r="O87" s="1148" t="s">
        <v>2106</v>
      </c>
      <c r="Q87" s="1367"/>
      <c r="R87" s="1368"/>
      <c r="S87" s="1369"/>
    </row>
    <row r="88" spans="1:19" s="363" customFormat="1" ht="13.15" customHeight="1">
      <c r="D88" s="407"/>
      <c r="E88" s="369" t="s">
        <v>2112</v>
      </c>
      <c r="H88" s="1367"/>
      <c r="I88" s="1369"/>
      <c r="J88" s="1243"/>
      <c r="K88" s="1153" t="s">
        <v>1917</v>
      </c>
      <c r="L88" s="1397"/>
      <c r="M88" s="1380"/>
      <c r="N88" s="371" t="s">
        <v>2111</v>
      </c>
      <c r="O88" s="1376"/>
      <c r="P88" s="1377"/>
      <c r="Q88" s="1377"/>
      <c r="R88" s="1377"/>
      <c r="S88" s="1378"/>
    </row>
    <row r="89" spans="1:19" ht="6.6" customHeight="1">
      <c r="H89" s="1249"/>
      <c r="I89" s="1249"/>
      <c r="J89" s="1249"/>
      <c r="K89" s="1153"/>
      <c r="L89" s="1249"/>
      <c r="M89" s="1249"/>
      <c r="N89" s="1149"/>
      <c r="O89" s="1248"/>
      <c r="P89" s="1248"/>
      <c r="Q89" s="1153"/>
      <c r="R89" s="1248"/>
      <c r="S89" s="1248"/>
    </row>
    <row r="90" spans="1:19" s="363" customFormat="1" ht="13.15" customHeight="1">
      <c r="B90" s="366" t="s">
        <v>2113</v>
      </c>
      <c r="C90" s="366" t="s">
        <v>303</v>
      </c>
      <c r="H90" s="1372" t="s">
        <v>3445</v>
      </c>
      <c r="I90" s="1379"/>
      <c r="J90" s="1379"/>
      <c r="K90" s="1379"/>
      <c r="L90" s="1379"/>
      <c r="M90" s="1379"/>
      <c r="N90" s="1380"/>
      <c r="O90" s="1148" t="s">
        <v>2117</v>
      </c>
      <c r="P90" s="1148"/>
      <c r="Q90" s="1372" t="s">
        <v>3447</v>
      </c>
      <c r="R90" s="1379"/>
      <c r="S90" s="1380"/>
    </row>
    <row r="91" spans="1:19" s="363" customFormat="1" ht="13.15" customHeight="1">
      <c r="D91" s="407"/>
      <c r="E91" s="369" t="s">
        <v>1077</v>
      </c>
      <c r="F91" s="377"/>
      <c r="H91" s="1372" t="s">
        <v>3434</v>
      </c>
      <c r="I91" s="1379"/>
      <c r="J91" s="1379"/>
      <c r="K91" s="1379"/>
      <c r="L91" s="1379"/>
      <c r="M91" s="1379"/>
      <c r="N91" s="1380"/>
      <c r="O91" s="1148" t="s">
        <v>1861</v>
      </c>
      <c r="Q91" s="1372" t="s">
        <v>3448</v>
      </c>
      <c r="R91" s="1379"/>
      <c r="S91" s="1380"/>
    </row>
    <row r="92" spans="1:19" s="363" customFormat="1" ht="13.15" customHeight="1">
      <c r="D92" s="407"/>
      <c r="E92" s="369" t="s">
        <v>654</v>
      </c>
      <c r="H92" s="1372" t="s">
        <v>2692</v>
      </c>
      <c r="I92" s="1379"/>
      <c r="J92" s="1380"/>
      <c r="K92" s="1145" t="s">
        <v>2926</v>
      </c>
      <c r="L92" s="1372" t="s">
        <v>3446</v>
      </c>
      <c r="M92" s="1379"/>
      <c r="N92" s="1380"/>
      <c r="O92" s="1148" t="s">
        <v>1918</v>
      </c>
      <c r="Q92" s="1367"/>
      <c r="R92" s="1368"/>
      <c r="S92" s="1369"/>
    </row>
    <row r="93" spans="1:19" s="363" customFormat="1" ht="13.15" customHeight="1">
      <c r="E93" s="369" t="s">
        <v>1914</v>
      </c>
      <c r="H93" s="1225" t="s">
        <v>1422</v>
      </c>
      <c r="I93" s="394" t="s">
        <v>2367</v>
      </c>
      <c r="J93" s="1381">
        <v>652034905</v>
      </c>
      <c r="K93" s="1380"/>
      <c r="O93" s="1148" t="s">
        <v>2106</v>
      </c>
      <c r="Q93" s="1367"/>
      <c r="R93" s="1368"/>
      <c r="S93" s="1369"/>
    </row>
    <row r="94" spans="1:19" s="363" customFormat="1" ht="13.15" customHeight="1">
      <c r="D94" s="407"/>
      <c r="E94" s="369" t="s">
        <v>2112</v>
      </c>
      <c r="H94" s="1367">
        <v>5734432021</v>
      </c>
      <c r="I94" s="1369"/>
      <c r="J94" s="1243"/>
      <c r="K94" s="1153" t="s">
        <v>1917</v>
      </c>
      <c r="L94" s="1397">
        <v>5732563215</v>
      </c>
      <c r="M94" s="1380"/>
      <c r="N94" s="371" t="s">
        <v>2111</v>
      </c>
      <c r="O94" s="1376" t="s">
        <v>3449</v>
      </c>
      <c r="P94" s="1377"/>
      <c r="Q94" s="1377"/>
      <c r="R94" s="1377"/>
      <c r="S94" s="1378"/>
    </row>
    <row r="95" spans="1:19" ht="6.6" customHeight="1">
      <c r="H95" s="1249"/>
      <c r="I95" s="1249"/>
      <c r="J95" s="1249"/>
      <c r="K95" s="1153"/>
      <c r="L95" s="1249"/>
      <c r="M95" s="1249"/>
      <c r="N95" s="1149"/>
      <c r="O95" s="1248"/>
      <c r="P95" s="1248"/>
      <c r="Q95" s="1153"/>
      <c r="R95" s="1248"/>
      <c r="S95" s="1248"/>
    </row>
    <row r="96" spans="1:19" s="363" customFormat="1" ht="13.15" customHeight="1">
      <c r="B96" s="366" t="s">
        <v>793</v>
      </c>
      <c r="C96" s="366" t="s">
        <v>304</v>
      </c>
      <c r="F96" s="383"/>
      <c r="H96" s="1372" t="s">
        <v>3494</v>
      </c>
      <c r="I96" s="1379"/>
      <c r="J96" s="1379"/>
      <c r="K96" s="1379"/>
      <c r="L96" s="1379"/>
      <c r="M96" s="1379"/>
      <c r="N96" s="1380"/>
      <c r="O96" s="1148" t="s">
        <v>2117</v>
      </c>
      <c r="P96" s="1148"/>
      <c r="Q96" s="1372" t="s">
        <v>3463</v>
      </c>
      <c r="R96" s="1379"/>
      <c r="S96" s="1380"/>
    </row>
    <row r="97" spans="2:19" s="363" customFormat="1" ht="13.15" customHeight="1">
      <c r="D97" s="407"/>
      <c r="E97" s="369" t="s">
        <v>1077</v>
      </c>
      <c r="F97" s="377"/>
      <c r="H97" s="1372" t="s">
        <v>3496</v>
      </c>
      <c r="I97" s="1379"/>
      <c r="J97" s="1379"/>
      <c r="K97" s="1379"/>
      <c r="L97" s="1379"/>
      <c r="M97" s="1379"/>
      <c r="N97" s="1380"/>
      <c r="O97" s="1148" t="s">
        <v>1861</v>
      </c>
      <c r="Q97" s="1372" t="s">
        <v>3464</v>
      </c>
      <c r="R97" s="1379"/>
      <c r="S97" s="1380"/>
    </row>
    <row r="98" spans="2:19" s="363" customFormat="1" ht="13.15" customHeight="1">
      <c r="D98" s="407"/>
      <c r="E98" s="369" t="s">
        <v>654</v>
      </c>
      <c r="H98" s="1372" t="s">
        <v>3473</v>
      </c>
      <c r="I98" s="1379"/>
      <c r="J98" s="1380"/>
      <c r="K98" s="1145" t="s">
        <v>2926</v>
      </c>
      <c r="L98" s="1372" t="s">
        <v>3518</v>
      </c>
      <c r="M98" s="1379"/>
      <c r="N98" s="1380"/>
      <c r="O98" s="1148" t="s">
        <v>1918</v>
      </c>
      <c r="Q98" s="1367"/>
      <c r="R98" s="1368"/>
      <c r="S98" s="1369"/>
    </row>
    <row r="99" spans="2:19" s="363" customFormat="1" ht="13.15" customHeight="1">
      <c r="D99" s="407"/>
      <c r="E99" s="369" t="s">
        <v>1914</v>
      </c>
      <c r="H99" s="1225" t="s">
        <v>886</v>
      </c>
      <c r="I99" s="394" t="s">
        <v>2367</v>
      </c>
      <c r="J99" s="1381">
        <v>352425041</v>
      </c>
      <c r="K99" s="1380"/>
      <c r="O99" s="1148" t="s">
        <v>2106</v>
      </c>
      <c r="Q99" s="1367">
        <v>2563354030</v>
      </c>
      <c r="R99" s="1368"/>
      <c r="S99" s="1369"/>
    </row>
    <row r="100" spans="2:19" s="363" customFormat="1" ht="13.15" customHeight="1">
      <c r="D100" s="407"/>
      <c r="E100" s="369" t="s">
        <v>2112</v>
      </c>
      <c r="H100" s="1367">
        <v>2059803245</v>
      </c>
      <c r="I100" s="1369"/>
      <c r="J100" s="1243"/>
      <c r="K100" s="1153" t="s">
        <v>1917</v>
      </c>
      <c r="L100" s="1397">
        <v>2056370603</v>
      </c>
      <c r="M100" s="1380"/>
      <c r="N100" s="371" t="s">
        <v>2111</v>
      </c>
      <c r="O100" s="1376" t="s">
        <v>3495</v>
      </c>
      <c r="P100" s="1377"/>
      <c r="Q100" s="1377"/>
      <c r="R100" s="1377"/>
      <c r="S100" s="1378"/>
    </row>
    <row r="101" spans="2:19" ht="6.6" customHeight="1">
      <c r="H101" s="1249"/>
      <c r="I101" s="1249"/>
      <c r="J101" s="1249"/>
      <c r="K101" s="1153"/>
      <c r="L101" s="1249"/>
      <c r="M101" s="1249"/>
      <c r="N101" s="1149"/>
      <c r="O101" s="1248"/>
      <c r="P101" s="1248"/>
      <c r="Q101" s="1153"/>
      <c r="R101" s="1248"/>
      <c r="S101" s="1248"/>
    </row>
    <row r="102" spans="2:19" s="363" customFormat="1" ht="13.15" customHeight="1">
      <c r="B102" s="366" t="s">
        <v>2245</v>
      </c>
      <c r="C102" s="366" t="s">
        <v>305</v>
      </c>
      <c r="H102" s="1372" t="s">
        <v>3467</v>
      </c>
      <c r="I102" s="1379"/>
      <c r="J102" s="1379"/>
      <c r="K102" s="1379"/>
      <c r="L102" s="1379"/>
      <c r="M102" s="1379"/>
      <c r="N102" s="1380"/>
      <c r="O102" s="1148" t="s">
        <v>2117</v>
      </c>
      <c r="P102" s="1148"/>
      <c r="Q102" s="1372" t="s">
        <v>3468</v>
      </c>
      <c r="R102" s="1379"/>
      <c r="S102" s="1380"/>
    </row>
    <row r="103" spans="2:19" s="363" customFormat="1" ht="13.15" customHeight="1">
      <c r="D103" s="407"/>
      <c r="E103" s="369" t="s">
        <v>1077</v>
      </c>
      <c r="F103" s="377"/>
      <c r="H103" s="1372" t="s">
        <v>3520</v>
      </c>
      <c r="I103" s="1379"/>
      <c r="J103" s="1379"/>
      <c r="K103" s="1379"/>
      <c r="L103" s="1379"/>
      <c r="M103" s="1379"/>
      <c r="N103" s="1380"/>
      <c r="O103" s="1148" t="s">
        <v>1861</v>
      </c>
      <c r="Q103" s="1372" t="s">
        <v>3469</v>
      </c>
      <c r="R103" s="1379"/>
      <c r="S103" s="1380"/>
    </row>
    <row r="104" spans="2:19" s="363" customFormat="1" ht="13.15" customHeight="1">
      <c r="D104" s="407"/>
      <c r="E104" s="369" t="s">
        <v>654</v>
      </c>
      <c r="H104" s="1372" t="s">
        <v>1276</v>
      </c>
      <c r="I104" s="1379"/>
      <c r="J104" s="1380"/>
      <c r="K104" s="1145" t="s">
        <v>2926</v>
      </c>
      <c r="L104" s="1372" t="s">
        <v>3519</v>
      </c>
      <c r="M104" s="1379"/>
      <c r="N104" s="1380"/>
      <c r="O104" s="1148" t="s">
        <v>1918</v>
      </c>
      <c r="Q104" s="1367">
        <v>6789870936</v>
      </c>
      <c r="R104" s="1368"/>
      <c r="S104" s="1369"/>
    </row>
    <row r="105" spans="2:19" s="363" customFormat="1" ht="13.15" customHeight="1">
      <c r="D105" s="407"/>
      <c r="E105" s="369" t="s">
        <v>1914</v>
      </c>
      <c r="H105" s="1225" t="s">
        <v>896</v>
      </c>
      <c r="I105" s="394" t="s">
        <v>2367</v>
      </c>
      <c r="J105" s="1381">
        <v>303293227</v>
      </c>
      <c r="K105" s="1380"/>
      <c r="O105" s="1148" t="s">
        <v>2106</v>
      </c>
      <c r="Q105" s="1367"/>
      <c r="R105" s="1368"/>
      <c r="S105" s="1369"/>
    </row>
    <row r="106" spans="2:19" ht="13.15" customHeight="1">
      <c r="E106" s="369" t="s">
        <v>2112</v>
      </c>
      <c r="F106" s="363"/>
      <c r="G106" s="363"/>
      <c r="H106" s="1367">
        <v>6789870936</v>
      </c>
      <c r="I106" s="1369"/>
      <c r="J106" s="1243"/>
      <c r="K106" s="1153" t="s">
        <v>1917</v>
      </c>
      <c r="L106" s="1397">
        <v>7706989729</v>
      </c>
      <c r="M106" s="1380"/>
      <c r="N106" s="371" t="s">
        <v>2111</v>
      </c>
      <c r="O106" s="1376" t="s">
        <v>3470</v>
      </c>
      <c r="P106" s="1377"/>
      <c r="Q106" s="1377"/>
      <c r="R106" s="1377"/>
      <c r="S106" s="1378"/>
    </row>
    <row r="107" spans="2:19" ht="6" customHeight="1">
      <c r="E107" s="369"/>
      <c r="F107" s="363"/>
      <c r="G107" s="363"/>
      <c r="H107" s="363"/>
      <c r="I107" s="363"/>
      <c r="J107" s="363"/>
      <c r="K107" s="363"/>
      <c r="L107" s="363"/>
      <c r="M107" s="363"/>
      <c r="N107" s="363"/>
      <c r="O107" s="363"/>
      <c r="P107" s="363"/>
      <c r="Q107" s="1153"/>
      <c r="R107" s="1153"/>
      <c r="S107" s="1251"/>
    </row>
    <row r="108" spans="2:19" ht="0.6" customHeight="1">
      <c r="E108" s="369"/>
      <c r="F108" s="363"/>
      <c r="G108" s="1156"/>
      <c r="H108" s="1247"/>
      <c r="I108" s="1247"/>
      <c r="J108" s="1247"/>
      <c r="K108" s="1149"/>
      <c r="L108" s="1247"/>
      <c r="M108" s="1247"/>
      <c r="N108" s="1149"/>
      <c r="O108" s="1248"/>
      <c r="P108" s="1248"/>
      <c r="Q108" s="1153"/>
      <c r="R108" s="1248"/>
      <c r="S108" s="1248"/>
    </row>
    <row r="109" spans="2:19" s="363" customFormat="1" ht="13.15" customHeight="1">
      <c r="B109" s="366" t="s">
        <v>1848</v>
      </c>
      <c r="C109" s="366" t="s">
        <v>306</v>
      </c>
      <c r="H109" s="1372" t="s">
        <v>3471</v>
      </c>
      <c r="I109" s="1379"/>
      <c r="J109" s="1379"/>
      <c r="K109" s="1379"/>
      <c r="L109" s="1379"/>
      <c r="M109" s="1379"/>
      <c r="N109" s="1380"/>
      <c r="O109" s="1148" t="s">
        <v>2117</v>
      </c>
      <c r="P109" s="1148"/>
      <c r="Q109" s="1372" t="s">
        <v>3474</v>
      </c>
      <c r="R109" s="1379"/>
      <c r="S109" s="1380"/>
    </row>
    <row r="110" spans="2:19" s="363" customFormat="1" ht="13.15" customHeight="1">
      <c r="D110" s="407"/>
      <c r="E110" s="369" t="s">
        <v>1077</v>
      </c>
      <c r="F110" s="377"/>
      <c r="H110" s="1372" t="s">
        <v>3472</v>
      </c>
      <c r="I110" s="1379"/>
      <c r="J110" s="1379"/>
      <c r="K110" s="1379"/>
      <c r="L110" s="1379"/>
      <c r="M110" s="1379"/>
      <c r="N110" s="1380"/>
      <c r="O110" s="1148" t="s">
        <v>1861</v>
      </c>
      <c r="Q110" s="1372" t="s">
        <v>3469</v>
      </c>
      <c r="R110" s="1379"/>
      <c r="S110" s="1380"/>
    </row>
    <row r="111" spans="2:19" s="363" customFormat="1" ht="13.15" customHeight="1">
      <c r="D111" s="407"/>
      <c r="E111" s="369" t="s">
        <v>654</v>
      </c>
      <c r="H111" s="1372" t="s">
        <v>3473</v>
      </c>
      <c r="I111" s="1379"/>
      <c r="J111" s="1380"/>
      <c r="K111" s="1145" t="s">
        <v>2926</v>
      </c>
      <c r="L111" s="1372" t="s">
        <v>3521</v>
      </c>
      <c r="M111" s="1379"/>
      <c r="N111" s="1380"/>
      <c r="O111" s="1148" t="s">
        <v>1918</v>
      </c>
      <c r="Q111" s="1367"/>
      <c r="R111" s="1368"/>
      <c r="S111" s="1369"/>
    </row>
    <row r="112" spans="2:19" s="363" customFormat="1" ht="13.15" customHeight="1">
      <c r="D112" s="407"/>
      <c r="E112" s="369" t="s">
        <v>1914</v>
      </c>
      <c r="H112" s="1225" t="s">
        <v>886</v>
      </c>
      <c r="I112" s="394" t="s">
        <v>2367</v>
      </c>
      <c r="J112" s="1381">
        <v>352034803</v>
      </c>
      <c r="K112" s="1380"/>
      <c r="O112" s="1148" t="s">
        <v>2106</v>
      </c>
      <c r="Q112" s="1367"/>
      <c r="R112" s="1368"/>
      <c r="S112" s="1369"/>
    </row>
    <row r="113" spans="1:19" ht="13.15" customHeight="1">
      <c r="E113" s="369" t="s">
        <v>2112</v>
      </c>
      <c r="F113" s="363"/>
      <c r="G113" s="363"/>
      <c r="H113" s="1367">
        <v>2058221010</v>
      </c>
      <c r="I113" s="1369"/>
      <c r="J113" s="1243"/>
      <c r="K113" s="1153" t="s">
        <v>1917</v>
      </c>
      <c r="L113" s="1397">
        <v>2059305509</v>
      </c>
      <c r="M113" s="1380"/>
      <c r="N113" s="371" t="s">
        <v>2111</v>
      </c>
      <c r="O113" s="1376" t="s">
        <v>3475</v>
      </c>
      <c r="P113" s="1377"/>
      <c r="Q113" s="1377"/>
      <c r="R113" s="1377"/>
      <c r="S113" s="1378"/>
    </row>
    <row r="114" spans="1:19" ht="6.6" customHeight="1">
      <c r="E114" s="369"/>
      <c r="F114" s="363"/>
      <c r="G114" s="1156"/>
      <c r="H114" s="1249"/>
      <c r="I114" s="1249"/>
      <c r="J114" s="1249"/>
      <c r="K114" s="1153"/>
      <c r="L114" s="1249"/>
      <c r="M114" s="1249"/>
      <c r="N114" s="1149"/>
      <c r="O114" s="1248"/>
      <c r="P114" s="1248"/>
      <c r="Q114" s="1153"/>
      <c r="R114" s="1248"/>
      <c r="S114" s="1248"/>
    </row>
    <row r="115" spans="1:19" s="363" customFormat="1" ht="13.15" customHeight="1">
      <c r="B115" s="366" t="s">
        <v>1849</v>
      </c>
      <c r="C115" s="366" t="s">
        <v>307</v>
      </c>
      <c r="H115" s="1372" t="s">
        <v>3439</v>
      </c>
      <c r="I115" s="1379"/>
      <c r="J115" s="1379"/>
      <c r="K115" s="1379"/>
      <c r="L115" s="1379"/>
      <c r="M115" s="1379"/>
      <c r="N115" s="1380"/>
      <c r="O115" s="1148" t="s">
        <v>2117</v>
      </c>
      <c r="P115" s="1148"/>
      <c r="Q115" s="1372" t="s">
        <v>3443</v>
      </c>
      <c r="R115" s="1379"/>
      <c r="S115" s="1380"/>
    </row>
    <row r="116" spans="1:19" s="363" customFormat="1" ht="13.15" customHeight="1">
      <c r="D116" s="407"/>
      <c r="E116" s="369" t="s">
        <v>1077</v>
      </c>
      <c r="F116" s="377"/>
      <c r="H116" s="1372" t="s">
        <v>3440</v>
      </c>
      <c r="I116" s="1379"/>
      <c r="J116" s="1379"/>
      <c r="K116" s="1379"/>
      <c r="L116" s="1379"/>
      <c r="M116" s="1379"/>
      <c r="N116" s="1380"/>
      <c r="O116" s="1148" t="s">
        <v>1861</v>
      </c>
      <c r="Q116" s="1372" t="s">
        <v>2633</v>
      </c>
      <c r="R116" s="1379"/>
      <c r="S116" s="1380"/>
    </row>
    <row r="117" spans="1:19" s="363" customFormat="1" ht="13.15" customHeight="1">
      <c r="D117" s="407"/>
      <c r="E117" s="369" t="s">
        <v>654</v>
      </c>
      <c r="H117" s="1372" t="s">
        <v>3441</v>
      </c>
      <c r="I117" s="1379"/>
      <c r="J117" s="1380"/>
      <c r="K117" s="1145" t="s">
        <v>2926</v>
      </c>
      <c r="L117" s="1372" t="s">
        <v>3442</v>
      </c>
      <c r="M117" s="1379"/>
      <c r="N117" s="1380"/>
      <c r="O117" s="1148" t="s">
        <v>1918</v>
      </c>
      <c r="Q117" s="1367">
        <v>8164721448</v>
      </c>
      <c r="R117" s="1368"/>
      <c r="S117" s="1369"/>
    </row>
    <row r="118" spans="1:19" s="363" customFormat="1" ht="13.15" customHeight="1">
      <c r="D118" s="412"/>
      <c r="E118" s="369" t="s">
        <v>1914</v>
      </c>
      <c r="H118" s="1225" t="s">
        <v>1422</v>
      </c>
      <c r="I118" s="394" t="s">
        <v>2367</v>
      </c>
      <c r="J118" s="1381">
        <v>651081404</v>
      </c>
      <c r="K118" s="1380"/>
      <c r="O118" s="1148" t="s">
        <v>2106</v>
      </c>
      <c r="Q118" s="1367"/>
      <c r="R118" s="1368"/>
      <c r="S118" s="1369"/>
    </row>
    <row r="119" spans="1:19" s="363" customFormat="1" ht="13.15" customHeight="1">
      <c r="D119" s="412"/>
      <c r="E119" s="369" t="s">
        <v>2112</v>
      </c>
      <c r="H119" s="1367">
        <v>8164721448</v>
      </c>
      <c r="I119" s="1369"/>
      <c r="J119" s="1243"/>
      <c r="K119" s="1153" t="s">
        <v>1917</v>
      </c>
      <c r="L119" s="1397">
        <v>8164724702</v>
      </c>
      <c r="M119" s="1380"/>
      <c r="N119" s="371" t="s">
        <v>2111</v>
      </c>
      <c r="O119" s="1376" t="s">
        <v>3444</v>
      </c>
      <c r="P119" s="1377"/>
      <c r="Q119" s="1377"/>
      <c r="R119" s="1377"/>
      <c r="S119" s="1378"/>
    </row>
    <row r="120" spans="1:19" ht="6" customHeight="1"/>
    <row r="121" spans="1:19" s="363" customFormat="1" ht="13.15" customHeight="1">
      <c r="A121" s="366" t="s">
        <v>1907</v>
      </c>
      <c r="B121" s="366" t="s">
        <v>2776</v>
      </c>
      <c r="F121" s="366"/>
      <c r="G121" s="1153"/>
      <c r="H121" s="1153"/>
      <c r="I121" s="1153"/>
      <c r="J121" s="1153"/>
      <c r="K121" s="1153"/>
      <c r="L121" s="1153"/>
      <c r="M121" s="1153"/>
      <c r="N121" s="1153"/>
      <c r="O121" s="1153"/>
      <c r="P121" s="1153"/>
      <c r="Q121" s="1145"/>
    </row>
    <row r="122" spans="1:19" s="363" customFormat="1" ht="3" customHeight="1">
      <c r="A122" s="366"/>
      <c r="B122" s="366"/>
      <c r="F122" s="366"/>
      <c r="G122" s="1153"/>
      <c r="H122" s="1153"/>
      <c r="I122" s="1153"/>
      <c r="J122" s="1153"/>
      <c r="K122" s="1153"/>
      <c r="L122" s="1153"/>
      <c r="M122" s="1153"/>
      <c r="N122" s="1153"/>
      <c r="O122" s="1153"/>
      <c r="P122" s="1153"/>
      <c r="Q122" s="1145"/>
    </row>
    <row r="123" spans="1:19" ht="13.15" customHeight="1">
      <c r="B123" s="366" t="s">
        <v>2110</v>
      </c>
      <c r="C123" s="366" t="s">
        <v>3207</v>
      </c>
    </row>
    <row r="124" spans="1:19" ht="13.15" customHeight="1">
      <c r="C124" s="383" t="s">
        <v>3208</v>
      </c>
      <c r="H124" s="443" t="s">
        <v>2672</v>
      </c>
      <c r="I124" s="383" t="s">
        <v>3211</v>
      </c>
    </row>
    <row r="125" spans="1:19" s="363" customFormat="1" ht="13.15" customHeight="1">
      <c r="C125" s="717" t="s">
        <v>2114</v>
      </c>
      <c r="D125" s="363" t="s">
        <v>3209</v>
      </c>
      <c r="H125" s="1252" t="s">
        <v>3425</v>
      </c>
      <c r="I125" s="1507"/>
      <c r="J125" s="1508"/>
      <c r="K125" s="1508"/>
      <c r="L125" s="1508"/>
      <c r="M125" s="1508"/>
      <c r="N125" s="1508"/>
      <c r="O125" s="1508"/>
      <c r="P125" s="1508"/>
      <c r="Q125" s="1508"/>
      <c r="R125" s="1508"/>
      <c r="S125" s="1509"/>
    </row>
    <row r="126" spans="1:19" s="363" customFormat="1" ht="13.15" customHeight="1">
      <c r="C126" s="717" t="s">
        <v>2116</v>
      </c>
      <c r="D126" s="363" t="s">
        <v>3264</v>
      </c>
      <c r="H126" s="1253" t="s">
        <v>3425</v>
      </c>
      <c r="I126" s="1485"/>
      <c r="J126" s="1486"/>
      <c r="K126" s="1486"/>
      <c r="L126" s="1486"/>
      <c r="M126" s="1486"/>
      <c r="N126" s="1486"/>
      <c r="O126" s="1486"/>
      <c r="P126" s="1486"/>
      <c r="Q126" s="1486"/>
      <c r="R126" s="1486"/>
      <c r="S126" s="1487"/>
    </row>
    <row r="127" spans="1:19" s="363" customFormat="1" ht="13.15" customHeight="1">
      <c r="C127" s="717" t="s">
        <v>2698</v>
      </c>
      <c r="D127" s="363" t="s">
        <v>3323</v>
      </c>
      <c r="H127" s="1253" t="s">
        <v>3425</v>
      </c>
      <c r="I127" s="1485"/>
      <c r="J127" s="1486"/>
      <c r="K127" s="1486"/>
      <c r="L127" s="1486"/>
      <c r="M127" s="1486"/>
      <c r="N127" s="1486"/>
      <c r="O127" s="1486"/>
      <c r="P127" s="1486"/>
      <c r="Q127" s="1486"/>
      <c r="R127" s="1486"/>
      <c r="S127" s="1487"/>
    </row>
    <row r="128" spans="1:19" s="363" customFormat="1" ht="13.15" customHeight="1">
      <c r="C128" s="717" t="s">
        <v>1295</v>
      </c>
      <c r="D128" s="363" t="s">
        <v>3265</v>
      </c>
      <c r="H128" s="1253" t="s">
        <v>3425</v>
      </c>
      <c r="I128" s="1485"/>
      <c r="J128" s="1486"/>
      <c r="K128" s="1486"/>
      <c r="L128" s="1486"/>
      <c r="M128" s="1486"/>
      <c r="N128" s="1486"/>
      <c r="O128" s="1486"/>
      <c r="P128" s="1486"/>
      <c r="Q128" s="1486"/>
      <c r="R128" s="1486"/>
      <c r="S128" s="1487"/>
    </row>
    <row r="129" spans="1:19" s="363" customFormat="1" ht="13.15" customHeight="1">
      <c r="C129" s="717" t="s">
        <v>1296</v>
      </c>
      <c r="D129" s="363" t="s">
        <v>3266</v>
      </c>
      <c r="H129" s="1253" t="s">
        <v>3425</v>
      </c>
      <c r="I129" s="1485"/>
      <c r="J129" s="1486"/>
      <c r="K129" s="1486"/>
      <c r="L129" s="1486"/>
      <c r="M129" s="1486"/>
      <c r="N129" s="1486"/>
      <c r="O129" s="1486"/>
      <c r="P129" s="1486"/>
      <c r="Q129" s="1486"/>
      <c r="R129" s="1486"/>
      <c r="S129" s="1487"/>
    </row>
    <row r="130" spans="1:19" s="363" customFormat="1" ht="13.15" customHeight="1">
      <c r="C130" s="717" t="s">
        <v>2006</v>
      </c>
      <c r="D130" s="363" t="s">
        <v>3210</v>
      </c>
      <c r="H130" s="1253" t="s">
        <v>3425</v>
      </c>
      <c r="I130" s="1485"/>
      <c r="J130" s="1486"/>
      <c r="K130" s="1486"/>
      <c r="L130" s="1486"/>
      <c r="M130" s="1486"/>
      <c r="N130" s="1486"/>
      <c r="O130" s="1486"/>
      <c r="P130" s="1486"/>
      <c r="Q130" s="1486"/>
      <c r="R130" s="1486"/>
      <c r="S130" s="1487"/>
    </row>
    <row r="131" spans="1:19" s="363" customFormat="1" ht="13.15" customHeight="1">
      <c r="C131" s="717" t="s">
        <v>530</v>
      </c>
      <c r="D131" s="363" t="s">
        <v>3212</v>
      </c>
      <c r="H131" s="1253" t="s">
        <v>3425</v>
      </c>
      <c r="I131" s="1485"/>
      <c r="J131" s="1486"/>
      <c r="K131" s="1486"/>
      <c r="L131" s="1486"/>
      <c r="M131" s="1486"/>
      <c r="N131" s="1486"/>
      <c r="O131" s="1486"/>
      <c r="P131" s="1486"/>
      <c r="Q131" s="1486"/>
      <c r="R131" s="1486"/>
      <c r="S131" s="1487"/>
    </row>
    <row r="132" spans="1:19" s="363" customFormat="1" ht="13.15" customHeight="1">
      <c r="C132" s="717" t="s">
        <v>531</v>
      </c>
      <c r="D132" s="363" t="s">
        <v>1701</v>
      </c>
      <c r="H132" s="1254" t="s">
        <v>3452</v>
      </c>
      <c r="I132" s="1510" t="s">
        <v>3554</v>
      </c>
      <c r="J132" s="1511"/>
      <c r="K132" s="1511"/>
      <c r="L132" s="1511"/>
      <c r="M132" s="1511"/>
      <c r="N132" s="1511"/>
      <c r="O132" s="1511"/>
      <c r="P132" s="1511"/>
      <c r="Q132" s="1511"/>
      <c r="R132" s="1511"/>
      <c r="S132" s="1512"/>
    </row>
    <row r="133" spans="1:19" s="363" customFormat="1" ht="13.15" customHeight="1">
      <c r="A133" s="366" t="s">
        <v>1907</v>
      </c>
      <c r="B133" s="366" t="s">
        <v>3233</v>
      </c>
      <c r="F133" s="366"/>
      <c r="G133" s="1153"/>
      <c r="H133" s="1153"/>
      <c r="I133" s="1153"/>
      <c r="J133" s="1153"/>
      <c r="K133" s="1153"/>
      <c r="L133" s="1153"/>
      <c r="M133" s="1153"/>
      <c r="N133" s="1153"/>
      <c r="O133" s="1153"/>
      <c r="P133" s="1153"/>
      <c r="Q133" s="1145"/>
    </row>
    <row r="134" spans="1:19" s="363" customFormat="1" ht="6.6" customHeight="1">
      <c r="A134" s="366"/>
      <c r="B134" s="366"/>
      <c r="F134" s="366"/>
      <c r="G134" s="1153"/>
      <c r="H134" s="1153"/>
      <c r="I134" s="1153"/>
      <c r="J134" s="1153"/>
      <c r="K134" s="1153"/>
      <c r="L134" s="1153"/>
      <c r="M134" s="1153"/>
      <c r="N134" s="1153"/>
      <c r="O134" s="1153"/>
      <c r="P134" s="1153"/>
      <c r="Q134" s="1145"/>
    </row>
    <row r="135" spans="1:19" ht="13.15" customHeight="1">
      <c r="B135" s="366" t="s">
        <v>2113</v>
      </c>
      <c r="C135" s="366" t="s">
        <v>3213</v>
      </c>
    </row>
    <row r="136" spans="1:19" s="363" customFormat="1" ht="6.6" customHeight="1">
      <c r="A136" s="366"/>
      <c r="B136" s="366"/>
      <c r="F136" s="366"/>
      <c r="G136" s="1153"/>
      <c r="H136" s="1153"/>
      <c r="I136" s="1153"/>
      <c r="J136" s="1153"/>
      <c r="K136" s="1153"/>
      <c r="L136" s="1153"/>
      <c r="M136" s="1153"/>
      <c r="N136" s="1153"/>
      <c r="O136" s="1153"/>
      <c r="P136" s="1153"/>
      <c r="Q136" s="1145"/>
    </row>
    <row r="137" spans="1:19" s="363" customFormat="1" ht="8.25" customHeight="1">
      <c r="A137" s="1432" t="s">
        <v>676</v>
      </c>
      <c r="B137" s="1528"/>
      <c r="C137" s="1528"/>
      <c r="D137" s="1528"/>
      <c r="E137" s="1433"/>
      <c r="F137" s="1532" t="s">
        <v>3317</v>
      </c>
      <c r="G137" s="1533"/>
      <c r="H137" s="1536" t="s">
        <v>3318</v>
      </c>
      <c r="I137" s="1537"/>
      <c r="J137" s="1537"/>
      <c r="K137" s="1537"/>
      <c r="L137" s="1488" t="s">
        <v>3319</v>
      </c>
      <c r="M137" s="1489"/>
      <c r="N137" s="1489"/>
      <c r="O137" s="1490"/>
      <c r="P137" s="1488" t="s">
        <v>3320</v>
      </c>
      <c r="Q137" s="1513"/>
      <c r="R137" s="1501" t="s">
        <v>3321</v>
      </c>
      <c r="S137" s="1502"/>
    </row>
    <row r="138" spans="1:19" s="363" customFormat="1" ht="8.25" customHeight="1">
      <c r="A138" s="1361"/>
      <c r="B138" s="1529"/>
      <c r="C138" s="1529"/>
      <c r="D138" s="1529"/>
      <c r="E138" s="1363"/>
      <c r="F138" s="1534"/>
      <c r="G138" s="1535"/>
      <c r="H138" s="1538"/>
      <c r="I138" s="1539"/>
      <c r="J138" s="1539"/>
      <c r="K138" s="1539"/>
      <c r="L138" s="1491"/>
      <c r="M138" s="1492"/>
      <c r="N138" s="1492"/>
      <c r="O138" s="1493"/>
      <c r="P138" s="1514"/>
      <c r="Q138" s="1515"/>
      <c r="R138" s="1491"/>
      <c r="S138" s="1503"/>
    </row>
    <row r="139" spans="1:19" s="363" customFormat="1" ht="8.25" customHeight="1">
      <c r="A139" s="1361"/>
      <c r="B139" s="1529"/>
      <c r="C139" s="1529"/>
      <c r="D139" s="1529"/>
      <c r="E139" s="1363"/>
      <c r="F139" s="1534"/>
      <c r="G139" s="1535"/>
      <c r="H139" s="1538"/>
      <c r="I139" s="1539"/>
      <c r="J139" s="1539"/>
      <c r="K139" s="1539"/>
      <c r="L139" s="1491"/>
      <c r="M139" s="1492"/>
      <c r="N139" s="1492"/>
      <c r="O139" s="1493"/>
      <c r="P139" s="1514"/>
      <c r="Q139" s="1515"/>
      <c r="R139" s="1504"/>
      <c r="S139" s="1503"/>
    </row>
    <row r="140" spans="1:19" s="363" customFormat="1" ht="8.25" customHeight="1">
      <c r="A140" s="1361"/>
      <c r="B140" s="1529"/>
      <c r="C140" s="1529"/>
      <c r="D140" s="1529"/>
      <c r="E140" s="1363"/>
      <c r="F140" s="1534"/>
      <c r="G140" s="1535"/>
      <c r="H140" s="1538"/>
      <c r="I140" s="1539"/>
      <c r="J140" s="1539"/>
      <c r="K140" s="1539"/>
      <c r="L140" s="1491"/>
      <c r="M140" s="1492"/>
      <c r="N140" s="1492"/>
      <c r="O140" s="1493"/>
      <c r="P140" s="1514"/>
      <c r="Q140" s="1515"/>
      <c r="R140" s="1504"/>
      <c r="S140" s="1503"/>
    </row>
    <row r="141" spans="1:19" s="363" customFormat="1" ht="8.25" customHeight="1">
      <c r="A141" s="1530"/>
      <c r="B141" s="1410"/>
      <c r="C141" s="1410"/>
      <c r="D141" s="1410"/>
      <c r="E141" s="1531"/>
      <c r="F141" s="1534"/>
      <c r="G141" s="1535"/>
      <c r="H141" s="1540"/>
      <c r="I141" s="1541"/>
      <c r="J141" s="1541"/>
      <c r="K141" s="1541"/>
      <c r="L141" s="1494"/>
      <c r="M141" s="1495"/>
      <c r="N141" s="1495"/>
      <c r="O141" s="1496"/>
      <c r="P141" s="1516"/>
      <c r="Q141" s="1517"/>
      <c r="R141" s="1505"/>
      <c r="S141" s="1506"/>
    </row>
    <row r="142" spans="1:19" s="363" customFormat="1" ht="13.5" customHeight="1">
      <c r="A142" s="1525" t="s">
        <v>3308</v>
      </c>
      <c r="B142" s="1526"/>
      <c r="C142" s="1526"/>
      <c r="D142" s="1526"/>
      <c r="E142" s="1527"/>
      <c r="F142" s="1518" t="s">
        <v>3425</v>
      </c>
      <c r="G142" s="1518"/>
      <c r="H142" s="1518" t="s">
        <v>3425</v>
      </c>
      <c r="I142" s="1518"/>
      <c r="J142" s="1518"/>
      <c r="K142" s="1518"/>
      <c r="L142" s="1518" t="s">
        <v>3425</v>
      </c>
      <c r="M142" s="1518"/>
      <c r="N142" s="1518"/>
      <c r="O142" s="1518"/>
      <c r="P142" s="1497" t="s">
        <v>3484</v>
      </c>
      <c r="Q142" s="1498"/>
      <c r="R142" s="1499">
        <v>1E-4</v>
      </c>
      <c r="S142" s="1500"/>
    </row>
    <row r="143" spans="1:19" s="363" customFormat="1" ht="13.5" customHeight="1">
      <c r="A143" s="1477" t="s">
        <v>3309</v>
      </c>
      <c r="B143" s="1393"/>
      <c r="C143" s="1393"/>
      <c r="D143" s="1393"/>
      <c r="E143" s="1478"/>
      <c r="F143" s="1479"/>
      <c r="G143" s="1479"/>
      <c r="H143" s="1479"/>
      <c r="I143" s="1479"/>
      <c r="J143" s="1479"/>
      <c r="K143" s="1479"/>
      <c r="L143" s="1479"/>
      <c r="M143" s="1479"/>
      <c r="N143" s="1479"/>
      <c r="O143" s="1479"/>
      <c r="P143" s="1481"/>
      <c r="Q143" s="1482"/>
      <c r="R143" s="1483"/>
      <c r="S143" s="1484"/>
    </row>
    <row r="144" spans="1:19" s="363" customFormat="1" ht="13.5" customHeight="1">
      <c r="A144" s="1477" t="s">
        <v>3310</v>
      </c>
      <c r="B144" s="1393"/>
      <c r="C144" s="1393"/>
      <c r="D144" s="1393"/>
      <c r="E144" s="1478"/>
      <c r="F144" s="1479"/>
      <c r="G144" s="1479"/>
      <c r="H144" s="1479"/>
      <c r="I144" s="1479"/>
      <c r="J144" s="1479"/>
      <c r="K144" s="1479"/>
      <c r="L144" s="1479"/>
      <c r="M144" s="1479"/>
      <c r="N144" s="1479"/>
      <c r="O144" s="1479"/>
      <c r="P144" s="1481"/>
      <c r="Q144" s="1482"/>
      <c r="R144" s="1483"/>
      <c r="S144" s="1484"/>
    </row>
    <row r="145" spans="1:24" s="363" customFormat="1" ht="13.5" customHeight="1">
      <c r="A145" s="1477" t="s">
        <v>794</v>
      </c>
      <c r="B145" s="1393"/>
      <c r="C145" s="1393"/>
      <c r="D145" s="1393"/>
      <c r="E145" s="1478"/>
      <c r="F145" s="1479" t="s">
        <v>3425</v>
      </c>
      <c r="G145" s="1479"/>
      <c r="H145" s="1479" t="s">
        <v>3425</v>
      </c>
      <c r="I145" s="1479"/>
      <c r="J145" s="1479"/>
      <c r="K145" s="1479"/>
      <c r="L145" s="1479" t="s">
        <v>3425</v>
      </c>
      <c r="M145" s="1479"/>
      <c r="N145" s="1479"/>
      <c r="O145" s="1479"/>
      <c r="P145" s="1481" t="s">
        <v>3484</v>
      </c>
      <c r="Q145" s="1482"/>
      <c r="R145" s="1483">
        <v>0.99980000000000002</v>
      </c>
      <c r="S145" s="1484"/>
    </row>
    <row r="146" spans="1:24" s="363" customFormat="1" ht="13.5" customHeight="1">
      <c r="A146" s="1477" t="s">
        <v>795</v>
      </c>
      <c r="B146" s="1393"/>
      <c r="C146" s="1393"/>
      <c r="D146" s="1393"/>
      <c r="E146" s="1478"/>
      <c r="F146" s="1479" t="s">
        <v>3425</v>
      </c>
      <c r="G146" s="1479"/>
      <c r="H146" s="1479" t="s">
        <v>3425</v>
      </c>
      <c r="I146" s="1479"/>
      <c r="J146" s="1479"/>
      <c r="K146" s="1479"/>
      <c r="L146" s="1479" t="s">
        <v>3425</v>
      </c>
      <c r="M146" s="1479"/>
      <c r="N146" s="1479"/>
      <c r="O146" s="1479"/>
      <c r="P146" s="1481" t="s">
        <v>3484</v>
      </c>
      <c r="Q146" s="1482"/>
      <c r="R146" s="1483">
        <v>1E-4</v>
      </c>
      <c r="S146" s="1484"/>
    </row>
    <row r="147" spans="1:24" s="363" customFormat="1" ht="13.5" customHeight="1">
      <c r="A147" s="1477" t="s">
        <v>3311</v>
      </c>
      <c r="B147" s="1393"/>
      <c r="C147" s="1393"/>
      <c r="D147" s="1393"/>
      <c r="E147" s="1478"/>
      <c r="F147" s="1479"/>
      <c r="G147" s="1479"/>
      <c r="H147" s="1479"/>
      <c r="I147" s="1479"/>
      <c r="J147" s="1479"/>
      <c r="K147" s="1479"/>
      <c r="L147" s="1479"/>
      <c r="M147" s="1479"/>
      <c r="N147" s="1479"/>
      <c r="O147" s="1479"/>
      <c r="P147" s="1481"/>
      <c r="Q147" s="1482"/>
      <c r="R147" s="1483"/>
      <c r="S147" s="1484"/>
    </row>
    <row r="148" spans="1:24" s="363" customFormat="1" ht="13.5" customHeight="1">
      <c r="A148" s="1477" t="s">
        <v>692</v>
      </c>
      <c r="B148" s="1393"/>
      <c r="C148" s="1393"/>
      <c r="D148" s="1393"/>
      <c r="E148" s="1478"/>
      <c r="F148" s="1479" t="s">
        <v>3425</v>
      </c>
      <c r="G148" s="1479"/>
      <c r="H148" s="1479" t="s">
        <v>3425</v>
      </c>
      <c r="I148" s="1479"/>
      <c r="J148" s="1479"/>
      <c r="K148" s="1479"/>
      <c r="L148" s="1479" t="s">
        <v>3425</v>
      </c>
      <c r="M148" s="1479"/>
      <c r="N148" s="1479"/>
      <c r="O148" s="1479"/>
      <c r="P148" s="1481" t="s">
        <v>3484</v>
      </c>
      <c r="Q148" s="1482"/>
      <c r="R148" s="1483"/>
      <c r="S148" s="1484"/>
    </row>
    <row r="149" spans="1:24" s="363" customFormat="1" ht="13.5" customHeight="1">
      <c r="A149" s="1477" t="s">
        <v>3312</v>
      </c>
      <c r="B149" s="1393"/>
      <c r="C149" s="1393"/>
      <c r="D149" s="1393"/>
      <c r="E149" s="1478"/>
      <c r="F149" s="1479"/>
      <c r="G149" s="1479"/>
      <c r="H149" s="1479"/>
      <c r="I149" s="1479"/>
      <c r="J149" s="1479"/>
      <c r="K149" s="1479"/>
      <c r="L149" s="1479"/>
      <c r="M149" s="1479"/>
      <c r="N149" s="1479"/>
      <c r="O149" s="1479"/>
      <c r="P149" s="1481"/>
      <c r="Q149" s="1482"/>
      <c r="R149" s="1483"/>
      <c r="S149" s="1484"/>
    </row>
    <row r="150" spans="1:24" s="363" customFormat="1" ht="13.5" customHeight="1">
      <c r="A150" s="1477" t="s">
        <v>3313</v>
      </c>
      <c r="B150" s="1393"/>
      <c r="C150" s="1393"/>
      <c r="D150" s="1393"/>
      <c r="E150" s="1478"/>
      <c r="F150" s="1479"/>
      <c r="G150" s="1479"/>
      <c r="H150" s="1479"/>
      <c r="I150" s="1479"/>
      <c r="J150" s="1479"/>
      <c r="K150" s="1479"/>
      <c r="L150" s="1479"/>
      <c r="M150" s="1479"/>
      <c r="N150" s="1479"/>
      <c r="O150" s="1479"/>
      <c r="P150" s="1481"/>
      <c r="Q150" s="1482"/>
      <c r="R150" s="1483"/>
      <c r="S150" s="1484"/>
    </row>
    <row r="151" spans="1:24" s="363" customFormat="1" ht="13.5" customHeight="1">
      <c r="A151" s="1477" t="s">
        <v>3315</v>
      </c>
      <c r="B151" s="1393"/>
      <c r="C151" s="1393"/>
      <c r="D151" s="1393"/>
      <c r="E151" s="1478"/>
      <c r="F151" s="1479"/>
      <c r="G151" s="1479"/>
      <c r="H151" s="1479"/>
      <c r="I151" s="1479"/>
      <c r="J151" s="1479"/>
      <c r="K151" s="1479"/>
      <c r="L151" s="1479"/>
      <c r="M151" s="1479"/>
      <c r="N151" s="1479"/>
      <c r="O151" s="1479"/>
      <c r="P151" s="1481"/>
      <c r="Q151" s="1482"/>
      <c r="R151" s="1483"/>
      <c r="S151" s="1484"/>
    </row>
    <row r="152" spans="1:24" s="363" customFormat="1" ht="13.5" customHeight="1">
      <c r="A152" s="1477" t="s">
        <v>3314</v>
      </c>
      <c r="B152" s="1393"/>
      <c r="C152" s="1393"/>
      <c r="D152" s="1393"/>
      <c r="E152" s="1478"/>
      <c r="F152" s="1479"/>
      <c r="G152" s="1479"/>
      <c r="H152" s="1479"/>
      <c r="I152" s="1479"/>
      <c r="J152" s="1479"/>
      <c r="K152" s="1479"/>
      <c r="L152" s="1479"/>
      <c r="M152" s="1479"/>
      <c r="N152" s="1479"/>
      <c r="O152" s="1479"/>
      <c r="P152" s="1481"/>
      <c r="Q152" s="1482"/>
      <c r="R152" s="1483"/>
      <c r="S152" s="1484"/>
    </row>
    <row r="153" spans="1:24" s="363" customFormat="1" ht="13.5" customHeight="1">
      <c r="A153" s="1477" t="s">
        <v>1627</v>
      </c>
      <c r="B153" s="1393"/>
      <c r="C153" s="1393"/>
      <c r="D153" s="1393"/>
      <c r="E153" s="1478"/>
      <c r="F153" s="1479" t="s">
        <v>3425</v>
      </c>
      <c r="G153" s="1479"/>
      <c r="H153" s="1479" t="s">
        <v>3425</v>
      </c>
      <c r="I153" s="1479"/>
      <c r="J153" s="1479"/>
      <c r="K153" s="1479"/>
      <c r="L153" s="1479" t="s">
        <v>3425</v>
      </c>
      <c r="M153" s="1479"/>
      <c r="N153" s="1479"/>
      <c r="O153" s="1479"/>
      <c r="P153" s="1481" t="s">
        <v>3484</v>
      </c>
      <c r="Q153" s="1482"/>
      <c r="R153" s="1483"/>
      <c r="S153" s="1484"/>
    </row>
    <row r="154" spans="1:24" s="363" customFormat="1" ht="13.5" customHeight="1">
      <c r="A154" s="1474" t="s">
        <v>3316</v>
      </c>
      <c r="B154" s="1475"/>
      <c r="C154" s="1475"/>
      <c r="D154" s="1475"/>
      <c r="E154" s="1476"/>
      <c r="F154" s="1480" t="s">
        <v>3425</v>
      </c>
      <c r="G154" s="1480"/>
      <c r="H154" s="1480" t="s">
        <v>3425</v>
      </c>
      <c r="I154" s="1480"/>
      <c r="J154" s="1480"/>
      <c r="K154" s="1480"/>
      <c r="L154" s="1480" t="s">
        <v>3425</v>
      </c>
      <c r="M154" s="1480"/>
      <c r="N154" s="1480"/>
      <c r="O154" s="1480"/>
      <c r="P154" s="1470" t="s">
        <v>3484</v>
      </c>
      <c r="Q154" s="1471"/>
      <c r="R154" s="1472"/>
      <c r="S154" s="1473"/>
    </row>
    <row r="155" spans="1:24" s="1156" customFormat="1" ht="13.9" customHeight="1">
      <c r="G155" s="375"/>
      <c r="H155" s="375"/>
      <c r="I155" s="375"/>
      <c r="J155" s="1153"/>
      <c r="K155" s="1153"/>
      <c r="L155" s="1153"/>
      <c r="M155" s="1153"/>
      <c r="P155" s="373"/>
      <c r="Q155" s="390" t="s">
        <v>567</v>
      </c>
      <c r="R155" s="1468">
        <f>SUM(R142:S154)</f>
        <v>1</v>
      </c>
      <c r="S155" s="1469"/>
    </row>
    <row r="156" spans="1:24" s="1156" customFormat="1" ht="12" customHeight="1">
      <c r="G156" s="375"/>
      <c r="H156" s="375"/>
      <c r="I156" s="375"/>
      <c r="J156" s="1153"/>
      <c r="K156" s="1153"/>
      <c r="L156" s="1153"/>
      <c r="M156" s="1153"/>
      <c r="P156" s="373"/>
      <c r="R156" s="364"/>
      <c r="S156" s="414"/>
    </row>
    <row r="157" spans="1:24" ht="12" customHeight="1">
      <c r="A157" s="392" t="s">
        <v>1909</v>
      </c>
      <c r="B157" s="406"/>
      <c r="C157" s="392" t="s">
        <v>603</v>
      </c>
      <c r="N157" s="392" t="s">
        <v>558</v>
      </c>
      <c r="O157" s="392" t="s">
        <v>82</v>
      </c>
    </row>
    <row r="158" spans="1:24" ht="3.6" customHeight="1">
      <c r="B158" s="406"/>
    </row>
    <row r="159" spans="1:24" ht="192.75" customHeight="1">
      <c r="A159" s="1439"/>
      <c r="B159" s="1440"/>
      <c r="C159" s="1440"/>
      <c r="D159" s="1440"/>
      <c r="E159" s="1440"/>
      <c r="F159" s="1440"/>
      <c r="G159" s="1440"/>
      <c r="H159" s="1440"/>
      <c r="I159" s="1440"/>
      <c r="J159" s="1440"/>
      <c r="K159" s="1440"/>
      <c r="L159" s="1440"/>
      <c r="M159" s="1441"/>
      <c r="N159" s="1442"/>
      <c r="O159" s="1443"/>
      <c r="P159" s="1443"/>
      <c r="Q159" s="1443"/>
      <c r="R159" s="1443"/>
      <c r="S159" s="1444"/>
      <c r="T159" s="1352" t="s">
        <v>2914</v>
      </c>
      <c r="U159" s="1352"/>
      <c r="V159" s="1352"/>
      <c r="W159" s="1352"/>
      <c r="X159" s="1352"/>
    </row>
    <row r="160" spans="1:24" s="363" customFormat="1" ht="12" customHeight="1">
      <c r="A160" s="370"/>
      <c r="B160" s="383"/>
      <c r="C160" s="383"/>
      <c r="D160" s="383"/>
      <c r="E160" s="383"/>
      <c r="F160" s="383"/>
      <c r="G160" s="383"/>
      <c r="H160" s="383"/>
      <c r="I160" s="383"/>
      <c r="J160" s="383"/>
      <c r="K160" s="383"/>
      <c r="L160" s="383"/>
      <c r="M160" s="383"/>
      <c r="N160" s="383"/>
      <c r="O160" s="383"/>
      <c r="T160" s="1352"/>
      <c r="U160" s="1352"/>
      <c r="V160" s="1352"/>
      <c r="W160" s="1352"/>
      <c r="X160" s="1352"/>
    </row>
    <row r="161" spans="1:16" s="363" customFormat="1" ht="12" customHeight="1">
      <c r="A161" s="621"/>
      <c r="B161" s="383"/>
      <c r="C161" s="383"/>
      <c r="D161" s="383"/>
      <c r="E161" s="383"/>
      <c r="F161" s="383"/>
      <c r="G161" s="383"/>
      <c r="H161" s="383"/>
      <c r="I161" s="383"/>
      <c r="J161" s="383"/>
      <c r="K161" s="383"/>
      <c r="L161" s="383"/>
      <c r="M161" s="383"/>
      <c r="N161" s="383"/>
      <c r="O161" s="383"/>
    </row>
    <row r="162" spans="1:16" s="363" customFormat="1" ht="12" customHeight="1">
      <c r="A162" s="370"/>
      <c r="B162" s="383"/>
      <c r="C162" s="383"/>
      <c r="D162" s="383"/>
      <c r="E162" s="383"/>
      <c r="F162" s="383"/>
      <c r="G162" s="383"/>
      <c r="H162" s="383"/>
      <c r="I162" s="383"/>
      <c r="J162" s="383"/>
      <c r="K162" s="383"/>
      <c r="L162" s="383"/>
      <c r="M162" s="383"/>
      <c r="N162" s="383"/>
      <c r="O162" s="383"/>
    </row>
    <row r="163" spans="1:16" s="363" customFormat="1" ht="12" customHeight="1">
      <c r="A163" s="370"/>
      <c r="B163" s="383"/>
      <c r="C163" s="383"/>
      <c r="D163" s="383"/>
      <c r="E163" s="383"/>
      <c r="F163" s="383"/>
      <c r="G163" s="383"/>
      <c r="H163" s="383"/>
      <c r="I163" s="383"/>
      <c r="J163" s="383"/>
      <c r="K163" s="383"/>
      <c r="L163" s="383"/>
      <c r="M163" s="383"/>
      <c r="N163" s="383"/>
      <c r="O163" s="383"/>
    </row>
    <row r="164" spans="1:16" s="363" customFormat="1" ht="12" customHeight="1">
      <c r="B164" s="383"/>
      <c r="C164" s="383"/>
      <c r="D164" s="383"/>
      <c r="E164" s="383"/>
      <c r="F164" s="383"/>
      <c r="G164" s="383"/>
      <c r="H164" s="383"/>
      <c r="I164" s="383"/>
      <c r="J164" s="383"/>
      <c r="K164" s="383"/>
      <c r="L164" s="383"/>
      <c r="M164" s="383"/>
      <c r="N164" s="383"/>
      <c r="O164" s="383"/>
      <c r="P164" s="1255" t="s">
        <v>1914</v>
      </c>
    </row>
    <row r="165" spans="1:16" s="363" customFormat="1" ht="12" customHeight="1">
      <c r="A165" s="407"/>
      <c r="B165" s="383"/>
      <c r="C165" s="383"/>
      <c r="D165" s="383"/>
      <c r="E165" s="383"/>
      <c r="F165" s="383"/>
      <c r="G165" s="383"/>
      <c r="H165" s="383"/>
      <c r="I165" s="383"/>
      <c r="J165" s="383"/>
      <c r="K165" s="383"/>
      <c r="L165" s="383"/>
      <c r="M165" s="383"/>
      <c r="N165" s="383"/>
      <c r="O165" s="383"/>
      <c r="P165" s="1256" t="s">
        <v>886</v>
      </c>
    </row>
    <row r="166" spans="1:16" s="363" customFormat="1" ht="12" customHeight="1">
      <c r="A166" s="407"/>
      <c r="B166" s="383"/>
      <c r="C166" s="383"/>
      <c r="D166" s="383"/>
      <c r="E166" s="383"/>
      <c r="F166" s="383"/>
      <c r="G166" s="383"/>
      <c r="H166" s="383"/>
      <c r="I166" s="383"/>
      <c r="J166" s="383"/>
      <c r="K166" s="383"/>
      <c r="L166" s="383"/>
      <c r="M166" s="383"/>
      <c r="N166" s="383"/>
      <c r="O166" s="383"/>
      <c r="P166" s="1256" t="s">
        <v>887</v>
      </c>
    </row>
    <row r="167" spans="1:16" s="363" customFormat="1" ht="12" customHeight="1">
      <c r="A167" s="407"/>
      <c r="B167" s="383"/>
      <c r="C167" s="383"/>
      <c r="D167" s="383"/>
      <c r="E167" s="383"/>
      <c r="F167" s="383"/>
      <c r="G167" s="383"/>
      <c r="H167" s="383"/>
      <c r="I167" s="383"/>
      <c r="J167" s="383"/>
      <c r="K167" s="383"/>
      <c r="L167" s="383"/>
      <c r="M167" s="383"/>
      <c r="N167" s="383"/>
      <c r="O167" s="383"/>
      <c r="P167" s="1256" t="s">
        <v>888</v>
      </c>
    </row>
    <row r="168" spans="1:16" s="363" customFormat="1" ht="12" customHeight="1">
      <c r="A168" s="621"/>
      <c r="B168" s="383"/>
      <c r="C168" s="383"/>
      <c r="D168" s="383"/>
      <c r="E168" s="383"/>
      <c r="F168" s="383"/>
      <c r="G168" s="383"/>
      <c r="H168" s="383"/>
      <c r="I168" s="383"/>
      <c r="J168" s="383"/>
      <c r="K168" s="383"/>
      <c r="L168" s="383"/>
      <c r="M168" s="383"/>
      <c r="N168" s="383"/>
      <c r="O168" s="383"/>
      <c r="P168" s="1256" t="s">
        <v>889</v>
      </c>
    </row>
    <row r="169" spans="1:16" s="363" customFormat="1" ht="12" customHeight="1">
      <c r="B169" s="383"/>
      <c r="C169" s="383"/>
      <c r="D169" s="383"/>
      <c r="E169" s="383"/>
      <c r="F169" s="383"/>
      <c r="G169" s="383"/>
      <c r="H169" s="383"/>
      <c r="I169" s="383"/>
      <c r="J169" s="383"/>
      <c r="K169" s="383"/>
      <c r="L169" s="383"/>
      <c r="M169" s="383"/>
      <c r="N169" s="383"/>
      <c r="O169" s="383"/>
      <c r="P169" s="1256" t="s">
        <v>890</v>
      </c>
    </row>
    <row r="170" spans="1:16" s="363" customFormat="1" ht="12" customHeight="1">
      <c r="B170" s="383"/>
      <c r="C170" s="383"/>
      <c r="D170" s="383"/>
      <c r="E170" s="383"/>
      <c r="F170" s="383"/>
      <c r="G170" s="383"/>
      <c r="H170" s="383"/>
      <c r="I170" s="383"/>
      <c r="J170" s="383"/>
      <c r="K170" s="383"/>
      <c r="L170" s="383"/>
      <c r="M170" s="383"/>
      <c r="N170" s="383"/>
      <c r="O170" s="383"/>
      <c r="P170" s="1256" t="s">
        <v>891</v>
      </c>
    </row>
    <row r="171" spans="1:16" s="363" customFormat="1" ht="12" customHeight="1">
      <c r="B171" s="383"/>
      <c r="C171" s="383"/>
      <c r="D171" s="383"/>
      <c r="E171" s="383"/>
      <c r="F171" s="383"/>
      <c r="G171" s="383"/>
      <c r="H171" s="383"/>
      <c r="I171" s="383"/>
      <c r="J171" s="383"/>
      <c r="K171" s="383"/>
      <c r="L171" s="383"/>
      <c r="M171" s="383"/>
      <c r="N171" s="383"/>
      <c r="O171" s="383"/>
      <c r="P171" s="1256" t="s">
        <v>892</v>
      </c>
    </row>
    <row r="172" spans="1:16" s="363" customFormat="1" ht="12" customHeight="1">
      <c r="B172" s="383"/>
      <c r="C172" s="383"/>
      <c r="D172" s="383"/>
      <c r="E172" s="383"/>
      <c r="F172" s="383"/>
      <c r="G172" s="383"/>
      <c r="H172" s="383"/>
      <c r="I172" s="383"/>
      <c r="J172" s="383"/>
      <c r="K172" s="383"/>
      <c r="L172" s="383"/>
      <c r="M172" s="383"/>
      <c r="N172" s="383"/>
      <c r="O172" s="383"/>
      <c r="P172" s="1256" t="s">
        <v>893</v>
      </c>
    </row>
    <row r="173" spans="1:16" ht="12" customHeight="1">
      <c r="P173" s="1256" t="s">
        <v>894</v>
      </c>
    </row>
    <row r="174" spans="1:16" ht="12" customHeight="1">
      <c r="A174" s="392"/>
      <c r="P174" s="1256" t="s">
        <v>895</v>
      </c>
    </row>
    <row r="175" spans="1:16" ht="12" customHeight="1">
      <c r="P175" s="1256" t="s">
        <v>896</v>
      </c>
    </row>
    <row r="176" spans="1:16" ht="12" customHeight="1">
      <c r="P176" s="1256" t="s">
        <v>897</v>
      </c>
    </row>
    <row r="177" spans="16:16" ht="12" customHeight="1">
      <c r="P177" s="1256" t="s">
        <v>898</v>
      </c>
    </row>
    <row r="178" spans="16:16" ht="12" customHeight="1">
      <c r="P178" s="1256" t="s">
        <v>899</v>
      </c>
    </row>
    <row r="179" spans="16:16" ht="12" customHeight="1">
      <c r="P179" s="1256" t="s">
        <v>900</v>
      </c>
    </row>
    <row r="180" spans="16:16" ht="12" customHeight="1">
      <c r="P180" s="1256" t="s">
        <v>901</v>
      </c>
    </row>
    <row r="181" spans="16:16" ht="12" customHeight="1">
      <c r="P181" s="1256" t="s">
        <v>902</v>
      </c>
    </row>
    <row r="182" spans="16:16" ht="12" customHeight="1">
      <c r="P182" s="1256" t="s">
        <v>903</v>
      </c>
    </row>
    <row r="183" spans="16:16" ht="12" customHeight="1">
      <c r="P183" s="1256" t="s">
        <v>904</v>
      </c>
    </row>
    <row r="184" spans="16:16" ht="12" customHeight="1">
      <c r="P184" s="1256" t="s">
        <v>905</v>
      </c>
    </row>
    <row r="185" spans="16:16" ht="12" customHeight="1">
      <c r="P185" s="1256" t="s">
        <v>906</v>
      </c>
    </row>
    <row r="186" spans="16:16" ht="12" customHeight="1">
      <c r="P186" s="1256" t="s">
        <v>907</v>
      </c>
    </row>
    <row r="187" spans="16:16" ht="12" customHeight="1">
      <c r="P187" s="1256" t="s">
        <v>908</v>
      </c>
    </row>
    <row r="188" spans="16:16" ht="12" customHeight="1">
      <c r="P188" s="1256" t="s">
        <v>909</v>
      </c>
    </row>
    <row r="189" spans="16:16" ht="12" customHeight="1">
      <c r="P189" s="1256" t="s">
        <v>910</v>
      </c>
    </row>
    <row r="190" spans="16:16" ht="12" customHeight="1">
      <c r="P190" s="1256" t="s">
        <v>1422</v>
      </c>
    </row>
    <row r="191" spans="16:16" ht="12" customHeight="1">
      <c r="P191" s="1256" t="s">
        <v>1423</v>
      </c>
    </row>
    <row r="192" spans="16:16" ht="12" customHeight="1">
      <c r="P192" s="1256" t="s">
        <v>1424</v>
      </c>
    </row>
    <row r="193" spans="16:16" ht="12" customHeight="1">
      <c r="P193" s="1256" t="s">
        <v>1425</v>
      </c>
    </row>
    <row r="194" spans="16:16" ht="12" customHeight="1">
      <c r="P194" s="1256" t="s">
        <v>1426</v>
      </c>
    </row>
    <row r="195" spans="16:16" ht="13.5">
      <c r="P195" s="1256" t="s">
        <v>1427</v>
      </c>
    </row>
    <row r="196" spans="16:16" ht="12" customHeight="1">
      <c r="P196" s="1256" t="s">
        <v>1428</v>
      </c>
    </row>
    <row r="197" spans="16:16" ht="12" customHeight="1">
      <c r="P197" s="1256" t="s">
        <v>1429</v>
      </c>
    </row>
    <row r="198" spans="16:16" ht="12" customHeight="1">
      <c r="P198" s="1256" t="s">
        <v>1430</v>
      </c>
    </row>
    <row r="199" spans="16:16" ht="12" customHeight="1">
      <c r="P199" s="1256" t="s">
        <v>1431</v>
      </c>
    </row>
    <row r="200" spans="16:16" ht="12" customHeight="1">
      <c r="P200" s="1256" t="s">
        <v>1432</v>
      </c>
    </row>
    <row r="201" spans="16:16" ht="12" customHeight="1">
      <c r="P201" s="1256" t="s">
        <v>1433</v>
      </c>
    </row>
    <row r="202" spans="16:16" ht="12" customHeight="1">
      <c r="P202" s="1256" t="s">
        <v>1434</v>
      </c>
    </row>
    <row r="203" spans="16:16" ht="12" customHeight="1">
      <c r="P203" s="1256" t="s">
        <v>1435</v>
      </c>
    </row>
    <row r="204" spans="16:16" ht="12" customHeight="1">
      <c r="P204" s="1256" t="s">
        <v>1436</v>
      </c>
    </row>
    <row r="205" spans="16:16" ht="12" customHeight="1">
      <c r="P205" s="1256" t="s">
        <v>1437</v>
      </c>
    </row>
    <row r="206" spans="16:16" ht="12" customHeight="1">
      <c r="P206" s="1256" t="s">
        <v>1438</v>
      </c>
    </row>
    <row r="207" spans="16:16" ht="12" customHeight="1">
      <c r="P207" s="1256" t="s">
        <v>1439</v>
      </c>
    </row>
    <row r="208" spans="16:16" ht="12" customHeight="1">
      <c r="P208" s="1256" t="s">
        <v>1440</v>
      </c>
    </row>
    <row r="209" spans="16:16" ht="12" customHeight="1">
      <c r="P209" s="1256" t="s">
        <v>1441</v>
      </c>
    </row>
    <row r="210" spans="16:16" ht="12" customHeight="1">
      <c r="P210" s="1256" t="s">
        <v>1442</v>
      </c>
    </row>
    <row r="211" spans="16:16" ht="12" customHeight="1">
      <c r="P211" s="1256" t="s">
        <v>1443</v>
      </c>
    </row>
    <row r="212" spans="16:16" ht="12" customHeight="1">
      <c r="P212" s="1256" t="s">
        <v>1444</v>
      </c>
    </row>
    <row r="213" spans="16:16" ht="12" customHeight="1">
      <c r="P213" s="1256" t="s">
        <v>1445</v>
      </c>
    </row>
    <row r="214" spans="16:16" ht="12" customHeight="1">
      <c r="P214" s="1256" t="s">
        <v>1446</v>
      </c>
    </row>
    <row r="215" spans="16:16" ht="12" customHeight="1">
      <c r="P215" s="1256" t="s">
        <v>1447</v>
      </c>
    </row>
  </sheetData>
  <sheetProtection password="ACD2" sheet="1" objects="1" scenarios="1" formatColumns="0" formatRows="0"/>
  <mergeCells count="302">
    <mergeCell ref="F144:G144"/>
    <mergeCell ref="F145:G145"/>
    <mergeCell ref="F146:G146"/>
    <mergeCell ref="F147:G147"/>
    <mergeCell ref="F148:G148"/>
    <mergeCell ref="F149:G149"/>
    <mergeCell ref="F150:G150"/>
    <mergeCell ref="F151:G151"/>
    <mergeCell ref="F152:G152"/>
    <mergeCell ref="A143:E143"/>
    <mergeCell ref="A142:E142"/>
    <mergeCell ref="A137:E141"/>
    <mergeCell ref="F137:G141"/>
    <mergeCell ref="H137:K141"/>
    <mergeCell ref="F142:G142"/>
    <mergeCell ref="H142:K142"/>
    <mergeCell ref="F143:G143"/>
    <mergeCell ref="H143:K143"/>
    <mergeCell ref="A152:E152"/>
    <mergeCell ref="A151:E151"/>
    <mergeCell ref="A150:E150"/>
    <mergeCell ref="A149:E149"/>
    <mergeCell ref="A148:E148"/>
    <mergeCell ref="A147:E147"/>
    <mergeCell ref="A146:E146"/>
    <mergeCell ref="A145:E145"/>
    <mergeCell ref="A144:E144"/>
    <mergeCell ref="M8:N8"/>
    <mergeCell ref="A1:S1"/>
    <mergeCell ref="H5:N5"/>
    <mergeCell ref="Q5:S5"/>
    <mergeCell ref="H6:N6"/>
    <mergeCell ref="Q6:S6"/>
    <mergeCell ref="H7:J7"/>
    <mergeCell ref="Q7:S7"/>
    <mergeCell ref="J8:K8"/>
    <mergeCell ref="Q8:S8"/>
    <mergeCell ref="L7:N7"/>
    <mergeCell ref="H17:N17"/>
    <mergeCell ref="Q17:S17"/>
    <mergeCell ref="H18:J18"/>
    <mergeCell ref="Q18:S18"/>
    <mergeCell ref="H9:I9"/>
    <mergeCell ref="H24:J24"/>
    <mergeCell ref="Q24:S24"/>
    <mergeCell ref="J25:K25"/>
    <mergeCell ref="H38:J38"/>
    <mergeCell ref="L9:M9"/>
    <mergeCell ref="O9:S9"/>
    <mergeCell ref="L24:N24"/>
    <mergeCell ref="H16:N16"/>
    <mergeCell ref="Q16:S16"/>
    <mergeCell ref="H22:N22"/>
    <mergeCell ref="Q22:S22"/>
    <mergeCell ref="H23:N23"/>
    <mergeCell ref="Q23:S23"/>
    <mergeCell ref="J19:K19"/>
    <mergeCell ref="Q19:S19"/>
    <mergeCell ref="H20:I20"/>
    <mergeCell ref="L20:M20"/>
    <mergeCell ref="O20:S20"/>
    <mergeCell ref="L18:N18"/>
    <mergeCell ref="Q39:S39"/>
    <mergeCell ref="H36:N36"/>
    <mergeCell ref="Q36:S36"/>
    <mergeCell ref="H37:N37"/>
    <mergeCell ref="Q37:S37"/>
    <mergeCell ref="Q25:S25"/>
    <mergeCell ref="J31:K31"/>
    <mergeCell ref="Q31:S31"/>
    <mergeCell ref="H32:I32"/>
    <mergeCell ref="L32:M32"/>
    <mergeCell ref="O32:S32"/>
    <mergeCell ref="H29:N29"/>
    <mergeCell ref="Q29:S29"/>
    <mergeCell ref="H30:J30"/>
    <mergeCell ref="Q30:S30"/>
    <mergeCell ref="H26:I26"/>
    <mergeCell ref="L26:M26"/>
    <mergeCell ref="O26:S26"/>
    <mergeCell ref="H28:N28"/>
    <mergeCell ref="Q28:S28"/>
    <mergeCell ref="Q38:S38"/>
    <mergeCell ref="L30:N30"/>
    <mergeCell ref="L38:N38"/>
    <mergeCell ref="J39:K39"/>
    <mergeCell ref="Q43:S43"/>
    <mergeCell ref="H44:J44"/>
    <mergeCell ref="Q44:S44"/>
    <mergeCell ref="H40:I40"/>
    <mergeCell ref="L40:M40"/>
    <mergeCell ref="O40:S40"/>
    <mergeCell ref="H42:N42"/>
    <mergeCell ref="Q42:S42"/>
    <mergeCell ref="H52:J52"/>
    <mergeCell ref="Q52:S52"/>
    <mergeCell ref="L44:N44"/>
    <mergeCell ref="L52:N52"/>
    <mergeCell ref="H43:N43"/>
    <mergeCell ref="Q53:S53"/>
    <mergeCell ref="H50:N50"/>
    <mergeCell ref="Q50:S50"/>
    <mergeCell ref="H51:N51"/>
    <mergeCell ref="Q51:S51"/>
    <mergeCell ref="J45:K45"/>
    <mergeCell ref="Q45:S45"/>
    <mergeCell ref="H46:I46"/>
    <mergeCell ref="L46:M46"/>
    <mergeCell ref="O46:S46"/>
    <mergeCell ref="J53:K53"/>
    <mergeCell ref="Q59:S59"/>
    <mergeCell ref="H60:J60"/>
    <mergeCell ref="Q60:S60"/>
    <mergeCell ref="H54:I54"/>
    <mergeCell ref="L54:M54"/>
    <mergeCell ref="O54:S54"/>
    <mergeCell ref="H58:N58"/>
    <mergeCell ref="Q58:S58"/>
    <mergeCell ref="H66:J66"/>
    <mergeCell ref="Q66:S66"/>
    <mergeCell ref="L60:N60"/>
    <mergeCell ref="L66:N66"/>
    <mergeCell ref="H59:N59"/>
    <mergeCell ref="Q67:S67"/>
    <mergeCell ref="H64:N64"/>
    <mergeCell ref="Q64:S64"/>
    <mergeCell ref="H65:N65"/>
    <mergeCell ref="Q65:S65"/>
    <mergeCell ref="J61:K61"/>
    <mergeCell ref="Q61:S61"/>
    <mergeCell ref="H62:I62"/>
    <mergeCell ref="L62:M62"/>
    <mergeCell ref="O62:S62"/>
    <mergeCell ref="J67:K67"/>
    <mergeCell ref="Q71:S71"/>
    <mergeCell ref="H72:J72"/>
    <mergeCell ref="Q72:S72"/>
    <mergeCell ref="H68:I68"/>
    <mergeCell ref="L68:M68"/>
    <mergeCell ref="O68:S68"/>
    <mergeCell ref="H70:N70"/>
    <mergeCell ref="Q70:S70"/>
    <mergeCell ref="H78:J78"/>
    <mergeCell ref="Q78:S78"/>
    <mergeCell ref="L72:N72"/>
    <mergeCell ref="L78:N78"/>
    <mergeCell ref="H71:N71"/>
    <mergeCell ref="J79:K79"/>
    <mergeCell ref="Q79:S79"/>
    <mergeCell ref="H76:N76"/>
    <mergeCell ref="Q76:S76"/>
    <mergeCell ref="H77:N77"/>
    <mergeCell ref="Q77:S77"/>
    <mergeCell ref="J73:K73"/>
    <mergeCell ref="Q73:S73"/>
    <mergeCell ref="H74:I74"/>
    <mergeCell ref="L74:M74"/>
    <mergeCell ref="O74:S74"/>
    <mergeCell ref="H85:N85"/>
    <mergeCell ref="Q85:S85"/>
    <mergeCell ref="H86:J86"/>
    <mergeCell ref="Q86:S86"/>
    <mergeCell ref="H80:I80"/>
    <mergeCell ref="L80:M80"/>
    <mergeCell ref="O80:S80"/>
    <mergeCell ref="H84:N84"/>
    <mergeCell ref="Q84:S84"/>
    <mergeCell ref="L86:N86"/>
    <mergeCell ref="H92:J92"/>
    <mergeCell ref="Q92:S92"/>
    <mergeCell ref="J93:K93"/>
    <mergeCell ref="Q93:S93"/>
    <mergeCell ref="H90:N90"/>
    <mergeCell ref="Q90:S90"/>
    <mergeCell ref="H91:N91"/>
    <mergeCell ref="Q91:S91"/>
    <mergeCell ref="J87:K87"/>
    <mergeCell ref="Q87:S87"/>
    <mergeCell ref="H88:I88"/>
    <mergeCell ref="L88:M88"/>
    <mergeCell ref="O88:S88"/>
    <mergeCell ref="L92:N92"/>
    <mergeCell ref="H97:N97"/>
    <mergeCell ref="Q97:S97"/>
    <mergeCell ref="H98:J98"/>
    <mergeCell ref="Q98:S98"/>
    <mergeCell ref="H94:I94"/>
    <mergeCell ref="L94:M94"/>
    <mergeCell ref="O94:S94"/>
    <mergeCell ref="H96:N96"/>
    <mergeCell ref="Q96:S96"/>
    <mergeCell ref="L98:N98"/>
    <mergeCell ref="H102:N102"/>
    <mergeCell ref="Q102:S102"/>
    <mergeCell ref="H103:N103"/>
    <mergeCell ref="Q103:S103"/>
    <mergeCell ref="J99:K99"/>
    <mergeCell ref="Q99:S99"/>
    <mergeCell ref="H100:I100"/>
    <mergeCell ref="L100:M100"/>
    <mergeCell ref="O100:S100"/>
    <mergeCell ref="H106:I106"/>
    <mergeCell ref="L106:M106"/>
    <mergeCell ref="O106:S106"/>
    <mergeCell ref="H109:N109"/>
    <mergeCell ref="Q109:S109"/>
    <mergeCell ref="L111:N111"/>
    <mergeCell ref="H104:J104"/>
    <mergeCell ref="Q104:S104"/>
    <mergeCell ref="J105:K105"/>
    <mergeCell ref="Q105:S105"/>
    <mergeCell ref="L104:N104"/>
    <mergeCell ref="J112:K112"/>
    <mergeCell ref="Q112:S112"/>
    <mergeCell ref="H113:I113"/>
    <mergeCell ref="L113:M113"/>
    <mergeCell ref="O113:S113"/>
    <mergeCell ref="H110:N110"/>
    <mergeCell ref="Q110:S110"/>
    <mergeCell ref="H111:J111"/>
    <mergeCell ref="Q111:S111"/>
    <mergeCell ref="H117:J117"/>
    <mergeCell ref="Q117:S117"/>
    <mergeCell ref="J118:K118"/>
    <mergeCell ref="Q118:S118"/>
    <mergeCell ref="L117:N117"/>
    <mergeCell ref="H115:N115"/>
    <mergeCell ref="Q115:S115"/>
    <mergeCell ref="H116:N116"/>
    <mergeCell ref="Q116:S116"/>
    <mergeCell ref="I130:S130"/>
    <mergeCell ref="L137:O141"/>
    <mergeCell ref="P142:Q142"/>
    <mergeCell ref="R142:S142"/>
    <mergeCell ref="H119:I119"/>
    <mergeCell ref="L119:M119"/>
    <mergeCell ref="O119:S119"/>
    <mergeCell ref="R137:S141"/>
    <mergeCell ref="I125:S125"/>
    <mergeCell ref="I126:S126"/>
    <mergeCell ref="I127:S127"/>
    <mergeCell ref="I128:S128"/>
    <mergeCell ref="I129:S129"/>
    <mergeCell ref="I132:S132"/>
    <mergeCell ref="P137:Q141"/>
    <mergeCell ref="I131:S131"/>
    <mergeCell ref="L142:O142"/>
    <mergeCell ref="P143:Q143"/>
    <mergeCell ref="R143:S143"/>
    <mergeCell ref="P144:Q144"/>
    <mergeCell ref="R144:S144"/>
    <mergeCell ref="P145:Q145"/>
    <mergeCell ref="R145:S145"/>
    <mergeCell ref="H144:K144"/>
    <mergeCell ref="H145:K145"/>
    <mergeCell ref="L143:O143"/>
    <mergeCell ref="L144:O144"/>
    <mergeCell ref="L145:O145"/>
    <mergeCell ref="P146:Q146"/>
    <mergeCell ref="R146:S146"/>
    <mergeCell ref="H146:K146"/>
    <mergeCell ref="L146:O146"/>
    <mergeCell ref="P147:Q147"/>
    <mergeCell ref="R147:S147"/>
    <mergeCell ref="P148:Q148"/>
    <mergeCell ref="R148:S148"/>
    <mergeCell ref="P149:Q149"/>
    <mergeCell ref="R149:S149"/>
    <mergeCell ref="H147:K147"/>
    <mergeCell ref="H148:K148"/>
    <mergeCell ref="H149:K149"/>
    <mergeCell ref="L147:O147"/>
    <mergeCell ref="L148:O148"/>
    <mergeCell ref="L149:O149"/>
    <mergeCell ref="P150:Q150"/>
    <mergeCell ref="R150:S150"/>
    <mergeCell ref="H150:K150"/>
    <mergeCell ref="L150:O150"/>
    <mergeCell ref="P151:Q151"/>
    <mergeCell ref="R151:S151"/>
    <mergeCell ref="P152:Q152"/>
    <mergeCell ref="R152:S152"/>
    <mergeCell ref="P153:Q153"/>
    <mergeCell ref="R153:S153"/>
    <mergeCell ref="H151:K151"/>
    <mergeCell ref="H152:K152"/>
    <mergeCell ref="H153:K153"/>
    <mergeCell ref="L151:O151"/>
    <mergeCell ref="L152:O152"/>
    <mergeCell ref="L153:O153"/>
    <mergeCell ref="T159:X160"/>
    <mergeCell ref="R155:S155"/>
    <mergeCell ref="P154:Q154"/>
    <mergeCell ref="R154:S154"/>
    <mergeCell ref="N159:S159"/>
    <mergeCell ref="A159:M159"/>
    <mergeCell ref="A154:E154"/>
    <mergeCell ref="A153:E153"/>
    <mergeCell ref="F153:G153"/>
    <mergeCell ref="F154:G154"/>
    <mergeCell ref="H154:K154"/>
    <mergeCell ref="L154:O154"/>
  </mergeCells>
  <phoneticPr fontId="6" type="noConversion"/>
  <dataValidations count="6">
    <dataValidation type="list" allowBlank="1" showErrorMessage="1" sqref="H125:H132 H142:H154 F142:F154 L142:L154">
      <formula1>"Yes, No"</formula1>
    </dataValidation>
    <dataValidation type="list" allowBlank="1" showErrorMessage="1" sqref="P142:Q154">
      <formula1>"For Profit, Nonprofit, CHDO"</formula1>
    </dataValidation>
    <dataValidation type="whole" allowBlank="1" showInputMessage="1" showErrorMessage="1" error="This cell is formatted for 10 digit phone numbers.  Please enter only numeric characters.  Do not enter hyphens, parentheses, periods, or spaces." sqref="L54 O41:P41 R63:S63 L32 L106 L20:L21 Q24:Q25 Q38:Q39 Q30:Q31 L40:L41 R41:S41 O27:P27 Q98:Q99 Q117:Q118 Q18:Q19 O21:P21 R21:S21 R47:S47 M41 R15:S15 O15:P15 Q44:Q45 L119 L15:M15 M21 L35:M35 R35:S35 O35:P35 M47 M27 L49:M49 R49:S49 O49:P49 L68:L69 O47:P47 R27:S27 Q86:Q87 Q60:Q61 Q78:Q79 R95:S95 Q66:Q67 L88:L89 O75:P75 Q52:Q53 O63:P63 O69:P69 O95:P95 Q92:Q93 L46:L47 Q72:Q73 R69:S69 L62:L63 R89:S89 O101:P101 M95 O89:P89 M75 R75:S75 L57:M57 R57:S57 O57:P57 M63 M69 L80 L74:L75 M89 L83:M83 R83:S83 R101:S101 M101 O83:P83 L100:L101 Q104:Q105 Q111:Q112 R114:S114 R108:S108 M114 L94:L95 O114:P114 L113:L114 O108:P108 L108:M108 L26:L27 Q7:Q8 L9">
      <formula1>1000000000</formula1>
      <formula2>9999999999</formula2>
    </dataValidation>
    <dataValidation type="whole" showInputMessage="1" showErrorMessage="1" error="This cell is formatted for 10 digit phone numbers.  Please enter only numeric characters.  Do not enter hyphens, parentheses, periods, or spaces." sqref="H106 H15 H100:H101 H20:H21 H26:H27 H35 H32 H47:I47 H46 H49 H40:H41 H94:H95 H68:H69 H57 H119 H62:H63 H83 H74:H75 H54 H88:H89 H80 H108 H113:H114 H9:H10">
      <formula1>1000000000</formula1>
      <formula2>9999999999</formula2>
    </dataValidation>
    <dataValidation type="list" showErrorMessage="1" errorTitle="State" error="Please select the appropriate state from the list provided by clicking the arrow to the right-hand side of the box." promptTitle="State" prompt="Please select the appropriate state from the list provided by clicking the arrow to the right-hand side of the box." sqref="H118 H8 H112 H105 H99 H93 H87 H79 H73 H67 H61 H53 H45 H39 H31 H25 H19">
      <formula1>$P$165:$P$215</formula1>
    </dataValidation>
    <dataValidation type="whole" allowBlank="1" showInputMessage="1" showErrorMessage="1" errorTitle="9-digit zip code required" error="This cell is formatted for 9 digit zip codes.  Please enter only numeric characters.  Do not enter hyphens, parentheses, periods, or spaces." sqref="J8:K8 J118:K118 J112:K112 J105:K105 J99:K99 J93:K93 J87:K87 J79:K79 J73:K73 J67:K67 J61:K61 J53:K53 J45:K45 J39:K39 J31:K31 J25:K25 J19:K19">
      <formula1>1000000</formula1>
      <formula2>999999999</formula2>
    </dataValidation>
  </dataValidations>
  <hyperlinks>
    <hyperlink ref="P12" r:id="rId1"/>
  </hyperlinks>
  <printOptions horizontalCentered="1"/>
  <pageMargins left="0.5" right="0.5" top="0.75" bottom="0.5" header="0.5" footer="0.25"/>
  <pageSetup fitToHeight="0" orientation="landscape" r:id="rId2"/>
  <headerFooter alignWithMargins="0">
    <oddHeader>&amp;LGeorgia Department of Community Affairs&amp;C2014 Funding Application&amp;RHousing Finance and Development Division</oddHeader>
    <oddFooter>&amp;L&amp;"Arial Narrow,Regular"&amp;G &amp;F&amp;C&amp;"Arial Narrow,Regular"&amp;A&amp;R&amp;"Arial Narrow,Regular"&amp;P of &amp;N</oddFooter>
  </headerFooter>
  <rowBreaks count="3" manualBreakCount="3">
    <brk id="47" max="16383" man="1"/>
    <brk id="89" max="16383" man="1"/>
    <brk id="132" max="16383" man="1"/>
  </rowBreaks>
  <legacyDrawingHF r:id="rId3"/>
</worksheet>
</file>

<file path=xl/worksheets/sheet4.xml><?xml version="1.0" encoding="utf-8"?>
<worksheet xmlns="http://schemas.openxmlformats.org/spreadsheetml/2006/main" xmlns:r="http://schemas.openxmlformats.org/officeDocument/2006/relationships">
  <sheetPr codeName="Sheet5">
    <pageSetUpPr fitToPage="1"/>
  </sheetPr>
  <dimension ref="A1:W99"/>
  <sheetViews>
    <sheetView showGridLines="0" zoomScale="80" zoomScaleNormal="80" zoomScaleSheetLayoutView="90" workbookViewId="0">
      <selection sqref="A1:XFD1048576"/>
    </sheetView>
  </sheetViews>
  <sheetFormatPr defaultColWidth="9.140625" defaultRowHeight="13.5"/>
  <cols>
    <col min="1" max="1" width="4.28515625" style="415" customWidth="1"/>
    <col min="2" max="17" width="7.7109375" style="415" customWidth="1"/>
    <col min="18" max="18" width="3.28515625" style="415" customWidth="1"/>
    <col min="19" max="19" width="13.5703125" style="415" customWidth="1"/>
    <col min="20" max="20" width="98.7109375" style="415" customWidth="1"/>
    <col min="21" max="16384" width="9.140625" style="415"/>
  </cols>
  <sheetData>
    <row r="1" spans="1:20" s="330" customFormat="1" ht="13.9" customHeight="1">
      <c r="A1" s="1522" t="str">
        <f>CONCATENATE("PART THREE - SOURCES OF FUNDS","  -  ",'Part I-Project Information'!$O$4," ",'Part I-Project Information'!$F$23,", ",'Part I-Project Information'!$F$27,", ",'Part I-Project Information'!$J$28," County")</f>
        <v>PART THREE - SOURCES OF FUNDS  -  2014-028 Highland Estates, Rome, Floyd County</v>
      </c>
      <c r="B1" s="1523"/>
      <c r="C1" s="1523"/>
      <c r="D1" s="1523"/>
      <c r="E1" s="1523"/>
      <c r="F1" s="1523"/>
      <c r="G1" s="1523"/>
      <c r="H1" s="1523"/>
      <c r="I1" s="1523"/>
      <c r="J1" s="1523"/>
      <c r="K1" s="1523"/>
      <c r="L1" s="1523"/>
      <c r="M1" s="1523"/>
      <c r="N1" s="1523"/>
      <c r="O1" s="1523"/>
      <c r="P1" s="1523"/>
      <c r="Q1" s="1524"/>
      <c r="S1" s="1545" t="str">
        <f>$A$1</f>
        <v>PART THREE - SOURCES OF FUNDS  -  2014-028 Highland Estates, Rome, Floyd County</v>
      </c>
      <c r="T1" s="1545"/>
    </row>
    <row r="2" spans="1:20" ht="17.45" customHeight="1">
      <c r="A2" s="383"/>
      <c r="B2" s="383"/>
      <c r="C2" s="383"/>
      <c r="D2" s="383"/>
      <c r="E2" s="383"/>
      <c r="F2" s="383"/>
      <c r="G2" s="383"/>
      <c r="H2" s="383"/>
      <c r="I2" s="383"/>
      <c r="J2" s="383"/>
      <c r="K2" s="383"/>
      <c r="L2" s="383"/>
      <c r="M2" s="383"/>
      <c r="N2" s="383"/>
      <c r="O2" s="383"/>
      <c r="P2" s="383"/>
      <c r="Q2" s="383"/>
    </row>
    <row r="3" spans="1:20" s="330" customFormat="1" ht="13.15" customHeight="1">
      <c r="A3" s="366" t="s">
        <v>652</v>
      </c>
      <c r="B3" s="386" t="s">
        <v>2650</v>
      </c>
      <c r="C3" s="363"/>
      <c r="D3" s="1156"/>
      <c r="E3" s="1156"/>
      <c r="F3" s="1156"/>
      <c r="G3" s="1156"/>
      <c r="J3" s="1156"/>
      <c r="M3" s="1156"/>
      <c r="N3" s="1156"/>
      <c r="S3" s="416" t="str">
        <f>B3</f>
        <v>GOVERNMENT FUNDING SOURCES  (check all that apply)</v>
      </c>
    </row>
    <row r="4" spans="1:20" s="330" customFormat="1" ht="15.75" customHeight="1">
      <c r="A4" s="392"/>
      <c r="B4" s="621"/>
      <c r="C4" s="386"/>
      <c r="D4" s="1156"/>
      <c r="E4" s="1156"/>
      <c r="F4" s="1156"/>
      <c r="G4" s="1156"/>
      <c r="H4" s="1225" t="s">
        <v>3425</v>
      </c>
      <c r="I4" s="1148" t="s">
        <v>3056</v>
      </c>
      <c r="J4" s="363"/>
      <c r="P4" s="1561"/>
      <c r="Q4" s="1562"/>
      <c r="S4" s="1546" t="s">
        <v>2882</v>
      </c>
      <c r="T4" s="1546"/>
    </row>
    <row r="5" spans="1:20" s="330" customFormat="1" ht="15.75" customHeight="1">
      <c r="A5" s="621"/>
      <c r="B5" s="1225" t="s">
        <v>3452</v>
      </c>
      <c r="C5" s="1148" t="s">
        <v>2565</v>
      </c>
      <c r="D5" s="363"/>
      <c r="E5" s="1225" t="s">
        <v>3425</v>
      </c>
      <c r="F5" s="1148" t="s">
        <v>579</v>
      </c>
      <c r="H5" s="1225" t="s">
        <v>3425</v>
      </c>
      <c r="I5" s="363" t="s">
        <v>2784</v>
      </c>
      <c r="M5" s="1225" t="s">
        <v>3425</v>
      </c>
      <c r="N5" s="1148" t="s">
        <v>577</v>
      </c>
      <c r="S5" s="1549"/>
      <c r="T5" s="1550"/>
    </row>
    <row r="6" spans="1:20" s="330" customFormat="1" ht="15.75" customHeight="1">
      <c r="A6" s="621"/>
      <c r="B6" s="1225" t="s">
        <v>3425</v>
      </c>
      <c r="C6" s="1148" t="s">
        <v>1919</v>
      </c>
      <c r="D6" s="363"/>
      <c r="E6" s="1225" t="s">
        <v>3425</v>
      </c>
      <c r="F6" s="363" t="s">
        <v>2782</v>
      </c>
      <c r="H6" s="1225" t="s">
        <v>3425</v>
      </c>
      <c r="I6" s="369" t="s">
        <v>3074</v>
      </c>
      <c r="J6" s="1148"/>
      <c r="K6" s="356"/>
      <c r="L6" s="356"/>
      <c r="M6" s="1225" t="s">
        <v>3425</v>
      </c>
      <c r="N6" s="369" t="s">
        <v>2783</v>
      </c>
      <c r="Q6" s="656"/>
      <c r="S6" s="1551"/>
      <c r="T6" s="1552"/>
    </row>
    <row r="7" spans="1:20" s="330" customFormat="1" ht="15.75" customHeight="1">
      <c r="A7" s="363"/>
      <c r="B7" s="1225" t="s">
        <v>3425</v>
      </c>
      <c r="C7" s="1148" t="s">
        <v>1920</v>
      </c>
      <c r="E7" s="1225" t="s">
        <v>3425</v>
      </c>
      <c r="F7" s="1147" t="s">
        <v>2334</v>
      </c>
      <c r="G7" s="363"/>
      <c r="H7" s="1225" t="s">
        <v>3425</v>
      </c>
      <c r="I7" s="1148" t="s">
        <v>1636</v>
      </c>
      <c r="J7" s="356"/>
      <c r="M7" s="1225" t="s">
        <v>3425</v>
      </c>
      <c r="N7" s="369" t="s">
        <v>3055</v>
      </c>
      <c r="P7" s="1542"/>
      <c r="Q7" s="1543"/>
      <c r="S7" s="1551"/>
      <c r="T7" s="1552"/>
    </row>
    <row r="8" spans="1:20" s="330" customFormat="1" ht="15.75" customHeight="1">
      <c r="A8" s="621"/>
      <c r="B8" s="1225" t="s">
        <v>3425</v>
      </c>
      <c r="C8" s="1156" t="s">
        <v>2774</v>
      </c>
      <c r="D8" s="363"/>
      <c r="E8" s="1225" t="s">
        <v>3425</v>
      </c>
      <c r="F8" s="388" t="s">
        <v>2775</v>
      </c>
      <c r="H8" s="1225" t="s">
        <v>3425</v>
      </c>
      <c r="I8" s="1148" t="s">
        <v>578</v>
      </c>
      <c r="J8" s="356"/>
      <c r="K8" s="369"/>
      <c r="L8" s="1152"/>
      <c r="M8" s="1225" t="s">
        <v>3425</v>
      </c>
      <c r="N8" s="1372" t="s">
        <v>2265</v>
      </c>
      <c r="O8" s="1373"/>
      <c r="P8" s="1373"/>
      <c r="Q8" s="1375"/>
      <c r="S8" s="1553"/>
      <c r="T8" s="1554"/>
    </row>
    <row r="9" spans="1:20" s="330" customFormat="1" ht="16.899999999999999" customHeight="1">
      <c r="A9" s="621"/>
      <c r="B9" s="330" t="s">
        <v>3023</v>
      </c>
      <c r="C9" s="363"/>
      <c r="D9" s="363"/>
      <c r="E9" s="363"/>
      <c r="F9" s="363"/>
      <c r="G9" s="363"/>
      <c r="H9" s="363"/>
      <c r="I9" s="363"/>
      <c r="J9" s="363"/>
      <c r="K9" s="363"/>
      <c r="L9" s="363"/>
      <c r="M9" s="388"/>
      <c r="N9" s="363"/>
      <c r="O9" s="363"/>
      <c r="P9" s="363"/>
      <c r="Q9" s="363"/>
    </row>
    <row r="10" spans="1:20" s="330" customFormat="1" ht="17.45" customHeight="1">
      <c r="A10" s="621"/>
      <c r="L10" s="363"/>
      <c r="M10" s="388"/>
      <c r="N10" s="363"/>
      <c r="O10" s="363"/>
      <c r="P10" s="363"/>
      <c r="Q10" s="363"/>
    </row>
    <row r="11" spans="1:20" s="416" customFormat="1" ht="15" customHeight="1">
      <c r="A11" s="366" t="s">
        <v>784</v>
      </c>
      <c r="B11" s="329" t="s">
        <v>2488</v>
      </c>
      <c r="C11" s="363"/>
      <c r="D11" s="1156"/>
      <c r="E11" s="363"/>
      <c r="F11" s="363"/>
      <c r="G11" s="363"/>
      <c r="H11" s="330"/>
      <c r="I11" s="330"/>
      <c r="J11" s="366"/>
      <c r="K11" s="363"/>
      <c r="L11" s="363"/>
      <c r="M11" s="1156"/>
      <c r="N11" s="1362"/>
      <c r="O11" s="1362"/>
      <c r="P11" s="363"/>
      <c r="Q11" s="363"/>
      <c r="S11" s="416" t="str">
        <f>B11</f>
        <v>CONSTRUCTION FINANCING</v>
      </c>
    </row>
    <row r="12" spans="1:20" s="416" customFormat="1" ht="13.9" customHeight="1">
      <c r="A12" s="366"/>
      <c r="B12" s="329"/>
      <c r="C12" s="363"/>
      <c r="K12" s="363"/>
      <c r="L12" s="363"/>
      <c r="M12" s="1156"/>
      <c r="N12" s="1145"/>
      <c r="O12" s="1145"/>
      <c r="P12" s="363"/>
      <c r="Q12" s="363"/>
    </row>
    <row r="13" spans="1:20" s="330" customFormat="1" ht="16.899999999999999" customHeight="1">
      <c r="A13" s="363"/>
      <c r="B13" s="1148" t="s">
        <v>1993</v>
      </c>
      <c r="C13" s="363"/>
      <c r="D13" s="363"/>
      <c r="E13" s="363"/>
      <c r="F13" s="363"/>
      <c r="G13" s="363"/>
      <c r="H13" s="1475" t="s">
        <v>1377</v>
      </c>
      <c r="I13" s="1475"/>
      <c r="J13" s="1475"/>
      <c r="K13" s="1475"/>
      <c r="L13" s="1410" t="s">
        <v>2118</v>
      </c>
      <c r="M13" s="1410"/>
      <c r="N13" s="1410" t="s">
        <v>1605</v>
      </c>
      <c r="O13" s="1410"/>
      <c r="P13" s="1410" t="s">
        <v>1732</v>
      </c>
      <c r="Q13" s="1410"/>
      <c r="S13" s="1546" t="s">
        <v>2882</v>
      </c>
      <c r="T13" s="1546"/>
    </row>
    <row r="14" spans="1:20" s="330" customFormat="1" ht="16.899999999999999" customHeight="1">
      <c r="A14" s="363"/>
      <c r="B14" s="1557" t="s">
        <v>1690</v>
      </c>
      <c r="C14" s="1558"/>
      <c r="D14" s="1558"/>
      <c r="E14" s="1157"/>
      <c r="F14" s="1157"/>
      <c r="G14" s="1157"/>
      <c r="H14" s="1372" t="s">
        <v>3453</v>
      </c>
      <c r="I14" s="1373"/>
      <c r="J14" s="1373"/>
      <c r="K14" s="1375"/>
      <c r="L14" s="1585">
        <v>8365263</v>
      </c>
      <c r="M14" s="1586"/>
      <c r="N14" s="1583">
        <v>0.05</v>
      </c>
      <c r="O14" s="1584"/>
      <c r="P14" s="1587">
        <v>18</v>
      </c>
      <c r="Q14" s="1588"/>
      <c r="S14" s="1549"/>
      <c r="T14" s="1550"/>
    </row>
    <row r="15" spans="1:20" s="330" customFormat="1" ht="16.899999999999999" customHeight="1">
      <c r="A15" s="363"/>
      <c r="B15" s="1555" t="s">
        <v>1691</v>
      </c>
      <c r="C15" s="1556"/>
      <c r="D15" s="1556"/>
      <c r="E15" s="1156"/>
      <c r="F15" s="1156"/>
      <c r="G15" s="1156"/>
      <c r="H15" s="1372"/>
      <c r="I15" s="1373"/>
      <c r="J15" s="1373"/>
      <c r="K15" s="1375"/>
      <c r="L15" s="1585"/>
      <c r="M15" s="1586"/>
      <c r="N15" s="1583"/>
      <c r="O15" s="1584"/>
      <c r="P15" s="1547"/>
      <c r="Q15" s="1548"/>
      <c r="S15" s="1551"/>
      <c r="T15" s="1552"/>
    </row>
    <row r="16" spans="1:20" s="330" customFormat="1" ht="16.899999999999999" customHeight="1">
      <c r="A16" s="363"/>
      <c r="B16" s="1563" t="s">
        <v>1692</v>
      </c>
      <c r="C16" s="1564"/>
      <c r="D16" s="1564"/>
      <c r="E16" s="1159"/>
      <c r="F16" s="1159"/>
      <c r="G16" s="1159"/>
      <c r="H16" s="1372"/>
      <c r="I16" s="1373"/>
      <c r="J16" s="1373"/>
      <c r="K16" s="1375"/>
      <c r="L16" s="1585"/>
      <c r="M16" s="1586"/>
      <c r="N16" s="1583"/>
      <c r="O16" s="1584"/>
      <c r="P16" s="1547"/>
      <c r="Q16" s="1548"/>
      <c r="S16" s="1551"/>
      <c r="T16" s="1552"/>
    </row>
    <row r="17" spans="1:20" s="330" customFormat="1" ht="16.899999999999999" customHeight="1">
      <c r="A17" s="363"/>
      <c r="B17" s="1557" t="s">
        <v>2352</v>
      </c>
      <c r="C17" s="1558"/>
      <c r="D17" s="1558"/>
      <c r="E17" s="1156"/>
      <c r="F17" s="1156"/>
      <c r="G17" s="1156"/>
      <c r="H17" s="1372"/>
      <c r="I17" s="1373"/>
      <c r="J17" s="1373"/>
      <c r="K17" s="1375"/>
      <c r="L17" s="1585"/>
      <c r="M17" s="1586"/>
      <c r="N17" s="1559"/>
      <c r="O17" s="1560"/>
      <c r="P17" s="1529"/>
      <c r="Q17" s="1529"/>
      <c r="S17" s="1551"/>
      <c r="T17" s="1552"/>
    </row>
    <row r="18" spans="1:20" s="330" customFormat="1" ht="16.899999999999999" customHeight="1">
      <c r="A18" s="363"/>
      <c r="B18" s="1555" t="s">
        <v>849</v>
      </c>
      <c r="C18" s="1556"/>
      <c r="D18" s="1556"/>
      <c r="E18" s="1156"/>
      <c r="H18" s="1372"/>
      <c r="I18" s="1373"/>
      <c r="J18" s="1373"/>
      <c r="K18" s="1375"/>
      <c r="L18" s="1585"/>
      <c r="M18" s="1586"/>
      <c r="N18" s="1559"/>
      <c r="O18" s="1560"/>
      <c r="P18" s="1529"/>
      <c r="Q18" s="1529"/>
      <c r="S18" s="1551"/>
      <c r="T18" s="1552"/>
    </row>
    <row r="19" spans="1:20" s="330" customFormat="1" ht="16.899999999999999" customHeight="1">
      <c r="A19" s="363"/>
      <c r="B19" s="1555" t="s">
        <v>677</v>
      </c>
      <c r="C19" s="1556"/>
      <c r="D19" s="1556"/>
      <c r="E19" s="1156"/>
      <c r="H19" s="1372"/>
      <c r="I19" s="1373"/>
      <c r="J19" s="1373"/>
      <c r="K19" s="1375"/>
      <c r="L19" s="1585"/>
      <c r="M19" s="1586"/>
      <c r="N19" s="1559"/>
      <c r="O19" s="1560"/>
      <c r="P19" s="1529"/>
      <c r="Q19" s="1529"/>
      <c r="S19" s="1551"/>
      <c r="T19" s="1552"/>
    </row>
    <row r="20" spans="1:20" s="330" customFormat="1" ht="16.899999999999999" customHeight="1">
      <c r="A20" s="363"/>
      <c r="B20" s="1555" t="s">
        <v>850</v>
      </c>
      <c r="C20" s="1556"/>
      <c r="D20" s="1556"/>
      <c r="E20" s="1156"/>
      <c r="H20" s="1372" t="s">
        <v>3433</v>
      </c>
      <c r="I20" s="1373"/>
      <c r="J20" s="1373"/>
      <c r="K20" s="1375"/>
      <c r="L20" s="1585">
        <v>1682660</v>
      </c>
      <c r="M20" s="1586"/>
      <c r="N20" s="363"/>
      <c r="O20" s="363"/>
      <c r="P20" s="363"/>
      <c r="Q20" s="363"/>
      <c r="S20" s="1553"/>
      <c r="T20" s="1554"/>
    </row>
    <row r="21" spans="1:20" s="330" customFormat="1" ht="16.899999999999999" customHeight="1">
      <c r="A21" s="363"/>
      <c r="B21" s="1555" t="s">
        <v>851</v>
      </c>
      <c r="C21" s="1556"/>
      <c r="D21" s="1556"/>
      <c r="E21" s="1156"/>
      <c r="H21" s="1372" t="s">
        <v>3433</v>
      </c>
      <c r="I21" s="1373"/>
      <c r="J21" s="1373"/>
      <c r="K21" s="1375"/>
      <c r="L21" s="1585">
        <v>517000</v>
      </c>
      <c r="M21" s="1586"/>
      <c r="N21" s="363"/>
      <c r="O21" s="363"/>
      <c r="P21" s="363"/>
      <c r="Q21" s="363"/>
      <c r="S21" s="1549"/>
      <c r="T21" s="1550"/>
    </row>
    <row r="22" spans="1:20" s="330" customFormat="1" ht="16.899999999999999" customHeight="1">
      <c r="A22" s="363"/>
      <c r="B22" s="1155" t="s">
        <v>255</v>
      </c>
      <c r="C22" s="1156"/>
      <c r="D22" s="1565" t="s">
        <v>3456</v>
      </c>
      <c r="E22" s="1565"/>
      <c r="F22" s="1565"/>
      <c r="G22" s="1565"/>
      <c r="H22" s="1372"/>
      <c r="I22" s="1373"/>
      <c r="J22" s="1373"/>
      <c r="K22" s="1375"/>
      <c r="L22" s="1585">
        <v>110</v>
      </c>
      <c r="M22" s="1586"/>
      <c r="N22" s="363"/>
      <c r="O22" s="363"/>
      <c r="P22" s="363"/>
      <c r="Q22" s="363"/>
      <c r="S22" s="1551"/>
      <c r="T22" s="1552"/>
    </row>
    <row r="23" spans="1:20" s="330" customFormat="1" ht="16.899999999999999" customHeight="1">
      <c r="A23" s="363"/>
      <c r="B23" s="1155" t="s">
        <v>255</v>
      </c>
      <c r="C23" s="1156"/>
      <c r="D23" s="1565"/>
      <c r="E23" s="1565"/>
      <c r="F23" s="1565"/>
      <c r="G23" s="1565"/>
      <c r="H23" s="1372"/>
      <c r="I23" s="1373"/>
      <c r="J23" s="1373"/>
      <c r="K23" s="1375"/>
      <c r="L23" s="1585"/>
      <c r="M23" s="1586"/>
      <c r="N23" s="363"/>
      <c r="O23" s="363"/>
      <c r="P23" s="363"/>
      <c r="Q23" s="363"/>
      <c r="S23" s="1551"/>
      <c r="T23" s="1552"/>
    </row>
    <row r="24" spans="1:20" s="330" customFormat="1" ht="16.899999999999999" customHeight="1">
      <c r="A24" s="363"/>
      <c r="B24" s="1158" t="s">
        <v>255</v>
      </c>
      <c r="C24" s="1159"/>
      <c r="D24" s="1565"/>
      <c r="E24" s="1565"/>
      <c r="F24" s="1565"/>
      <c r="G24" s="1565"/>
      <c r="H24" s="1372"/>
      <c r="I24" s="1373"/>
      <c r="J24" s="1373"/>
      <c r="K24" s="1375"/>
      <c r="L24" s="1585"/>
      <c r="M24" s="1586"/>
      <c r="N24" s="363"/>
      <c r="O24" s="363"/>
      <c r="P24" s="363"/>
      <c r="Q24" s="363"/>
      <c r="S24" s="1551"/>
      <c r="T24" s="1552"/>
    </row>
    <row r="25" spans="1:20" s="330" customFormat="1" ht="16.899999999999999" customHeight="1">
      <c r="A25" s="363"/>
      <c r="B25" s="329" t="s">
        <v>1378</v>
      </c>
      <c r="C25" s="363"/>
      <c r="D25" s="363"/>
      <c r="E25" s="363"/>
      <c r="F25" s="363"/>
      <c r="G25" s="363"/>
      <c r="H25" s="363"/>
      <c r="I25" s="363"/>
      <c r="L25" s="1598">
        <f>SUM(L14:L24)</f>
        <v>10565033</v>
      </c>
      <c r="M25" s="1599"/>
      <c r="N25" s="383"/>
      <c r="O25" s="383"/>
      <c r="P25" s="383"/>
      <c r="Q25" s="383"/>
      <c r="S25" s="1551"/>
      <c r="T25" s="1552"/>
    </row>
    <row r="26" spans="1:20" s="330" customFormat="1" ht="16.899999999999999" customHeight="1">
      <c r="A26" s="363"/>
      <c r="B26" s="1148" t="s">
        <v>1379</v>
      </c>
      <c r="C26" s="363"/>
      <c r="D26" s="363"/>
      <c r="E26" s="363"/>
      <c r="F26" s="363"/>
      <c r="G26" s="363"/>
      <c r="H26" s="363"/>
      <c r="I26" s="363"/>
      <c r="L26" s="1596">
        <f>'Part IV-Uses of Funds'!$G$17+'Part IV-Uses of Funds'!$G$23+'Part IV-Uses of Funds'!$G$27+'Part IV-Uses of Funds'!$G$33+'Part IV-Uses of Funds'!$G$38+('Part IV-Uses of Funds'!$G$64-'Part IV-Uses of Funds'!$G$60)+'Part IV-Uses of Funds'!$G$77+'Part IV-Uses of Funds'!$G$83+('Part IV-Uses of Funds'!$G$105-'Part IV-Uses of Funds'!$G$100)+'Part IV-Uses of Funds'!$G$113+'Part IV-Uses of Funds'!$G$114+'Part IV-Uses of Funds'!$G$118</f>
        <v>10565033</v>
      </c>
      <c r="M26" s="1597"/>
      <c r="N26" s="1594"/>
      <c r="O26" s="1595"/>
      <c r="P26" s="1595"/>
      <c r="Q26" s="1595"/>
      <c r="S26" s="1551"/>
      <c r="T26" s="1552"/>
    </row>
    <row r="27" spans="1:20" s="330" customFormat="1" ht="16.899999999999999" customHeight="1">
      <c r="A27" s="363"/>
      <c r="B27" s="369" t="s">
        <v>2288</v>
      </c>
      <c r="C27" s="363"/>
      <c r="D27" s="363"/>
      <c r="E27" s="363"/>
      <c r="F27" s="363"/>
      <c r="G27" s="363"/>
      <c r="H27" s="363"/>
      <c r="I27" s="363"/>
      <c r="L27" s="1600">
        <f>L25-L26</f>
        <v>0</v>
      </c>
      <c r="M27" s="1601"/>
      <c r="N27" s="1594"/>
      <c r="O27" s="1595"/>
      <c r="P27" s="1595"/>
      <c r="Q27" s="1595"/>
      <c r="S27" s="1553"/>
      <c r="T27" s="1554"/>
    </row>
    <row r="28" spans="1:20" ht="9.6" customHeight="1">
      <c r="A28" s="392"/>
      <c r="B28" s="329"/>
      <c r="C28" s="383"/>
      <c r="D28" s="383"/>
      <c r="E28" s="383"/>
      <c r="F28" s="383"/>
      <c r="G28" s="383"/>
      <c r="H28" s="383"/>
      <c r="I28" s="383"/>
      <c r="J28" s="383"/>
      <c r="K28" s="383"/>
      <c r="L28" s="383"/>
      <c r="M28" s="1153"/>
      <c r="N28" s="1153"/>
      <c r="O28" s="383"/>
      <c r="P28" s="366"/>
      <c r="Q28" s="366"/>
    </row>
    <row r="29" spans="1:20" ht="9.6" customHeight="1">
      <c r="A29" s="366" t="s">
        <v>786</v>
      </c>
      <c r="B29" s="329" t="s">
        <v>848</v>
      </c>
      <c r="C29" s="383"/>
      <c r="D29" s="383"/>
      <c r="E29" s="383"/>
      <c r="F29" s="383"/>
      <c r="G29" s="383"/>
      <c r="H29" s="383"/>
      <c r="I29" s="383"/>
      <c r="J29" s="383"/>
      <c r="K29" s="383"/>
      <c r="L29" s="383"/>
      <c r="M29" s="1153"/>
      <c r="N29" s="1153"/>
      <c r="O29" s="383"/>
      <c r="P29" s="366"/>
      <c r="Q29" s="366"/>
      <c r="S29" s="416" t="str">
        <f>B29</f>
        <v>PERMANENT FINANCING</v>
      </c>
    </row>
    <row r="30" spans="1:20" s="330" customFormat="1" ht="13.15" customHeight="1">
      <c r="A30" s="363"/>
      <c r="B30" s="363"/>
      <c r="C30" s="363"/>
      <c r="D30" s="363"/>
      <c r="E30" s="363"/>
      <c r="F30" s="1153"/>
      <c r="G30" s="1153"/>
      <c r="H30" s="1529"/>
      <c r="I30" s="1529"/>
      <c r="J30" s="443" t="s">
        <v>2229</v>
      </c>
      <c r="K30" s="1153" t="s">
        <v>1375</v>
      </c>
      <c r="L30" s="1153" t="s">
        <v>1380</v>
      </c>
      <c r="M30" s="1398" t="s">
        <v>36</v>
      </c>
      <c r="N30" s="1398"/>
      <c r="O30" s="1145"/>
      <c r="P30" s="1153"/>
      <c r="Q30" s="1589" t="s">
        <v>2485</v>
      </c>
      <c r="S30" s="416"/>
    </row>
    <row r="31" spans="1:20" s="330" customFormat="1" ht="13.15" customHeight="1">
      <c r="A31" s="363"/>
      <c r="B31" s="1151" t="s">
        <v>1993</v>
      </c>
      <c r="C31" s="1159"/>
      <c r="D31" s="1159"/>
      <c r="E31" s="1556" t="s">
        <v>1377</v>
      </c>
      <c r="F31" s="1556"/>
      <c r="G31" s="1556"/>
      <c r="H31" s="1410" t="s">
        <v>515</v>
      </c>
      <c r="I31" s="1410"/>
      <c r="J31" s="1149" t="s">
        <v>1924</v>
      </c>
      <c r="K31" s="1149" t="s">
        <v>2351</v>
      </c>
      <c r="L31" s="1149" t="s">
        <v>2351</v>
      </c>
      <c r="M31" s="1605"/>
      <c r="N31" s="1605"/>
      <c r="O31" s="1410" t="s">
        <v>77</v>
      </c>
      <c r="P31" s="1410"/>
      <c r="Q31" s="1590"/>
      <c r="S31" s="1546" t="s">
        <v>2882</v>
      </c>
      <c r="T31" s="1546"/>
    </row>
    <row r="32" spans="1:20" s="330" customFormat="1" ht="13.15" customHeight="1">
      <c r="A32" s="363"/>
      <c r="B32" s="1557" t="s">
        <v>2788</v>
      </c>
      <c r="C32" s="1558"/>
      <c r="D32" s="1558"/>
      <c r="E32" s="1382" t="s">
        <v>3454</v>
      </c>
      <c r="F32" s="1611"/>
      <c r="G32" s="1612"/>
      <c r="H32" s="1582">
        <v>1110000</v>
      </c>
      <c r="I32" s="1580"/>
      <c r="J32" s="1257">
        <v>5.5E-2</v>
      </c>
      <c r="K32" s="1225">
        <v>17</v>
      </c>
      <c r="L32" s="1225">
        <v>35</v>
      </c>
      <c r="M32" s="1569">
        <f t="shared" ref="M32:M37" si="0">IF(OR(H32&lt;=0,H32=""),"",IF(O32="Amortizing",-PMT(J32/12,L32*12,H32,0,0)*12,""))</f>
        <v>71530.568392451387</v>
      </c>
      <c r="N32" s="1570"/>
      <c r="O32" s="1421" t="s">
        <v>3455</v>
      </c>
      <c r="P32" s="1422"/>
      <c r="Q32" s="1258">
        <v>1.2</v>
      </c>
      <c r="S32" s="1549"/>
      <c r="T32" s="1550"/>
    </row>
    <row r="33" spans="1:20" s="330" customFormat="1" ht="13.15" customHeight="1">
      <c r="A33" s="363"/>
      <c r="B33" s="1555" t="s">
        <v>2789</v>
      </c>
      <c r="C33" s="1556"/>
      <c r="D33" s="1556"/>
      <c r="E33" s="1429"/>
      <c r="F33" s="1566"/>
      <c r="G33" s="1567"/>
      <c r="H33" s="1581"/>
      <c r="I33" s="1580"/>
      <c r="J33" s="1257"/>
      <c r="K33" s="1225"/>
      <c r="L33" s="1225"/>
      <c r="M33" s="1569" t="str">
        <f t="shared" si="0"/>
        <v/>
      </c>
      <c r="N33" s="1570"/>
      <c r="O33" s="1421"/>
      <c r="P33" s="1422"/>
      <c r="Q33" s="1258"/>
      <c r="S33" s="1551"/>
      <c r="T33" s="1552"/>
    </row>
    <row r="34" spans="1:20" s="330" customFormat="1" ht="13.15" customHeight="1">
      <c r="A34" s="363"/>
      <c r="B34" s="1555" t="s">
        <v>2790</v>
      </c>
      <c r="C34" s="1556"/>
      <c r="D34" s="1556"/>
      <c r="E34" s="1372"/>
      <c r="F34" s="1579"/>
      <c r="G34" s="1580"/>
      <c r="H34" s="1581"/>
      <c r="I34" s="1580"/>
      <c r="J34" s="1257"/>
      <c r="K34" s="1225"/>
      <c r="L34" s="1225"/>
      <c r="M34" s="1569" t="str">
        <f t="shared" si="0"/>
        <v/>
      </c>
      <c r="N34" s="1570"/>
      <c r="O34" s="1421"/>
      <c r="P34" s="1422"/>
      <c r="Q34" s="1258"/>
      <c r="S34" s="1551"/>
      <c r="T34" s="1552"/>
    </row>
    <row r="35" spans="1:20" s="330" customFormat="1" ht="13.15" customHeight="1">
      <c r="A35" s="363"/>
      <c r="B35" s="1155" t="s">
        <v>785</v>
      </c>
      <c r="C35" s="1382"/>
      <c r="D35" s="1383"/>
      <c r="E35" s="1372"/>
      <c r="F35" s="1579"/>
      <c r="G35" s="1580"/>
      <c r="H35" s="1581"/>
      <c r="I35" s="1580"/>
      <c r="J35" s="1257"/>
      <c r="K35" s="1225"/>
      <c r="L35" s="1225"/>
      <c r="M35" s="1569" t="str">
        <f t="shared" si="0"/>
        <v/>
      </c>
      <c r="N35" s="1570"/>
      <c r="O35" s="1421"/>
      <c r="P35" s="1422"/>
      <c r="Q35" s="1258"/>
      <c r="S35" s="1551"/>
      <c r="T35" s="1552"/>
    </row>
    <row r="36" spans="1:20" s="330" customFormat="1" ht="13.15" customHeight="1">
      <c r="A36" s="363"/>
      <c r="B36" s="1155" t="s">
        <v>3004</v>
      </c>
      <c r="C36" s="1156"/>
      <c r="D36" s="1160"/>
      <c r="E36" s="1372"/>
      <c r="F36" s="1579"/>
      <c r="G36" s="1580"/>
      <c r="H36" s="1581"/>
      <c r="I36" s="1580"/>
      <c r="J36" s="589"/>
      <c r="K36" s="1161"/>
      <c r="L36" s="1161"/>
      <c r="M36" s="1613" t="str">
        <f t="shared" si="0"/>
        <v/>
      </c>
      <c r="N36" s="1613"/>
      <c r="O36" s="1610"/>
      <c r="P36" s="1610"/>
      <c r="Q36" s="590"/>
      <c r="S36" s="1551"/>
      <c r="T36" s="1552"/>
    </row>
    <row r="37" spans="1:20" s="330" customFormat="1" ht="13.15" customHeight="1">
      <c r="A37" s="363"/>
      <c r="B37" s="1158" t="s">
        <v>239</v>
      </c>
      <c r="C37" s="1159"/>
      <c r="D37" s="444">
        <f>IF(OR(H37="",H37=0,'Part IV-Uses of Funds'!$G$116="",'Part IV-Uses of Funds'!$G$116=0),"",H37/'Part IV-Uses of Funds'!$G$116)</f>
        <v>8.2640418345963251E-2</v>
      </c>
      <c r="E37" s="1372" t="s">
        <v>3493</v>
      </c>
      <c r="F37" s="1579"/>
      <c r="G37" s="1580"/>
      <c r="H37" s="1581">
        <v>123787</v>
      </c>
      <c r="I37" s="1580"/>
      <c r="J37" s="1257"/>
      <c r="K37" s="1225"/>
      <c r="L37" s="1225"/>
      <c r="M37" s="1569" t="str">
        <f t="shared" si="0"/>
        <v/>
      </c>
      <c r="N37" s="1570"/>
      <c r="O37" s="1421"/>
      <c r="P37" s="1422"/>
      <c r="Q37" s="1258"/>
      <c r="S37" s="1551"/>
      <c r="T37" s="1552"/>
    </row>
    <row r="38" spans="1:20" s="330" customFormat="1" ht="13.15" customHeight="1">
      <c r="A38" s="363"/>
      <c r="B38" s="1557" t="s">
        <v>2352</v>
      </c>
      <c r="C38" s="1558"/>
      <c r="D38" s="1602"/>
      <c r="E38" s="1372"/>
      <c r="F38" s="1579"/>
      <c r="G38" s="1580"/>
      <c r="H38" s="1572"/>
      <c r="I38" s="1573"/>
      <c r="K38" s="445"/>
      <c r="L38" s="445"/>
      <c r="M38" s="445"/>
      <c r="N38" s="445"/>
      <c r="O38" s="445"/>
      <c r="P38" s="445"/>
      <c r="Q38" s="445"/>
      <c r="S38" s="1549"/>
      <c r="T38" s="1550"/>
    </row>
    <row r="39" spans="1:20" s="330" customFormat="1" ht="13.15" customHeight="1">
      <c r="A39" s="363"/>
      <c r="B39" s="1555" t="s">
        <v>849</v>
      </c>
      <c r="C39" s="1556"/>
      <c r="D39" s="1568"/>
      <c r="E39" s="1372"/>
      <c r="F39" s="1579"/>
      <c r="G39" s="1580"/>
      <c r="H39" s="1572"/>
      <c r="I39" s="1573"/>
      <c r="J39" s="1575" t="s">
        <v>545</v>
      </c>
      <c r="K39" s="1576"/>
      <c r="L39" s="1574" t="s">
        <v>546</v>
      </c>
      <c r="M39" s="1574"/>
      <c r="O39" s="491" t="s">
        <v>544</v>
      </c>
      <c r="P39" s="446"/>
      <c r="Q39" s="445"/>
      <c r="S39" s="1551"/>
      <c r="T39" s="1552"/>
    </row>
    <row r="40" spans="1:20" s="330" customFormat="1" ht="13.15" customHeight="1">
      <c r="A40" s="363"/>
      <c r="B40" s="1555" t="s">
        <v>850</v>
      </c>
      <c r="C40" s="1556"/>
      <c r="D40" s="1568"/>
      <c r="E40" s="1372" t="s">
        <v>3433</v>
      </c>
      <c r="F40" s="1373"/>
      <c r="G40" s="1375"/>
      <c r="H40" s="1581">
        <v>8500000</v>
      </c>
      <c r="I40" s="1591"/>
      <c r="J40" s="1577">
        <f>'Part IV-Uses of Funds'!$J$173*10*'Part IV-Uses of Funds'!$N$166</f>
        <v>8500000</v>
      </c>
      <c r="K40" s="1578"/>
      <c r="L40" s="1571">
        <f>H40-J40</f>
        <v>0</v>
      </c>
      <c r="M40" s="1571"/>
      <c r="O40" s="492" t="s">
        <v>2733</v>
      </c>
      <c r="P40" s="446"/>
      <c r="Q40" s="445"/>
      <c r="S40" s="1551"/>
      <c r="T40" s="1552"/>
    </row>
    <row r="41" spans="1:20" s="330" customFormat="1" ht="13.15" customHeight="1">
      <c r="A41" s="363"/>
      <c r="B41" s="1555" t="s">
        <v>851</v>
      </c>
      <c r="C41" s="1556"/>
      <c r="D41" s="1568"/>
      <c r="E41" s="1372" t="s">
        <v>3433</v>
      </c>
      <c r="F41" s="1373"/>
      <c r="G41" s="1375"/>
      <c r="H41" s="1581">
        <v>2500000</v>
      </c>
      <c r="I41" s="1591"/>
      <c r="J41" s="1577">
        <f>'Part IV-Uses of Funds'!$J$173*10*'Part IV-Uses of Funds'!$Q$166</f>
        <v>2500000</v>
      </c>
      <c r="K41" s="1578"/>
      <c r="L41" s="1571">
        <f>H41-J41</f>
        <v>0</v>
      </c>
      <c r="M41" s="1571"/>
      <c r="O41" s="493">
        <f>H40/H50</f>
        <v>0.69479087489456548</v>
      </c>
      <c r="P41" s="446"/>
      <c r="Q41" s="445"/>
      <c r="S41" s="1551"/>
      <c r="T41" s="1552"/>
    </row>
    <row r="42" spans="1:20" s="330" customFormat="1" ht="13.15" customHeight="1">
      <c r="A42" s="363"/>
      <c r="B42" s="1555" t="s">
        <v>1496</v>
      </c>
      <c r="C42" s="1556"/>
      <c r="D42" s="1568"/>
      <c r="E42" s="1372"/>
      <c r="F42" s="1373"/>
      <c r="G42" s="1375"/>
      <c r="H42" s="1581"/>
      <c r="I42" s="1591"/>
      <c r="M42" s="446"/>
      <c r="O42" s="493">
        <f>H41/H50</f>
        <v>0.20435025732193102</v>
      </c>
      <c r="P42" s="446"/>
      <c r="Q42" s="445"/>
      <c r="S42" s="1553"/>
      <c r="T42" s="1554"/>
    </row>
    <row r="43" spans="1:20" s="330" customFormat="1" ht="13.15" customHeight="1">
      <c r="A43" s="363"/>
      <c r="B43" s="1155" t="s">
        <v>559</v>
      </c>
      <c r="C43" s="1156"/>
      <c r="D43" s="1160"/>
      <c r="E43" s="1372"/>
      <c r="F43" s="1373"/>
      <c r="G43" s="1375"/>
      <c r="H43" s="1581"/>
      <c r="I43" s="1591"/>
      <c r="K43" s="363"/>
      <c r="L43" s="363"/>
      <c r="M43" s="446"/>
      <c r="O43" s="494">
        <f>SUM(O41:O42)</f>
        <v>0.8991411322164965</v>
      </c>
      <c r="P43" s="446"/>
      <c r="Q43" s="445"/>
      <c r="S43" s="1551"/>
      <c r="T43" s="1552"/>
    </row>
    <row r="44" spans="1:20" s="330" customFormat="1" ht="13.15" customHeight="1">
      <c r="A44" s="363"/>
      <c r="B44" s="1155" t="s">
        <v>1991</v>
      </c>
      <c r="C44" s="1156"/>
      <c r="D44" s="1160"/>
      <c r="E44" s="1372"/>
      <c r="F44" s="1373"/>
      <c r="G44" s="1375"/>
      <c r="H44" s="1581"/>
      <c r="I44" s="1591"/>
      <c r="J44" s="363"/>
      <c r="M44" s="446"/>
      <c r="N44" s="446"/>
      <c r="O44" s="446"/>
      <c r="P44" s="446"/>
      <c r="Q44" s="445"/>
      <c r="S44" s="1551"/>
      <c r="T44" s="1552"/>
    </row>
    <row r="45" spans="1:20" s="330" customFormat="1" ht="13.15" customHeight="1">
      <c r="A45" s="363"/>
      <c r="B45" s="1155" t="s">
        <v>1992</v>
      </c>
      <c r="C45" s="1156"/>
      <c r="D45" s="1160"/>
      <c r="E45" s="1372"/>
      <c r="F45" s="1373"/>
      <c r="G45" s="1375"/>
      <c r="H45" s="1581"/>
      <c r="I45" s="1591"/>
      <c r="J45" s="363"/>
      <c r="M45" s="446"/>
      <c r="N45" s="446"/>
      <c r="O45" s="446"/>
      <c r="P45" s="446"/>
      <c r="Q45" s="445"/>
      <c r="S45" s="1551"/>
      <c r="T45" s="1552"/>
    </row>
    <row r="46" spans="1:20" s="330" customFormat="1" ht="13.15" customHeight="1">
      <c r="A46" s="363"/>
      <c r="B46" s="1155" t="s">
        <v>785</v>
      </c>
      <c r="C46" s="1372" t="s">
        <v>3456</v>
      </c>
      <c r="D46" s="1375"/>
      <c r="E46" s="1372"/>
      <c r="F46" s="1373"/>
      <c r="G46" s="1375"/>
      <c r="H46" s="1581">
        <v>110</v>
      </c>
      <c r="I46" s="1591"/>
      <c r="J46" s="363"/>
      <c r="M46" s="446"/>
      <c r="N46" s="446"/>
      <c r="O46" s="446"/>
      <c r="P46" s="446"/>
      <c r="Q46" s="445"/>
      <c r="S46" s="1551"/>
      <c r="T46" s="1552"/>
    </row>
    <row r="47" spans="1:20" s="330" customFormat="1" ht="13.15" customHeight="1">
      <c r="A47" s="363"/>
      <c r="B47" s="1155" t="s">
        <v>785</v>
      </c>
      <c r="C47" s="1372"/>
      <c r="D47" s="1375"/>
      <c r="E47" s="1372"/>
      <c r="F47" s="1373"/>
      <c r="G47" s="1375"/>
      <c r="H47" s="1581"/>
      <c r="I47" s="1591"/>
      <c r="J47" s="363"/>
      <c r="K47" s="363"/>
      <c r="L47" s="447"/>
      <c r="M47" s="446"/>
      <c r="N47" s="446"/>
      <c r="O47" s="446"/>
      <c r="P47" s="446"/>
      <c r="Q47" s="445"/>
      <c r="S47" s="1551"/>
      <c r="T47" s="1552"/>
    </row>
    <row r="48" spans="1:20" s="330" customFormat="1" ht="13.15" customHeight="1">
      <c r="A48" s="363"/>
      <c r="B48" s="1158" t="s">
        <v>785</v>
      </c>
      <c r="C48" s="1372"/>
      <c r="D48" s="1375"/>
      <c r="E48" s="1372"/>
      <c r="F48" s="1373"/>
      <c r="G48" s="1375"/>
      <c r="H48" s="1581"/>
      <c r="I48" s="1591"/>
      <c r="J48" s="363"/>
      <c r="K48" s="363"/>
      <c r="L48" s="447"/>
      <c r="M48" s="446"/>
      <c r="N48" s="446"/>
      <c r="O48" s="446"/>
      <c r="P48" s="446"/>
      <c r="Q48" s="445"/>
      <c r="S48" s="1551"/>
      <c r="T48" s="1552"/>
    </row>
    <row r="49" spans="1:23" s="330" customFormat="1" ht="13.15" customHeight="1">
      <c r="A49" s="363"/>
      <c r="B49" s="1148" t="s">
        <v>2353</v>
      </c>
      <c r="C49" s="363"/>
      <c r="D49" s="363"/>
      <c r="E49" s="363"/>
      <c r="F49" s="363"/>
      <c r="G49" s="363"/>
      <c r="H49" s="1608">
        <f>SUM(H32:I48)</f>
        <v>12233897</v>
      </c>
      <c r="I49" s="1609"/>
      <c r="J49" s="383"/>
      <c r="K49" s="363"/>
      <c r="L49" s="447"/>
      <c r="M49" s="446"/>
      <c r="N49" s="446"/>
      <c r="O49" s="446"/>
      <c r="P49" s="446"/>
      <c r="Q49" s="445"/>
      <c r="S49" s="1551"/>
      <c r="T49" s="1552"/>
    </row>
    <row r="50" spans="1:23" s="330" customFormat="1" ht="13.15" customHeight="1" thickBot="1">
      <c r="A50" s="363"/>
      <c r="B50" s="1148" t="s">
        <v>2354</v>
      </c>
      <c r="C50" s="363"/>
      <c r="D50" s="363"/>
      <c r="E50" s="363"/>
      <c r="F50" s="363"/>
      <c r="G50" s="363"/>
      <c r="H50" s="1606">
        <f>'Part IV-Uses of Funds'!$G$130</f>
        <v>12233897</v>
      </c>
      <c r="I50" s="1607"/>
      <c r="J50" s="383"/>
      <c r="K50" s="363"/>
      <c r="L50" s="447"/>
      <c r="M50" s="446"/>
      <c r="N50" s="446"/>
      <c r="O50" s="446"/>
      <c r="P50" s="446"/>
      <c r="Q50" s="445"/>
      <c r="S50" s="1551"/>
      <c r="T50" s="1552"/>
    </row>
    <row r="51" spans="1:23" s="330" customFormat="1" ht="13.15" customHeight="1" thickBot="1">
      <c r="A51" s="363"/>
      <c r="B51" s="369" t="s">
        <v>1623</v>
      </c>
      <c r="C51" s="363"/>
      <c r="D51" s="363"/>
      <c r="E51" s="363"/>
      <c r="F51" s="363"/>
      <c r="G51" s="363"/>
      <c r="H51" s="1592">
        <f>H49-H50</f>
        <v>0</v>
      </c>
      <c r="I51" s="1593"/>
      <c r="J51" s="383"/>
      <c r="K51" s="363"/>
      <c r="L51" s="447"/>
      <c r="M51" s="446"/>
      <c r="N51" s="446"/>
      <c r="O51" s="446"/>
      <c r="P51" s="446"/>
      <c r="Q51" s="445"/>
      <c r="S51" s="1553"/>
      <c r="T51" s="1554"/>
    </row>
    <row r="52" spans="1:23" s="330" customFormat="1" ht="13.15" customHeight="1">
      <c r="A52" s="363" t="s">
        <v>3005</v>
      </c>
      <c r="B52" s="369"/>
      <c r="C52" s="363"/>
      <c r="D52" s="363"/>
      <c r="E52" s="363"/>
      <c r="F52" s="363"/>
      <c r="G52" s="363"/>
      <c r="H52" s="439"/>
      <c r="I52" s="439"/>
      <c r="J52" s="383"/>
      <c r="K52" s="363"/>
      <c r="L52" s="447"/>
      <c r="M52" s="446"/>
      <c r="N52" s="446"/>
      <c r="O52" s="446"/>
      <c r="P52" s="446"/>
      <c r="Q52" s="445"/>
      <c r="S52" s="1259"/>
      <c r="T52" s="1259"/>
    </row>
    <row r="53" spans="1:23" ht="6" customHeight="1">
      <c r="A53" s="383"/>
      <c r="B53" s="383"/>
      <c r="C53" s="383"/>
      <c r="D53" s="383"/>
      <c r="E53" s="383"/>
      <c r="F53" s="383"/>
      <c r="G53" s="383"/>
      <c r="H53" s="383"/>
      <c r="I53" s="383"/>
      <c r="J53" s="383"/>
      <c r="K53" s="383"/>
      <c r="L53" s="383"/>
      <c r="M53" s="383"/>
      <c r="N53" s="383"/>
      <c r="O53" s="383"/>
      <c r="P53" s="383"/>
      <c r="Q53" s="383"/>
    </row>
    <row r="54" spans="1:23" ht="12" customHeight="1">
      <c r="A54" s="366" t="s">
        <v>1907</v>
      </c>
      <c r="B54" s="366" t="s">
        <v>603</v>
      </c>
      <c r="C54" s="383"/>
      <c r="D54" s="383"/>
      <c r="E54" s="383"/>
      <c r="F54" s="383"/>
      <c r="G54" s="383"/>
      <c r="H54" s="383"/>
      <c r="I54" s="383"/>
      <c r="J54" s="383"/>
      <c r="K54" s="366" t="s">
        <v>1907</v>
      </c>
      <c r="L54" s="366" t="s">
        <v>82</v>
      </c>
      <c r="M54" s="383"/>
      <c r="N54" s="383"/>
      <c r="O54" s="383"/>
      <c r="P54" s="383"/>
      <c r="Q54" s="383"/>
    </row>
    <row r="55" spans="1:23" ht="5.45" customHeight="1">
      <c r="B55" s="418"/>
    </row>
    <row r="56" spans="1:23" ht="109.5" customHeight="1">
      <c r="A56" s="1439" t="s">
        <v>3553</v>
      </c>
      <c r="B56" s="1603"/>
      <c r="C56" s="1603"/>
      <c r="D56" s="1603"/>
      <c r="E56" s="1603"/>
      <c r="F56" s="1603"/>
      <c r="G56" s="1603"/>
      <c r="H56" s="1603"/>
      <c r="I56" s="1603"/>
      <c r="J56" s="1604"/>
      <c r="K56" s="1442"/>
      <c r="L56" s="1603"/>
      <c r="M56" s="1603"/>
      <c r="N56" s="1603"/>
      <c r="O56" s="1603"/>
      <c r="P56" s="1603"/>
      <c r="Q56" s="1604"/>
      <c r="S56" s="1544" t="s">
        <v>2914</v>
      </c>
      <c r="T56" s="1544"/>
      <c r="U56" s="603"/>
      <c r="V56" s="603"/>
      <c r="W56" s="603"/>
    </row>
    <row r="57" spans="1:23" ht="11.25" customHeight="1">
      <c r="S57" s="603"/>
      <c r="T57" s="603"/>
      <c r="U57" s="603"/>
      <c r="V57" s="603"/>
      <c r="W57" s="603"/>
    </row>
    <row r="58" spans="1:23" ht="12" customHeight="1"/>
    <row r="59" spans="1:23" ht="12" customHeight="1">
      <c r="B59" s="418"/>
    </row>
    <row r="60" spans="1:23" ht="14.45" customHeight="1"/>
    <row r="61" spans="1:23" s="330" customFormat="1" ht="14.45" customHeight="1"/>
    <row r="62" spans="1:23" s="330" customFormat="1" ht="14.45" customHeight="1"/>
    <row r="63" spans="1:23" s="330" customFormat="1" ht="14.45" customHeight="1"/>
    <row r="64" spans="1:23" ht="14.45" customHeight="1"/>
    <row r="65" spans="1:1" s="330" customFormat="1" ht="14.45" customHeight="1">
      <c r="A65" s="419"/>
    </row>
    <row r="66" spans="1:1" s="330" customFormat="1" ht="14.45" customHeight="1">
      <c r="A66" s="419"/>
    </row>
    <row r="67" spans="1:1" s="330" customFormat="1" ht="14.45" customHeight="1"/>
    <row r="68" spans="1:1" s="330" customFormat="1" ht="14.45" customHeight="1">
      <c r="A68" s="419"/>
    </row>
    <row r="69" spans="1:1" s="330" customFormat="1" ht="14.45" customHeight="1">
      <c r="A69" s="417"/>
    </row>
    <row r="70" spans="1:1" s="330" customFormat="1" ht="14.45" customHeight="1">
      <c r="A70" s="417"/>
    </row>
    <row r="71" spans="1:1" s="330" customFormat="1" ht="14.45" customHeight="1">
      <c r="A71" s="420"/>
    </row>
    <row r="72" spans="1:1" s="330" customFormat="1" ht="14.45" customHeight="1">
      <c r="A72" s="419"/>
    </row>
    <row r="73" spans="1:1" s="330" customFormat="1" ht="14.45" customHeight="1">
      <c r="A73" s="417"/>
    </row>
    <row r="74" spans="1:1" s="330" customFormat="1" ht="14.45" customHeight="1">
      <c r="A74" s="417"/>
    </row>
    <row r="75" spans="1:1" s="330" customFormat="1" ht="14.45" customHeight="1">
      <c r="A75" s="420"/>
    </row>
    <row r="76" spans="1:1" s="330" customFormat="1" ht="14.45" customHeight="1">
      <c r="A76" s="419"/>
    </row>
    <row r="77" spans="1:1" s="330" customFormat="1" ht="14.45" customHeight="1">
      <c r="A77" s="417"/>
    </row>
    <row r="78" spans="1:1" s="330" customFormat="1" ht="14.45" customHeight="1">
      <c r="A78" s="417"/>
    </row>
    <row r="79" spans="1:1" s="330" customFormat="1" ht="14.45" customHeight="1">
      <c r="A79" s="420"/>
    </row>
    <row r="80" spans="1:1" s="330" customFormat="1" ht="14.45" customHeight="1">
      <c r="A80" s="420"/>
    </row>
    <row r="81" spans="1:1" s="330" customFormat="1" ht="14.45" customHeight="1">
      <c r="A81" s="420"/>
    </row>
    <row r="82" spans="1:1" s="330" customFormat="1" ht="14.45" customHeight="1">
      <c r="A82" s="420"/>
    </row>
    <row r="83" spans="1:1" s="330" customFormat="1" ht="14.45" customHeight="1"/>
    <row r="84" spans="1:1" s="330" customFormat="1" ht="14.45" customHeight="1"/>
    <row r="85" spans="1:1" ht="14.45" customHeight="1"/>
    <row r="86" spans="1:1" ht="14.45" customHeight="1"/>
    <row r="87" spans="1:1" ht="14.45" customHeight="1"/>
    <row r="88" spans="1:1" ht="14.45" customHeight="1"/>
    <row r="89" spans="1:1" ht="14.45" customHeight="1"/>
    <row r="90" spans="1:1" ht="14.45" customHeight="1"/>
    <row r="91" spans="1:1" ht="14.45" customHeight="1"/>
    <row r="92" spans="1:1" ht="14.45" customHeight="1"/>
    <row r="93" spans="1:1" ht="14.45" customHeight="1"/>
    <row r="94" spans="1:1" ht="14.45" customHeight="1"/>
    <row r="95" spans="1:1" ht="14.45" customHeight="1"/>
    <row r="96" spans="1:1" ht="14.45" customHeight="1"/>
    <row r="97" ht="14.45" customHeight="1"/>
    <row r="98" ht="14.45" customHeight="1"/>
    <row r="99" ht="14.45" customHeight="1"/>
  </sheetData>
  <sheetProtection password="ACD2" sheet="1" objects="1" scenarios="1" formatColumns="0" formatRows="0"/>
  <mergeCells count="144">
    <mergeCell ref="A56:J56"/>
    <mergeCell ref="K56:Q56"/>
    <mergeCell ref="O35:P35"/>
    <mergeCell ref="M30:N31"/>
    <mergeCell ref="H50:I50"/>
    <mergeCell ref="H49:I49"/>
    <mergeCell ref="H48:I48"/>
    <mergeCell ref="O36:P36"/>
    <mergeCell ref="H40:I40"/>
    <mergeCell ref="H41:I41"/>
    <mergeCell ref="B34:D34"/>
    <mergeCell ref="E32:G32"/>
    <mergeCell ref="B32:D32"/>
    <mergeCell ref="B33:D33"/>
    <mergeCell ref="E31:G31"/>
    <mergeCell ref="M33:N33"/>
    <mergeCell ref="O31:P31"/>
    <mergeCell ref="O32:P32"/>
    <mergeCell ref="O34:P34"/>
    <mergeCell ref="O33:P33"/>
    <mergeCell ref="M36:N36"/>
    <mergeCell ref="H36:I36"/>
    <mergeCell ref="O37:P37"/>
    <mergeCell ref="C46:D46"/>
    <mergeCell ref="C47:D47"/>
    <mergeCell ref="C48:D48"/>
    <mergeCell ref="B38:D38"/>
    <mergeCell ref="H45:I45"/>
    <mergeCell ref="H43:I43"/>
    <mergeCell ref="H44:I44"/>
    <mergeCell ref="E45:G45"/>
    <mergeCell ref="E43:G43"/>
    <mergeCell ref="B41:D41"/>
    <mergeCell ref="B40:D40"/>
    <mergeCell ref="H38:I38"/>
    <mergeCell ref="B42:D42"/>
    <mergeCell ref="E38:G38"/>
    <mergeCell ref="E47:G47"/>
    <mergeCell ref="E46:G46"/>
    <mergeCell ref="E48:G48"/>
    <mergeCell ref="H47:I47"/>
    <mergeCell ref="N8:Q8"/>
    <mergeCell ref="L17:M17"/>
    <mergeCell ref="H13:K13"/>
    <mergeCell ref="S43:T51"/>
    <mergeCell ref="S32:T37"/>
    <mergeCell ref="H42:I42"/>
    <mergeCell ref="H46:I46"/>
    <mergeCell ref="H51:I51"/>
    <mergeCell ref="E36:G36"/>
    <mergeCell ref="E37:G37"/>
    <mergeCell ref="E44:G44"/>
    <mergeCell ref="E41:G41"/>
    <mergeCell ref="E42:G42"/>
    <mergeCell ref="S38:T42"/>
    <mergeCell ref="E35:G35"/>
    <mergeCell ref="N26:Q27"/>
    <mergeCell ref="M32:N32"/>
    <mergeCell ref="L15:M15"/>
    <mergeCell ref="P18:Q18"/>
    <mergeCell ref="N18:O18"/>
    <mergeCell ref="L26:M26"/>
    <mergeCell ref="L25:M25"/>
    <mergeCell ref="L24:M24"/>
    <mergeCell ref="L27:M27"/>
    <mergeCell ref="S31:T31"/>
    <mergeCell ref="S21:T27"/>
    <mergeCell ref="H22:K22"/>
    <mergeCell ref="P19:Q19"/>
    <mergeCell ref="N19:O19"/>
    <mergeCell ref="H23:K23"/>
    <mergeCell ref="N16:O16"/>
    <mergeCell ref="L14:M14"/>
    <mergeCell ref="H14:K14"/>
    <mergeCell ref="H18:K18"/>
    <mergeCell ref="H19:K19"/>
    <mergeCell ref="H20:K20"/>
    <mergeCell ref="P14:Q14"/>
    <mergeCell ref="N14:O14"/>
    <mergeCell ref="L16:M16"/>
    <mergeCell ref="L21:M21"/>
    <mergeCell ref="L22:M22"/>
    <mergeCell ref="L23:M23"/>
    <mergeCell ref="N15:O15"/>
    <mergeCell ref="L18:M18"/>
    <mergeCell ref="L19:M19"/>
    <mergeCell ref="L20:M20"/>
    <mergeCell ref="Q30:Q31"/>
    <mergeCell ref="H30:I30"/>
    <mergeCell ref="M37:N37"/>
    <mergeCell ref="M35:N35"/>
    <mergeCell ref="M34:N34"/>
    <mergeCell ref="L41:M41"/>
    <mergeCell ref="L40:M40"/>
    <mergeCell ref="H39:I39"/>
    <mergeCell ref="L39:M39"/>
    <mergeCell ref="B21:D21"/>
    <mergeCell ref="B19:D19"/>
    <mergeCell ref="J39:K39"/>
    <mergeCell ref="J40:K40"/>
    <mergeCell ref="J41:K41"/>
    <mergeCell ref="E34:G34"/>
    <mergeCell ref="E40:G40"/>
    <mergeCell ref="E39:G39"/>
    <mergeCell ref="H31:I31"/>
    <mergeCell ref="H33:I33"/>
    <mergeCell ref="H34:I34"/>
    <mergeCell ref="H32:I32"/>
    <mergeCell ref="H37:I37"/>
    <mergeCell ref="H35:I35"/>
    <mergeCell ref="C35:D35"/>
    <mergeCell ref="B16:D16"/>
    <mergeCell ref="H17:K17"/>
    <mergeCell ref="D24:G24"/>
    <mergeCell ref="E33:G33"/>
    <mergeCell ref="H24:K24"/>
    <mergeCell ref="H21:K21"/>
    <mergeCell ref="B39:D39"/>
    <mergeCell ref="D23:G23"/>
    <mergeCell ref="D22:G22"/>
    <mergeCell ref="P7:Q7"/>
    <mergeCell ref="S56:T56"/>
    <mergeCell ref="S1:T1"/>
    <mergeCell ref="S13:T13"/>
    <mergeCell ref="H15:K15"/>
    <mergeCell ref="H16:K16"/>
    <mergeCell ref="P16:Q16"/>
    <mergeCell ref="S4:T4"/>
    <mergeCell ref="S14:T20"/>
    <mergeCell ref="S5:T8"/>
    <mergeCell ref="A1:Q1"/>
    <mergeCell ref="B20:D20"/>
    <mergeCell ref="B14:D14"/>
    <mergeCell ref="N17:O17"/>
    <mergeCell ref="L13:M13"/>
    <mergeCell ref="B18:D18"/>
    <mergeCell ref="B17:D17"/>
    <mergeCell ref="P15:Q15"/>
    <mergeCell ref="P17:Q17"/>
    <mergeCell ref="P4:Q4"/>
    <mergeCell ref="P13:Q13"/>
    <mergeCell ref="N13:O13"/>
    <mergeCell ref="N11:O11"/>
    <mergeCell ref="B15:D15"/>
  </mergeCells>
  <phoneticPr fontId="6" type="noConversion"/>
  <conditionalFormatting sqref="B32:D34">
    <cfRule type="cellIs" dxfId="22" priority="1" stopIfTrue="1" operator="equal">
      <formula>"Make a selection FIRST --&gt;"</formula>
    </cfRule>
  </conditionalFormatting>
  <dataValidations xWindow="265" yWindow="773" count="4">
    <dataValidation type="list" allowBlank="1" showInputMessage="1" showErrorMessage="1" sqref="H8 B5 E5:E6">
      <formula1>"Yes, No"</formula1>
    </dataValidation>
    <dataValidation type="list" showInputMessage="1" showErrorMessage="1" sqref="B6:B8 E7:E8 H4:H7 M5:M8">
      <formula1>"Yes, No"</formula1>
    </dataValidation>
    <dataValidation type="list" allowBlank="1" showInputMessage="1" showErrorMessage="1" sqref="O32:P36">
      <formula1>"Amortizing, DCA HOME IPS, Cash Flow, Adjusted Interest"</formula1>
    </dataValidation>
    <dataValidation type="list" allowBlank="1" showInputMessage="1" showErrorMessage="1" sqref="O37:P37">
      <formula1>"Amortizing, Cash Flow"</formula1>
    </dataValidation>
  </dataValidations>
  <printOptions horizontalCentered="1"/>
  <pageMargins left="0.5" right="0.5" top="0.5" bottom="0.5" header="0.25" footer="0.25"/>
  <pageSetup fitToHeight="0" orientation="landscape" r:id="rId1"/>
  <headerFooter alignWithMargins="0">
    <oddHeader>&amp;L&amp;11Georgia Department of Community Affairs&amp;C&amp;11 2014 Funding Application&amp;R&amp;11Housing Finance and Development Division</oddHeader>
    <oddFooter>&amp;L&amp;"Arial Narrow,Regular"&amp;G &amp;F&amp;C&amp;"Arial Narrow,Regular"&amp;A&amp;R&amp;P of &amp;N</oddFooter>
  </headerFooter>
  <rowBreaks count="1" manualBreakCount="1">
    <brk id="28" max="16383" man="1"/>
  </rowBreaks>
  <legacyDrawingHF r:id="rId2"/>
</worksheet>
</file>

<file path=xl/worksheets/sheet5.xml><?xml version="1.0" encoding="utf-8"?>
<worksheet xmlns="http://schemas.openxmlformats.org/spreadsheetml/2006/main" xmlns:r="http://schemas.openxmlformats.org/officeDocument/2006/relationships">
  <sheetPr codeName="Sheet6">
    <pageSetUpPr fitToPage="1"/>
  </sheetPr>
  <dimension ref="A1:Q744"/>
  <sheetViews>
    <sheetView showGridLines="0" workbookViewId="0">
      <selection activeCell="J42" sqref="J42"/>
    </sheetView>
  </sheetViews>
  <sheetFormatPr defaultColWidth="8.85546875" defaultRowHeight="12.75"/>
  <cols>
    <col min="1" max="1" width="17.7109375" style="31" customWidth="1"/>
    <col min="2" max="5" width="16.85546875" style="31" customWidth="1"/>
    <col min="6" max="6" width="4.85546875" style="31" bestFit="1" customWidth="1"/>
    <col min="7" max="7" width="11.28515625" style="31" customWidth="1"/>
    <col min="8" max="8" width="12.140625" style="31" bestFit="1" customWidth="1"/>
    <col min="9" max="9" width="12.42578125" style="31" bestFit="1" customWidth="1"/>
    <col min="10" max="10" width="11.7109375" style="31" bestFit="1" customWidth="1"/>
    <col min="11" max="11" width="15.140625" style="31" bestFit="1" customWidth="1"/>
    <col min="12" max="16384" width="8.85546875" style="31"/>
  </cols>
  <sheetData>
    <row r="1" spans="1:17" s="204" customFormat="1" ht="16.149999999999999" customHeight="1">
      <c r="A1" s="1622" t="str">
        <f>CONCATENATE("PART III B: USD 538 LOAN","  -  ",'Part I-Project Information'!$O$4," ",'Part I-Project Information'!$F$23,", ",'Part I-Project Information'!$F$27,", ",'Part I-Project Information'!$J$28," County")</f>
        <v>PART III B: USD 538 LOAN  -  2014-028 Highland Estates, Rome, Floyd County</v>
      </c>
      <c r="B1" s="1623"/>
      <c r="C1" s="1623"/>
      <c r="D1" s="1623"/>
      <c r="E1" s="1623"/>
      <c r="F1" s="1624"/>
      <c r="G1" s="201"/>
      <c r="H1" s="201"/>
      <c r="I1" s="201"/>
      <c r="J1" s="201"/>
      <c r="K1" s="201"/>
      <c r="L1" s="201"/>
      <c r="M1" s="201"/>
      <c r="N1" s="201"/>
      <c r="O1" s="201"/>
      <c r="P1" s="201"/>
      <c r="Q1" s="201"/>
    </row>
    <row r="2" spans="1:17" ht="10.9" customHeight="1">
      <c r="A2" s="239"/>
      <c r="B2" s="239"/>
      <c r="C2" s="239"/>
      <c r="D2" s="239"/>
      <c r="E2" s="239"/>
      <c r="F2" s="239"/>
      <c r="G2" s="239"/>
      <c r="H2" s="239"/>
    </row>
    <row r="3" spans="1:17" ht="14.45" customHeight="1">
      <c r="A3" s="1615" t="s">
        <v>226</v>
      </c>
      <c r="B3" s="1615"/>
      <c r="C3" s="1615"/>
      <c r="D3" s="1615"/>
      <c r="E3" s="1615"/>
      <c r="F3" s="1615"/>
      <c r="G3" s="239"/>
      <c r="H3" s="239"/>
    </row>
    <row r="4" spans="1:17" s="227" customFormat="1" ht="6" customHeight="1"/>
    <row r="5" spans="1:17">
      <c r="A5" s="40" t="s">
        <v>2395</v>
      </c>
      <c r="B5" s="40"/>
      <c r="C5" s="312"/>
      <c r="D5" s="313">
        <f>IF(C5&gt;1500000,1500000,0)</f>
        <v>0</v>
      </c>
      <c r="E5" s="314">
        <f>IF(C5&gt;1500000,C5-1500000,0)</f>
        <v>0</v>
      </c>
    </row>
    <row r="6" spans="1:17">
      <c r="A6" s="40" t="s">
        <v>2622</v>
      </c>
      <c r="B6" s="262" t="s">
        <v>532</v>
      </c>
      <c r="C6" s="315">
        <v>0</v>
      </c>
      <c r="D6" s="138" t="s">
        <v>533</v>
      </c>
      <c r="E6" s="40"/>
    </row>
    <row r="7" spans="1:17">
      <c r="A7" s="40"/>
      <c r="B7" s="262" t="s">
        <v>2638</v>
      </c>
      <c r="C7" s="316"/>
      <c r="D7" s="138" t="s">
        <v>1767</v>
      </c>
      <c r="E7" s="40"/>
    </row>
    <row r="8" spans="1:17" ht="13.15" customHeight="1">
      <c r="A8" s="40" t="s">
        <v>2626</v>
      </c>
      <c r="B8" s="40"/>
      <c r="C8" s="315">
        <v>0</v>
      </c>
      <c r="D8" s="138" t="s">
        <v>1768</v>
      </c>
      <c r="E8" s="40"/>
    </row>
    <row r="9" spans="1:17">
      <c r="A9" s="40" t="s">
        <v>1469</v>
      </c>
      <c r="B9" s="40"/>
      <c r="C9" s="317"/>
      <c r="D9" s="40"/>
      <c r="E9" s="40"/>
    </row>
    <row r="10" spans="1:17">
      <c r="A10" s="40" t="s">
        <v>1470</v>
      </c>
      <c r="B10" s="40"/>
      <c r="C10" s="317"/>
      <c r="D10" s="40"/>
      <c r="E10" s="40"/>
    </row>
    <row r="11" spans="1:17">
      <c r="A11" s="40" t="s">
        <v>1467</v>
      </c>
      <c r="B11" s="40"/>
      <c r="C11" s="318" t="e">
        <f>PMT(C7/12,C10*12,-C5,0,0)*12</f>
        <v>#NUM!</v>
      </c>
      <c r="D11" s="313" t="e">
        <f>PMT($C$7/12,$C$10*12,-D5,0,0)*12</f>
        <v>#NUM!</v>
      </c>
      <c r="E11" s="313" t="e">
        <f>PMT($C$7/12,$C$10*12,-E5,0,0)*12</f>
        <v>#NUM!</v>
      </c>
    </row>
    <row r="12" spans="1:17">
      <c r="A12" s="40" t="s">
        <v>1468</v>
      </c>
      <c r="B12" s="40"/>
      <c r="C12" s="319" t="e">
        <f>C11/12</f>
        <v>#NUM!</v>
      </c>
      <c r="D12" s="313" t="e">
        <f>D11/12</f>
        <v>#NUM!</v>
      </c>
      <c r="E12" s="313" t="e">
        <f>E11/12</f>
        <v>#NUM!</v>
      </c>
    </row>
    <row r="13" spans="1:17" ht="10.9" customHeight="1">
      <c r="A13" s="239"/>
      <c r="B13" s="239"/>
      <c r="C13" s="239"/>
      <c r="D13" s="239"/>
      <c r="E13" s="239"/>
      <c r="F13" s="239"/>
      <c r="G13" s="239"/>
      <c r="H13" s="239"/>
    </row>
    <row r="14" spans="1:17" ht="12.6" customHeight="1">
      <c r="A14" s="1616" t="s">
        <v>131</v>
      </c>
      <c r="B14" s="1616"/>
      <c r="C14" s="1616"/>
      <c r="D14" s="1616"/>
      <c r="E14" s="1616"/>
      <c r="F14" s="1616"/>
      <c r="G14" s="239"/>
      <c r="H14" s="239"/>
    </row>
    <row r="15" spans="1:17" ht="5.45" customHeight="1">
      <c r="A15" s="32"/>
      <c r="E15" s="250"/>
      <c r="F15" s="239"/>
      <c r="G15" s="239"/>
      <c r="H15" s="239"/>
    </row>
    <row r="16" spans="1:17" ht="13.15" customHeight="1">
      <c r="A16" s="252" t="s">
        <v>2639</v>
      </c>
      <c r="B16" s="253" t="s">
        <v>2636</v>
      </c>
      <c r="C16" s="253" t="s">
        <v>2637</v>
      </c>
      <c r="D16" s="1625" t="s">
        <v>2394</v>
      </c>
      <c r="E16" s="1625"/>
      <c r="F16" s="239"/>
      <c r="G16" s="239"/>
      <c r="H16" s="239"/>
    </row>
    <row r="17" spans="1:8" ht="12.6" customHeight="1">
      <c r="A17" s="94">
        <v>1</v>
      </c>
      <c r="B17" s="228">
        <f>IF(A17&gt;$C$9,0,SUM(C64:C75)*($C$6/$C$7))</f>
        <v>0</v>
      </c>
      <c r="C17" s="251">
        <f>IF(A17&gt;C9,0,(E63+K63)*$C$8)</f>
        <v>0</v>
      </c>
      <c r="D17" s="1620">
        <f t="shared" ref="D17:D56" si="0">IF(A17&gt;$C$9,0,$C$11+C17)</f>
        <v>0</v>
      </c>
      <c r="E17" s="1620"/>
      <c r="F17" s="239"/>
      <c r="G17" s="239"/>
      <c r="H17" s="239"/>
    </row>
    <row r="18" spans="1:8" ht="12.6" customHeight="1">
      <c r="A18" s="94">
        <v>2</v>
      </c>
      <c r="B18" s="228">
        <f>IF(A18&gt;C9,0,SUM(C76:C87)*($C$6/$C$7))</f>
        <v>0</v>
      </c>
      <c r="C18" s="258">
        <f>IF(A18&gt;C9,0,(E75+K75)*$C$8)</f>
        <v>0</v>
      </c>
      <c r="D18" s="1618">
        <f t="shared" si="0"/>
        <v>0</v>
      </c>
      <c r="E18" s="1618"/>
      <c r="F18" s="239"/>
      <c r="G18" s="239"/>
      <c r="H18" s="239"/>
    </row>
    <row r="19" spans="1:8" ht="12.6" customHeight="1">
      <c r="A19" s="94">
        <v>3</v>
      </c>
      <c r="B19" s="228">
        <f>IF(A19&gt;C9,0,SUM(C88:C99)*($C$6/$C$7))</f>
        <v>0</v>
      </c>
      <c r="C19" s="251">
        <f>IF(A19&gt;C9,0,(E87+K87)*$C$8)</f>
        <v>0</v>
      </c>
      <c r="D19" s="1618">
        <f t="shared" si="0"/>
        <v>0</v>
      </c>
      <c r="E19" s="1618"/>
      <c r="F19" s="239"/>
      <c r="G19" s="239"/>
      <c r="H19" s="239"/>
    </row>
    <row r="20" spans="1:8" ht="12.6" customHeight="1">
      <c r="A20" s="94">
        <v>4</v>
      </c>
      <c r="B20" s="228">
        <f>IF(A20&gt;C9,0,SUM(C100:C111)*($C$6/$C$7))</f>
        <v>0</v>
      </c>
      <c r="C20" s="251">
        <f>IF(A20&gt;C9,0,(E99+K99)*$C$8)</f>
        <v>0</v>
      </c>
      <c r="D20" s="1618">
        <f t="shared" si="0"/>
        <v>0</v>
      </c>
      <c r="E20" s="1618"/>
      <c r="F20" s="239"/>
      <c r="G20" s="239"/>
      <c r="H20" s="239"/>
    </row>
    <row r="21" spans="1:8" ht="12.6" customHeight="1">
      <c r="A21" s="94">
        <v>5</v>
      </c>
      <c r="B21" s="228">
        <f>IF(A21&gt;C9,0,SUM(C112:C123)*($C$6/$C$7))</f>
        <v>0</v>
      </c>
      <c r="C21" s="251">
        <f>IF(A21&gt;C9,0,(E111+K111)*$C$8)</f>
        <v>0</v>
      </c>
      <c r="D21" s="1619">
        <f t="shared" si="0"/>
        <v>0</v>
      </c>
      <c r="E21" s="1619"/>
      <c r="F21" s="239"/>
      <c r="G21" s="239"/>
      <c r="H21" s="239"/>
    </row>
    <row r="22" spans="1:8" ht="12.6" customHeight="1">
      <c r="A22" s="229">
        <v>6</v>
      </c>
      <c r="B22" s="230">
        <f>IF(A22&gt;C9,0,SUM(C124:C135)*($C$6/$C$7))</f>
        <v>0</v>
      </c>
      <c r="C22" s="255">
        <f>IF(A22&gt;C9,0,(E123+K123)*$C$8)</f>
        <v>0</v>
      </c>
      <c r="D22" s="1618">
        <f t="shared" si="0"/>
        <v>0</v>
      </c>
      <c r="E22" s="1618"/>
      <c r="F22" s="239"/>
      <c r="G22" s="239"/>
      <c r="H22" s="239"/>
    </row>
    <row r="23" spans="1:8" ht="12.6" customHeight="1">
      <c r="A23" s="231">
        <v>7</v>
      </c>
      <c r="B23" s="232">
        <f>IF(A23&gt;C9,0,SUM(C136:C147)*($C$6/$C$7))</f>
        <v>0</v>
      </c>
      <c r="C23" s="233">
        <f>IF(A23&gt;C9,0,(E135+K135)*$C$8)</f>
        <v>0</v>
      </c>
      <c r="D23" s="1618">
        <f t="shared" si="0"/>
        <v>0</v>
      </c>
      <c r="E23" s="1618"/>
      <c r="F23" s="239"/>
      <c r="G23" s="239"/>
      <c r="H23" s="239"/>
    </row>
    <row r="24" spans="1:8" ht="12.6" customHeight="1">
      <c r="A24" s="231">
        <v>8</v>
      </c>
      <c r="B24" s="232">
        <f>IF(A24&gt;C9,0,SUM(C148:C159)*($C$6/$C$7))</f>
        <v>0</v>
      </c>
      <c r="C24" s="233">
        <f>IF(A24&gt;C9,0,(E147+K147)*$C$8)</f>
        <v>0</v>
      </c>
      <c r="D24" s="1618">
        <f t="shared" si="0"/>
        <v>0</v>
      </c>
      <c r="E24" s="1618"/>
      <c r="F24" s="239"/>
      <c r="G24" s="239"/>
      <c r="H24" s="239"/>
    </row>
    <row r="25" spans="1:8" ht="12.6" customHeight="1">
      <c r="A25" s="231">
        <v>9</v>
      </c>
      <c r="B25" s="232">
        <f>IF(A25&gt;C9,0,SUM(C160:C171)*($C$6/$C$7))</f>
        <v>0</v>
      </c>
      <c r="C25" s="233">
        <f>IF(A25&gt;C9,0,(E159+K159)*$C$8)</f>
        <v>0</v>
      </c>
      <c r="D25" s="1618">
        <f t="shared" si="0"/>
        <v>0</v>
      </c>
      <c r="E25" s="1618"/>
      <c r="F25" s="239"/>
      <c r="G25" s="239"/>
      <c r="H25" s="239"/>
    </row>
    <row r="26" spans="1:8" ht="12.6" customHeight="1">
      <c r="A26" s="234">
        <v>10</v>
      </c>
      <c r="B26" s="235">
        <f>IF(A26&gt;C9,0,SUM(C172:C183)*($C$6/$C$7))</f>
        <v>0</v>
      </c>
      <c r="C26" s="254">
        <f>IF(A26&gt;C9,0,(E171+K171)*$C$8)</f>
        <v>0</v>
      </c>
      <c r="D26" s="1619">
        <f t="shared" si="0"/>
        <v>0</v>
      </c>
      <c r="E26" s="1619"/>
      <c r="F26" s="239"/>
      <c r="G26" s="239"/>
      <c r="H26" s="239"/>
    </row>
    <row r="27" spans="1:8" ht="12.6" customHeight="1">
      <c r="A27" s="236">
        <v>11</v>
      </c>
      <c r="B27" s="228">
        <f>IF(A27&gt;C9,0,SUM(C184:C195)*($C$6/$C$7))</f>
        <v>0</v>
      </c>
      <c r="C27" s="251">
        <f>IF(A27&gt;C9,0,(E183+K183)*$C$8)</f>
        <v>0</v>
      </c>
      <c r="D27" s="1618">
        <f t="shared" si="0"/>
        <v>0</v>
      </c>
      <c r="E27" s="1618"/>
      <c r="F27" s="239"/>
      <c r="G27" s="239"/>
      <c r="H27" s="239"/>
    </row>
    <row r="28" spans="1:8" ht="12.6" customHeight="1">
      <c r="A28" s="236">
        <v>12</v>
      </c>
      <c r="B28" s="228">
        <f>IF(A28&gt;C9,0,SUM(C196:C207)*($C$6/$C$7))</f>
        <v>0</v>
      </c>
      <c r="C28" s="251">
        <f>IF(A28&gt;C9,0,(E195+K195)*$C$8)</f>
        <v>0</v>
      </c>
      <c r="D28" s="1618">
        <f t="shared" si="0"/>
        <v>0</v>
      </c>
      <c r="E28" s="1618"/>
      <c r="F28" s="239"/>
      <c r="G28" s="239"/>
      <c r="H28" s="239"/>
    </row>
    <row r="29" spans="1:8" ht="12.6" customHeight="1">
      <c r="A29" s="236">
        <v>13</v>
      </c>
      <c r="B29" s="228">
        <f>IF(A29&gt;C9,0,SUM(C208:C219)*($C$6/$C$7))</f>
        <v>0</v>
      </c>
      <c r="C29" s="251">
        <f>IF(A29&gt;C9,0,(E207+K207)*$C$8)</f>
        <v>0</v>
      </c>
      <c r="D29" s="1618">
        <f t="shared" si="0"/>
        <v>0</v>
      </c>
      <c r="E29" s="1618"/>
      <c r="F29" s="239"/>
      <c r="G29" s="239"/>
      <c r="H29" s="239"/>
    </row>
    <row r="30" spans="1:8" ht="12.6" customHeight="1">
      <c r="A30" s="236">
        <v>14</v>
      </c>
      <c r="B30" s="228">
        <f>IF(A30&gt;C9,0,SUM(C220:C231)*($C$6/$C$7))</f>
        <v>0</v>
      </c>
      <c r="C30" s="251">
        <f>IF(A30&gt;C9,0,(E219+K219)*$C$8)</f>
        <v>0</v>
      </c>
      <c r="D30" s="1618">
        <f t="shared" si="0"/>
        <v>0</v>
      </c>
      <c r="E30" s="1618"/>
      <c r="F30" s="239"/>
      <c r="G30" s="239"/>
      <c r="H30" s="239"/>
    </row>
    <row r="31" spans="1:8" ht="12.6" customHeight="1">
      <c r="A31" s="236">
        <v>15</v>
      </c>
      <c r="B31" s="228">
        <f>IF(A31&gt;C9,0,SUM(C232:C243)*($C$6/$C$7))</f>
        <v>0</v>
      </c>
      <c r="C31" s="251">
        <f>IF(A31&gt;C9,0,(E231+K231)*$C$8)</f>
        <v>0</v>
      </c>
      <c r="D31" s="1619">
        <f t="shared" si="0"/>
        <v>0</v>
      </c>
      <c r="E31" s="1619"/>
      <c r="F31" s="239"/>
      <c r="G31" s="239"/>
      <c r="H31" s="239"/>
    </row>
    <row r="32" spans="1:8" ht="12.6" customHeight="1">
      <c r="A32" s="238">
        <v>16</v>
      </c>
      <c r="B32" s="230">
        <f>IF(A32&gt;C9,0,SUM(C244:C255)*($C$6/$C$7))</f>
        <v>0</v>
      </c>
      <c r="C32" s="255">
        <f>IF(A32&gt;C9,0,(E243+K243)*$C$8)</f>
        <v>0</v>
      </c>
      <c r="D32" s="1618">
        <f t="shared" si="0"/>
        <v>0</v>
      </c>
      <c r="E32" s="1618"/>
      <c r="F32" s="239"/>
      <c r="G32" s="239"/>
      <c r="H32" s="239"/>
    </row>
    <row r="33" spans="1:8" ht="12.6" customHeight="1">
      <c r="A33" s="231">
        <v>17</v>
      </c>
      <c r="B33" s="232">
        <f>IF(A33&gt;C9,0,SUM(C256:C267)*($C$6/$C$7))</f>
        <v>0</v>
      </c>
      <c r="C33" s="233">
        <f>IF(A33&gt;C9,0,(E255+K255)*$C$8)</f>
        <v>0</v>
      </c>
      <c r="D33" s="1618">
        <f t="shared" si="0"/>
        <v>0</v>
      </c>
      <c r="E33" s="1618"/>
      <c r="F33" s="239"/>
      <c r="G33" s="239"/>
      <c r="H33" s="239"/>
    </row>
    <row r="34" spans="1:8" ht="12.6" customHeight="1">
      <c r="A34" s="231">
        <v>18</v>
      </c>
      <c r="B34" s="232">
        <f>IF(A34&gt;C9,0,SUM(C268:C279)*($C$6/$C$7))</f>
        <v>0</v>
      </c>
      <c r="C34" s="233">
        <f>IF(A34&gt;C9,0,(E267+K267)*$C$8)</f>
        <v>0</v>
      </c>
      <c r="D34" s="1618">
        <f t="shared" si="0"/>
        <v>0</v>
      </c>
      <c r="E34" s="1618"/>
      <c r="F34" s="239"/>
      <c r="G34" s="239"/>
      <c r="H34" s="239"/>
    </row>
    <row r="35" spans="1:8" ht="12.6" customHeight="1">
      <c r="A35" s="231">
        <v>19</v>
      </c>
      <c r="B35" s="232">
        <f>IF(A35&gt;C9,0,SUM(C280:C291)*($C$6/$C$7))</f>
        <v>0</v>
      </c>
      <c r="C35" s="233">
        <f>IF(A35&gt;C9,0,(E279+K279)*$C$8)</f>
        <v>0</v>
      </c>
      <c r="D35" s="1618">
        <f t="shared" si="0"/>
        <v>0</v>
      </c>
      <c r="E35" s="1618"/>
      <c r="F35" s="239"/>
      <c r="G35" s="239"/>
      <c r="H35" s="239"/>
    </row>
    <row r="36" spans="1:8" ht="12.6" customHeight="1">
      <c r="A36" s="234">
        <v>20</v>
      </c>
      <c r="B36" s="235">
        <f>IF(A36&gt;C9,0,SUM(C292:C303)*($C$6/$C$7))</f>
        <v>0</v>
      </c>
      <c r="C36" s="254">
        <f>IF(A36&gt;C9,0,(E291+K291)*$C$8)</f>
        <v>0</v>
      </c>
      <c r="D36" s="1619">
        <f t="shared" si="0"/>
        <v>0</v>
      </c>
      <c r="E36" s="1619"/>
      <c r="F36" s="239"/>
      <c r="G36" s="239"/>
      <c r="H36" s="239"/>
    </row>
    <row r="37" spans="1:8" ht="12.6" customHeight="1">
      <c r="A37" s="94">
        <v>21</v>
      </c>
      <c r="B37" s="230">
        <f>IF(A37&gt;C9,0,SUM(C293:C304)*($C$6/$C$7))</f>
        <v>0</v>
      </c>
      <c r="C37" s="255">
        <f>IF(A37&gt;C9,0,(E303+K303)*$C$8)</f>
        <v>0</v>
      </c>
      <c r="D37" s="1621">
        <f t="shared" si="0"/>
        <v>0</v>
      </c>
      <c r="E37" s="1621"/>
      <c r="F37" s="239"/>
      <c r="G37" s="239"/>
      <c r="H37" s="239"/>
    </row>
    <row r="38" spans="1:8" ht="12.6" customHeight="1">
      <c r="A38" s="94">
        <v>22</v>
      </c>
      <c r="B38" s="232">
        <f>IF(A38&gt;C9,0,SUM(C294:C305)*($C$6/$C$7))</f>
        <v>0</v>
      </c>
      <c r="C38" s="233">
        <f>IF(A38&gt;C9,0,(E315+K315)*$C$8)</f>
        <v>0</v>
      </c>
      <c r="D38" s="1618">
        <f t="shared" si="0"/>
        <v>0</v>
      </c>
      <c r="E38" s="1618"/>
      <c r="F38" s="239"/>
      <c r="G38" s="239"/>
      <c r="H38" s="239"/>
    </row>
    <row r="39" spans="1:8" ht="12.6" customHeight="1">
      <c r="A39" s="94">
        <v>23</v>
      </c>
      <c r="B39" s="232">
        <f>IF(A39&gt;C9,0,SUM(C295:C306)*($C$6/$C$7))</f>
        <v>0</v>
      </c>
      <c r="C39" s="233">
        <f>IF(A39&gt;C9,0,(E327+K327)*$C$8)</f>
        <v>0</v>
      </c>
      <c r="D39" s="1618">
        <f t="shared" si="0"/>
        <v>0</v>
      </c>
      <c r="E39" s="1618"/>
      <c r="F39" s="239"/>
      <c r="G39" s="239"/>
      <c r="H39" s="239"/>
    </row>
    <row r="40" spans="1:8" ht="12.6" customHeight="1">
      <c r="A40" s="94">
        <v>24</v>
      </c>
      <c r="B40" s="232">
        <f>IF(A40&gt;C9,0,SUM(C296:C307)*($C$6/$C$7))</f>
        <v>0</v>
      </c>
      <c r="C40" s="233">
        <f>IF(A40&gt;C9,0,(E339+K339)*$C$8)</f>
        <v>0</v>
      </c>
      <c r="D40" s="1618">
        <f t="shared" si="0"/>
        <v>0</v>
      </c>
      <c r="E40" s="1618"/>
      <c r="F40" s="239"/>
      <c r="G40" s="239"/>
      <c r="H40" s="239"/>
    </row>
    <row r="41" spans="1:8" ht="12.6" customHeight="1">
      <c r="A41" s="94">
        <v>25</v>
      </c>
      <c r="B41" s="235">
        <f>IF(A41&gt;C9,0,SUM(C297:C308)*($C$6/$C$7))</f>
        <v>0</v>
      </c>
      <c r="C41" s="254">
        <f>IF(A41&gt;C9,0,(E351+K351)*$C$8)</f>
        <v>0</v>
      </c>
      <c r="D41" s="1619">
        <f t="shared" si="0"/>
        <v>0</v>
      </c>
      <c r="E41" s="1619"/>
      <c r="F41" s="239"/>
      <c r="G41" s="239"/>
      <c r="H41" s="239"/>
    </row>
    <row r="42" spans="1:8" ht="12.6" customHeight="1">
      <c r="A42" s="229">
        <v>26</v>
      </c>
      <c r="B42" s="230">
        <f>IF(A42&gt;C9,0,SUM(C298:C309)*($C$6/$C$7))</f>
        <v>0</v>
      </c>
      <c r="C42" s="255">
        <f>IF(A42&gt;C9,0,(E363+K363)*$C$8)</f>
        <v>0</v>
      </c>
      <c r="D42" s="1621">
        <f t="shared" si="0"/>
        <v>0</v>
      </c>
      <c r="E42" s="1621"/>
      <c r="F42" s="239"/>
      <c r="G42" s="239"/>
      <c r="H42" s="239"/>
    </row>
    <row r="43" spans="1:8" ht="12.6" customHeight="1">
      <c r="A43" s="231">
        <v>27</v>
      </c>
      <c r="B43" s="232">
        <f>IF(A43&gt;C9,0,SUM(C299:C310)*($C$6/$C$7))</f>
        <v>0</v>
      </c>
      <c r="C43" s="233">
        <f>IF(A43&gt;C9,0,(E375+K375)*$C$8)</f>
        <v>0</v>
      </c>
      <c r="D43" s="1618">
        <f t="shared" si="0"/>
        <v>0</v>
      </c>
      <c r="E43" s="1618"/>
      <c r="F43" s="239"/>
      <c r="G43" s="239"/>
      <c r="H43" s="239"/>
    </row>
    <row r="44" spans="1:8" ht="12.6" customHeight="1">
      <c r="A44" s="231">
        <v>28</v>
      </c>
      <c r="B44" s="232">
        <f>IF(A44&gt;C9,0,SUM(C300:C311)*($C$6/$C$7))</f>
        <v>0</v>
      </c>
      <c r="C44" s="233">
        <f>IF(A44&gt;C9,0,(E387+K387)*$C$8)</f>
        <v>0</v>
      </c>
      <c r="D44" s="1618">
        <f t="shared" si="0"/>
        <v>0</v>
      </c>
      <c r="E44" s="1618"/>
      <c r="F44" s="239"/>
      <c r="G44" s="239"/>
      <c r="H44" s="239"/>
    </row>
    <row r="45" spans="1:8" ht="12.6" customHeight="1">
      <c r="A45" s="231">
        <v>29</v>
      </c>
      <c r="B45" s="232">
        <f>IF(A45&gt;C9,0,SUM(C301:C312)*($C$6/$C$7))</f>
        <v>0</v>
      </c>
      <c r="C45" s="233">
        <f>IF(A45&gt;C9,0,(E411+K411)*$C$8)</f>
        <v>0</v>
      </c>
      <c r="D45" s="1618">
        <f t="shared" si="0"/>
        <v>0</v>
      </c>
      <c r="E45" s="1618"/>
      <c r="F45" s="239"/>
      <c r="G45" s="239"/>
      <c r="H45" s="239"/>
    </row>
    <row r="46" spans="1:8" ht="12.6" customHeight="1">
      <c r="A46" s="234">
        <v>30</v>
      </c>
      <c r="B46" s="235">
        <f>IF(A46&gt;C9,0,SUM(C302:C313)*($C$6/$C$7))</f>
        <v>0</v>
      </c>
      <c r="C46" s="254">
        <f>IF(A46&gt;C9,0,(E423+K423)*$C$8)</f>
        <v>0</v>
      </c>
      <c r="D46" s="1619">
        <f t="shared" si="0"/>
        <v>0</v>
      </c>
      <c r="E46" s="1619"/>
      <c r="F46" s="239"/>
      <c r="G46" s="239"/>
      <c r="H46" s="239"/>
    </row>
    <row r="47" spans="1:8" ht="12.6" customHeight="1">
      <c r="A47" s="238">
        <v>31</v>
      </c>
      <c r="B47" s="230">
        <f>IF(A47&gt;C9,0,SUM(C303:C314)*($C$6/$C$7))</f>
        <v>0</v>
      </c>
      <c r="C47" s="255">
        <f>IF(A47&gt;C9,0,(E435+K435)*$C$8)</f>
        <v>0</v>
      </c>
      <c r="D47" s="1621">
        <f t="shared" si="0"/>
        <v>0</v>
      </c>
      <c r="E47" s="1621"/>
      <c r="F47" s="239"/>
      <c r="G47" s="239"/>
      <c r="H47" s="239"/>
    </row>
    <row r="48" spans="1:8" ht="12.6" customHeight="1">
      <c r="A48" s="231">
        <v>32</v>
      </c>
      <c r="B48" s="232">
        <f>IF(A48&gt;C9,0,SUM(C304:C315)*($C$6/$C$7))</f>
        <v>0</v>
      </c>
      <c r="C48" s="233">
        <f>IF(A48&gt;C9,0,(E447+K447)*$C$8)</f>
        <v>0</v>
      </c>
      <c r="D48" s="1618">
        <f t="shared" si="0"/>
        <v>0</v>
      </c>
      <c r="E48" s="1618"/>
      <c r="F48" s="239"/>
      <c r="G48" s="239"/>
      <c r="H48" s="239"/>
    </row>
    <row r="49" spans="1:12" ht="12.6" customHeight="1">
      <c r="A49" s="231">
        <v>33</v>
      </c>
      <c r="B49" s="232">
        <f>IF(A49&gt;C9,0,SUM(C305:C316)*($C$6/$C$7))</f>
        <v>0</v>
      </c>
      <c r="C49" s="233">
        <f>IF(A49&gt;C9,0,(E459+K459)*$C$8)</f>
        <v>0</v>
      </c>
      <c r="D49" s="1618">
        <f t="shared" si="0"/>
        <v>0</v>
      </c>
      <c r="E49" s="1618"/>
      <c r="F49" s="239"/>
      <c r="G49" s="239"/>
      <c r="H49" s="239"/>
    </row>
    <row r="50" spans="1:12" ht="12.6" customHeight="1">
      <c r="A50" s="231">
        <v>34</v>
      </c>
      <c r="B50" s="232">
        <f>IF(A50&gt;C9,0,SUM(C306:C317)*($C$6/$C$7))</f>
        <v>0</v>
      </c>
      <c r="C50" s="233">
        <f>IF(A50&gt;C9,0,(E471+K471)*$C$8)</f>
        <v>0</v>
      </c>
      <c r="D50" s="1618">
        <f t="shared" si="0"/>
        <v>0</v>
      </c>
      <c r="E50" s="1618"/>
      <c r="F50" s="239"/>
      <c r="G50" s="239"/>
      <c r="H50" s="239"/>
    </row>
    <row r="51" spans="1:12" ht="12.6" customHeight="1">
      <c r="A51" s="234">
        <v>35</v>
      </c>
      <c r="B51" s="235">
        <f>IF(A51&gt;C9,0,SUM(C307:C318)*($C$6/$C$7))</f>
        <v>0</v>
      </c>
      <c r="C51" s="254">
        <f>IF(A51&gt;C9,0,(E483+K483)*$C$8)</f>
        <v>0</v>
      </c>
      <c r="D51" s="1619">
        <f t="shared" si="0"/>
        <v>0</v>
      </c>
      <c r="E51" s="1619"/>
      <c r="F51" s="239"/>
      <c r="G51" s="239"/>
      <c r="H51" s="239"/>
    </row>
    <row r="52" spans="1:12" ht="12.6" customHeight="1">
      <c r="A52" s="238">
        <v>36</v>
      </c>
      <c r="B52" s="230">
        <f>IF(A52&gt;C9,0,SUM(C308:C319)*($C$6/$C$7))</f>
        <v>0</v>
      </c>
      <c r="C52" s="255">
        <f>IF(A52&gt;C9,0,(E495+K495)*$C$8)</f>
        <v>0</v>
      </c>
      <c r="D52" s="1621">
        <f t="shared" si="0"/>
        <v>0</v>
      </c>
      <c r="E52" s="1621"/>
      <c r="F52" s="239"/>
      <c r="G52" s="239"/>
      <c r="H52" s="239"/>
    </row>
    <row r="53" spans="1:12" ht="12.6" customHeight="1">
      <c r="A53" s="231">
        <v>37</v>
      </c>
      <c r="B53" s="232">
        <f>IF(A53&gt;C9,0,SUM(C309:C320)*($C$6/$C$7))</f>
        <v>0</v>
      </c>
      <c r="C53" s="233">
        <f>IF(A53&gt;C9,0,(E507+K507)*$C$8)</f>
        <v>0</v>
      </c>
      <c r="D53" s="1618">
        <f t="shared" si="0"/>
        <v>0</v>
      </c>
      <c r="E53" s="1618"/>
      <c r="F53" s="239"/>
      <c r="G53" s="239"/>
      <c r="H53" s="239"/>
    </row>
    <row r="54" spans="1:12" ht="12.6" customHeight="1">
      <c r="A54" s="231">
        <v>38</v>
      </c>
      <c r="B54" s="232">
        <f>IF(A54&gt;C9,0,SUM(C310:C321)*($C$6/$C$7))</f>
        <v>0</v>
      </c>
      <c r="C54" s="233">
        <f>IF(A54&gt;C9,0,(E519+K519)*$C$8)</f>
        <v>0</v>
      </c>
      <c r="D54" s="1618">
        <f t="shared" si="0"/>
        <v>0</v>
      </c>
      <c r="E54" s="1618"/>
      <c r="F54" s="239"/>
      <c r="G54" s="239"/>
      <c r="H54" s="239"/>
    </row>
    <row r="55" spans="1:12" ht="12.6" customHeight="1">
      <c r="A55" s="231">
        <v>39</v>
      </c>
      <c r="B55" s="232">
        <f>IF(A55&gt;C9,0,SUM(C311:C322)*($C$6/$C$7))</f>
        <v>0</v>
      </c>
      <c r="C55" s="233">
        <f>IF(A55&gt;C9,0,(E531+K531)*$C$8)</f>
        <v>0</v>
      </c>
      <c r="D55" s="1618">
        <f t="shared" si="0"/>
        <v>0</v>
      </c>
      <c r="E55" s="1618"/>
      <c r="F55" s="239"/>
      <c r="G55" s="239"/>
      <c r="H55" s="239"/>
    </row>
    <row r="56" spans="1:12" ht="12.6" customHeight="1">
      <c r="A56" s="234">
        <v>40</v>
      </c>
      <c r="B56" s="235">
        <f>IF(A56&gt;C9,0,SUM(C312:C323)*($C$6/$C$7))</f>
        <v>0</v>
      </c>
      <c r="C56" s="254">
        <f>IF(A56&gt;C9,0,(E543+K543)*$C$8)</f>
        <v>0</v>
      </c>
      <c r="D56" s="1619">
        <f t="shared" si="0"/>
        <v>0</v>
      </c>
      <c r="E56" s="1619"/>
      <c r="F56" s="239"/>
      <c r="G56" s="239"/>
      <c r="H56" s="239"/>
    </row>
    <row r="57" spans="1:12" ht="3" customHeight="1">
      <c r="A57" s="239"/>
      <c r="B57" s="239"/>
      <c r="C57" s="239"/>
      <c r="D57" s="239"/>
      <c r="E57" s="239"/>
      <c r="F57" s="239"/>
      <c r="G57" s="239"/>
      <c r="H57" s="239"/>
    </row>
    <row r="58" spans="1:12" ht="13.15" customHeight="1">
      <c r="A58" s="1617" t="str">
        <f>CONCATENATE('Part I-Project Information'!$O$4," ",'Part I-Project Information'!$F$23,", ",'Part I-Project Information'!$F$27,", ",'Part I-Project Information'!$J$28," County")</f>
        <v>2014-028 Highland Estates, Rome, Floyd County</v>
      </c>
      <c r="B58" s="1617"/>
      <c r="C58" s="1617"/>
      <c r="D58" s="1617"/>
      <c r="E58" s="1617"/>
      <c r="F58" s="1617"/>
      <c r="G58" s="1617" t="str">
        <f>CONCATENATE('Part I-Project Information'!$O$4," ",'Part I-Project Information'!$F$23,", ",'Part I-Project Information'!$F$27,", ",'Part I-Project Information'!$J$28," County")</f>
        <v>2014-028 Highland Estates, Rome, Floyd County</v>
      </c>
      <c r="H58" s="1617"/>
      <c r="I58" s="1617"/>
      <c r="J58" s="1617"/>
      <c r="K58" s="1617"/>
      <c r="L58" s="1617"/>
    </row>
    <row r="59" spans="1:12" ht="15">
      <c r="A59" s="1614" t="s">
        <v>2630</v>
      </c>
      <c r="B59" s="1614"/>
      <c r="C59" s="1614"/>
      <c r="D59" s="1614"/>
      <c r="E59" s="1614"/>
      <c r="F59" s="1614"/>
      <c r="G59" s="1614" t="s">
        <v>2630</v>
      </c>
      <c r="H59" s="1614"/>
      <c r="I59" s="1614"/>
      <c r="J59" s="1614"/>
      <c r="K59" s="1614"/>
      <c r="L59" s="1614"/>
    </row>
    <row r="60" spans="1:12" ht="6" customHeight="1">
      <c r="C60" s="237"/>
      <c r="D60" s="237"/>
      <c r="I60" s="237"/>
      <c r="J60" s="237"/>
    </row>
    <row r="61" spans="1:12">
      <c r="A61" s="240" t="s">
        <v>2631</v>
      </c>
      <c r="B61" s="241" t="s">
        <v>2632</v>
      </c>
      <c r="C61" s="241" t="s">
        <v>1374</v>
      </c>
      <c r="D61" s="241" t="s">
        <v>2633</v>
      </c>
      <c r="E61" s="240" t="s">
        <v>2634</v>
      </c>
      <c r="F61" s="269" t="s">
        <v>2639</v>
      </c>
      <c r="G61" s="240" t="s">
        <v>2631</v>
      </c>
      <c r="H61" s="241" t="s">
        <v>2632</v>
      </c>
      <c r="I61" s="241" t="s">
        <v>1374</v>
      </c>
      <c r="J61" s="241" t="s">
        <v>2633</v>
      </c>
      <c r="K61" s="240" t="s">
        <v>2634</v>
      </c>
      <c r="L61" s="269" t="s">
        <v>2639</v>
      </c>
    </row>
    <row r="62" spans="1:12" ht="3.6" customHeight="1">
      <c r="A62" s="243"/>
      <c r="B62" s="137"/>
      <c r="C62" s="137"/>
      <c r="D62" s="137"/>
      <c r="E62" s="137"/>
      <c r="F62" s="94"/>
      <c r="G62" s="243"/>
      <c r="H62" s="137"/>
      <c r="I62" s="137"/>
      <c r="J62" s="137"/>
      <c r="K62" s="137"/>
      <c r="L62" s="94"/>
    </row>
    <row r="63" spans="1:12">
      <c r="A63" s="244" t="s">
        <v>2635</v>
      </c>
      <c r="B63" s="245"/>
      <c r="C63" s="245"/>
      <c r="D63" s="245"/>
      <c r="E63" s="246">
        <f>IF($C$5&gt;1500000,$D$5,$C$5)</f>
        <v>0</v>
      </c>
      <c r="F63" s="94"/>
      <c r="G63" s="244" t="s">
        <v>2635</v>
      </c>
      <c r="H63" s="245"/>
      <c r="I63" s="245"/>
      <c r="J63" s="245"/>
      <c r="K63" s="246">
        <f>IF($C$5&gt;1500000,$E$5,0)</f>
        <v>0</v>
      </c>
      <c r="L63" s="94"/>
    </row>
    <row r="64" spans="1:12">
      <c r="A64" s="247">
        <v>1</v>
      </c>
      <c r="B64" s="248">
        <f t="shared" ref="B64:B127" si="1">IF(A64&gt;12*$C$9,0,IF($C$5&gt;1500000,$D$12,$C$12))</f>
        <v>0</v>
      </c>
      <c r="C64" s="248">
        <f t="shared" ref="C64:C127" si="2">IF(A64&gt;12*$C$9,0,E63*$C$7/12)</f>
        <v>0</v>
      </c>
      <c r="D64" s="248">
        <f t="shared" ref="D64:D127" si="3">IF(A64&gt;12*$C$9,0,B64-C64)</f>
        <v>0</v>
      </c>
      <c r="E64" s="248">
        <f t="shared" ref="E64:E127" si="4">IF(A64&gt;12*$C$9,0,E63-D64)</f>
        <v>0</v>
      </c>
      <c r="F64" s="247"/>
      <c r="G64" s="247">
        <v>1</v>
      </c>
      <c r="H64" s="248">
        <f t="shared" ref="H64:H127" si="5">IF(G64&gt;12*$C$9,0,IF($C$5&gt;1500000,$E$12,0))</f>
        <v>0</v>
      </c>
      <c r="I64" s="248">
        <f t="shared" ref="I64:I127" si="6">IF(G64&gt;12*$C$9,0,K63*$C$7/12)</f>
        <v>0</v>
      </c>
      <c r="J64" s="248">
        <f t="shared" ref="J64:J127" si="7">IF(G64&gt;12*$C$9,0,H64-I64)</f>
        <v>0</v>
      </c>
      <c r="K64" s="248">
        <f t="shared" ref="K64:K127" si="8">IF(G64&gt;12*$C$9,0,K63-J64)</f>
        <v>0</v>
      </c>
      <c r="L64" s="247"/>
    </row>
    <row r="65" spans="1:12">
      <c r="A65" s="247">
        <v>2</v>
      </c>
      <c r="B65" s="248">
        <f t="shared" si="1"/>
        <v>0</v>
      </c>
      <c r="C65" s="248">
        <f t="shared" si="2"/>
        <v>0</v>
      </c>
      <c r="D65" s="248">
        <f t="shared" si="3"/>
        <v>0</v>
      </c>
      <c r="E65" s="248">
        <f t="shared" si="4"/>
        <v>0</v>
      </c>
      <c r="F65" s="247"/>
      <c r="G65" s="247">
        <v>2</v>
      </c>
      <c r="H65" s="248">
        <f t="shared" si="5"/>
        <v>0</v>
      </c>
      <c r="I65" s="248">
        <f t="shared" si="6"/>
        <v>0</v>
      </c>
      <c r="J65" s="248">
        <f t="shared" si="7"/>
        <v>0</v>
      </c>
      <c r="K65" s="248">
        <f t="shared" si="8"/>
        <v>0</v>
      </c>
      <c r="L65" s="247"/>
    </row>
    <row r="66" spans="1:12">
      <c r="A66" s="247">
        <v>3</v>
      </c>
      <c r="B66" s="248">
        <f t="shared" si="1"/>
        <v>0</v>
      </c>
      <c r="C66" s="248">
        <f t="shared" si="2"/>
        <v>0</v>
      </c>
      <c r="D66" s="248">
        <f t="shared" si="3"/>
        <v>0</v>
      </c>
      <c r="E66" s="248">
        <f t="shared" si="4"/>
        <v>0</v>
      </c>
      <c r="F66" s="247"/>
      <c r="G66" s="247">
        <v>3</v>
      </c>
      <c r="H66" s="248">
        <f t="shared" si="5"/>
        <v>0</v>
      </c>
      <c r="I66" s="248">
        <f t="shared" si="6"/>
        <v>0</v>
      </c>
      <c r="J66" s="248">
        <f t="shared" si="7"/>
        <v>0</v>
      </c>
      <c r="K66" s="248">
        <f t="shared" si="8"/>
        <v>0</v>
      </c>
      <c r="L66" s="247"/>
    </row>
    <row r="67" spans="1:12">
      <c r="A67" s="247">
        <v>4</v>
      </c>
      <c r="B67" s="248">
        <f t="shared" si="1"/>
        <v>0</v>
      </c>
      <c r="C67" s="248">
        <f t="shared" si="2"/>
        <v>0</v>
      </c>
      <c r="D67" s="248">
        <f t="shared" si="3"/>
        <v>0</v>
      </c>
      <c r="E67" s="248">
        <f t="shared" si="4"/>
        <v>0</v>
      </c>
      <c r="F67" s="247"/>
      <c r="G67" s="247">
        <v>4</v>
      </c>
      <c r="H67" s="248">
        <f t="shared" si="5"/>
        <v>0</v>
      </c>
      <c r="I67" s="248">
        <f t="shared" si="6"/>
        <v>0</v>
      </c>
      <c r="J67" s="248">
        <f t="shared" si="7"/>
        <v>0</v>
      </c>
      <c r="K67" s="248">
        <f t="shared" si="8"/>
        <v>0</v>
      </c>
      <c r="L67" s="247"/>
    </row>
    <row r="68" spans="1:12">
      <c r="A68" s="247">
        <v>5</v>
      </c>
      <c r="B68" s="248">
        <f t="shared" si="1"/>
        <v>0</v>
      </c>
      <c r="C68" s="248">
        <f t="shared" si="2"/>
        <v>0</v>
      </c>
      <c r="D68" s="248">
        <f t="shared" si="3"/>
        <v>0</v>
      </c>
      <c r="E68" s="248">
        <f t="shared" si="4"/>
        <v>0</v>
      </c>
      <c r="F68" s="247"/>
      <c r="G68" s="247">
        <v>5</v>
      </c>
      <c r="H68" s="248">
        <f t="shared" si="5"/>
        <v>0</v>
      </c>
      <c r="I68" s="248">
        <f t="shared" si="6"/>
        <v>0</v>
      </c>
      <c r="J68" s="248">
        <f t="shared" si="7"/>
        <v>0</v>
      </c>
      <c r="K68" s="248">
        <f t="shared" si="8"/>
        <v>0</v>
      </c>
      <c r="L68" s="247"/>
    </row>
    <row r="69" spans="1:12">
      <c r="A69" s="247">
        <v>6</v>
      </c>
      <c r="B69" s="248">
        <f t="shared" si="1"/>
        <v>0</v>
      </c>
      <c r="C69" s="248">
        <f t="shared" si="2"/>
        <v>0</v>
      </c>
      <c r="D69" s="248">
        <f t="shared" si="3"/>
        <v>0</v>
      </c>
      <c r="E69" s="248">
        <f t="shared" si="4"/>
        <v>0</v>
      </c>
      <c r="F69" s="247"/>
      <c r="G69" s="247">
        <v>6</v>
      </c>
      <c r="H69" s="248">
        <f t="shared" si="5"/>
        <v>0</v>
      </c>
      <c r="I69" s="248">
        <f t="shared" si="6"/>
        <v>0</v>
      </c>
      <c r="J69" s="248">
        <f t="shared" si="7"/>
        <v>0</v>
      </c>
      <c r="K69" s="248">
        <f t="shared" si="8"/>
        <v>0</v>
      </c>
      <c r="L69" s="247"/>
    </row>
    <row r="70" spans="1:12">
      <c r="A70" s="247">
        <v>7</v>
      </c>
      <c r="B70" s="248">
        <f t="shared" si="1"/>
        <v>0</v>
      </c>
      <c r="C70" s="248">
        <f t="shared" si="2"/>
        <v>0</v>
      </c>
      <c r="D70" s="248">
        <f t="shared" si="3"/>
        <v>0</v>
      </c>
      <c r="E70" s="248">
        <f t="shared" si="4"/>
        <v>0</v>
      </c>
      <c r="F70" s="247"/>
      <c r="G70" s="247">
        <v>7</v>
      </c>
      <c r="H70" s="248">
        <f t="shared" si="5"/>
        <v>0</v>
      </c>
      <c r="I70" s="248">
        <f t="shared" si="6"/>
        <v>0</v>
      </c>
      <c r="J70" s="248">
        <f t="shared" si="7"/>
        <v>0</v>
      </c>
      <c r="K70" s="248">
        <f t="shared" si="8"/>
        <v>0</v>
      </c>
      <c r="L70" s="247"/>
    </row>
    <row r="71" spans="1:12">
      <c r="A71" s="247">
        <v>8</v>
      </c>
      <c r="B71" s="248">
        <f t="shared" si="1"/>
        <v>0</v>
      </c>
      <c r="C71" s="248">
        <f t="shared" si="2"/>
        <v>0</v>
      </c>
      <c r="D71" s="248">
        <f t="shared" si="3"/>
        <v>0</v>
      </c>
      <c r="E71" s="248">
        <f t="shared" si="4"/>
        <v>0</v>
      </c>
      <c r="F71" s="247"/>
      <c r="G71" s="247">
        <v>8</v>
      </c>
      <c r="H71" s="248">
        <f t="shared" si="5"/>
        <v>0</v>
      </c>
      <c r="I71" s="248">
        <f t="shared" si="6"/>
        <v>0</v>
      </c>
      <c r="J71" s="248">
        <f t="shared" si="7"/>
        <v>0</v>
      </c>
      <c r="K71" s="248">
        <f t="shared" si="8"/>
        <v>0</v>
      </c>
      <c r="L71" s="247"/>
    </row>
    <row r="72" spans="1:12">
      <c r="A72" s="247">
        <v>9</v>
      </c>
      <c r="B72" s="248">
        <f t="shared" si="1"/>
        <v>0</v>
      </c>
      <c r="C72" s="248">
        <f t="shared" si="2"/>
        <v>0</v>
      </c>
      <c r="D72" s="248">
        <f t="shared" si="3"/>
        <v>0</v>
      </c>
      <c r="E72" s="248">
        <f t="shared" si="4"/>
        <v>0</v>
      </c>
      <c r="F72" s="247"/>
      <c r="G72" s="247">
        <v>9</v>
      </c>
      <c r="H72" s="248">
        <f t="shared" si="5"/>
        <v>0</v>
      </c>
      <c r="I72" s="248">
        <f t="shared" si="6"/>
        <v>0</v>
      </c>
      <c r="J72" s="248">
        <f t="shared" si="7"/>
        <v>0</v>
      </c>
      <c r="K72" s="248">
        <f t="shared" si="8"/>
        <v>0</v>
      </c>
      <c r="L72" s="247"/>
    </row>
    <row r="73" spans="1:12">
      <c r="A73" s="247">
        <v>10</v>
      </c>
      <c r="B73" s="248">
        <f t="shared" si="1"/>
        <v>0</v>
      </c>
      <c r="C73" s="248">
        <f t="shared" si="2"/>
        <v>0</v>
      </c>
      <c r="D73" s="248">
        <f t="shared" si="3"/>
        <v>0</v>
      </c>
      <c r="E73" s="248">
        <f t="shared" si="4"/>
        <v>0</v>
      </c>
      <c r="F73" s="247"/>
      <c r="G73" s="247">
        <v>10</v>
      </c>
      <c r="H73" s="248">
        <f t="shared" si="5"/>
        <v>0</v>
      </c>
      <c r="I73" s="248">
        <f t="shared" si="6"/>
        <v>0</v>
      </c>
      <c r="J73" s="248">
        <f t="shared" si="7"/>
        <v>0</v>
      </c>
      <c r="K73" s="248">
        <f t="shared" si="8"/>
        <v>0</v>
      </c>
      <c r="L73" s="247"/>
    </row>
    <row r="74" spans="1:12">
      <c r="A74" s="247">
        <v>11</v>
      </c>
      <c r="B74" s="248">
        <f t="shared" si="1"/>
        <v>0</v>
      </c>
      <c r="C74" s="248">
        <f t="shared" si="2"/>
        <v>0</v>
      </c>
      <c r="D74" s="248">
        <f t="shared" si="3"/>
        <v>0</v>
      </c>
      <c r="E74" s="248">
        <f t="shared" si="4"/>
        <v>0</v>
      </c>
      <c r="F74" s="247"/>
      <c r="G74" s="247">
        <v>11</v>
      </c>
      <c r="H74" s="248">
        <f t="shared" si="5"/>
        <v>0</v>
      </c>
      <c r="I74" s="248">
        <f t="shared" si="6"/>
        <v>0</v>
      </c>
      <c r="J74" s="248">
        <f t="shared" si="7"/>
        <v>0</v>
      </c>
      <c r="K74" s="248">
        <f t="shared" si="8"/>
        <v>0</v>
      </c>
      <c r="L74" s="247"/>
    </row>
    <row r="75" spans="1:12">
      <c r="A75" s="247">
        <v>12</v>
      </c>
      <c r="B75" s="248">
        <f t="shared" si="1"/>
        <v>0</v>
      </c>
      <c r="C75" s="248">
        <f t="shared" si="2"/>
        <v>0</v>
      </c>
      <c r="D75" s="248">
        <f t="shared" si="3"/>
        <v>0</v>
      </c>
      <c r="E75" s="248">
        <f t="shared" si="4"/>
        <v>0</v>
      </c>
      <c r="F75" s="247">
        <v>1</v>
      </c>
      <c r="G75" s="247">
        <v>12</v>
      </c>
      <c r="H75" s="248">
        <f t="shared" si="5"/>
        <v>0</v>
      </c>
      <c r="I75" s="248">
        <f t="shared" si="6"/>
        <v>0</v>
      </c>
      <c r="J75" s="248">
        <f t="shared" si="7"/>
        <v>0</v>
      </c>
      <c r="K75" s="248">
        <f t="shared" si="8"/>
        <v>0</v>
      </c>
      <c r="L75" s="247">
        <v>1</v>
      </c>
    </row>
    <row r="76" spans="1:12">
      <c r="A76" s="247">
        <v>13</v>
      </c>
      <c r="B76" s="248">
        <f t="shared" si="1"/>
        <v>0</v>
      </c>
      <c r="C76" s="248">
        <f t="shared" si="2"/>
        <v>0</v>
      </c>
      <c r="D76" s="248">
        <f t="shared" si="3"/>
        <v>0</v>
      </c>
      <c r="E76" s="248">
        <f t="shared" si="4"/>
        <v>0</v>
      </c>
      <c r="F76" s="247"/>
      <c r="G76" s="247">
        <v>13</v>
      </c>
      <c r="H76" s="248">
        <f t="shared" si="5"/>
        <v>0</v>
      </c>
      <c r="I76" s="248">
        <f t="shared" si="6"/>
        <v>0</v>
      </c>
      <c r="J76" s="248">
        <f t="shared" si="7"/>
        <v>0</v>
      </c>
      <c r="K76" s="248">
        <f t="shared" si="8"/>
        <v>0</v>
      </c>
      <c r="L76" s="247"/>
    </row>
    <row r="77" spans="1:12">
      <c r="A77" s="247">
        <v>14</v>
      </c>
      <c r="B77" s="248">
        <f t="shared" si="1"/>
        <v>0</v>
      </c>
      <c r="C77" s="248">
        <f t="shared" si="2"/>
        <v>0</v>
      </c>
      <c r="D77" s="248">
        <f t="shared" si="3"/>
        <v>0</v>
      </c>
      <c r="E77" s="248">
        <f t="shared" si="4"/>
        <v>0</v>
      </c>
      <c r="F77" s="247"/>
      <c r="G77" s="247">
        <v>14</v>
      </c>
      <c r="H77" s="248">
        <f t="shared" si="5"/>
        <v>0</v>
      </c>
      <c r="I77" s="248">
        <f t="shared" si="6"/>
        <v>0</v>
      </c>
      <c r="J77" s="248">
        <f t="shared" si="7"/>
        <v>0</v>
      </c>
      <c r="K77" s="248">
        <f t="shared" si="8"/>
        <v>0</v>
      </c>
      <c r="L77" s="247"/>
    </row>
    <row r="78" spans="1:12">
      <c r="A78" s="247">
        <v>15</v>
      </c>
      <c r="B78" s="248">
        <f t="shared" si="1"/>
        <v>0</v>
      </c>
      <c r="C78" s="248">
        <f t="shared" si="2"/>
        <v>0</v>
      </c>
      <c r="D78" s="248">
        <f t="shared" si="3"/>
        <v>0</v>
      </c>
      <c r="E78" s="248">
        <f t="shared" si="4"/>
        <v>0</v>
      </c>
      <c r="F78" s="247"/>
      <c r="G78" s="247">
        <v>15</v>
      </c>
      <c r="H78" s="248">
        <f t="shared" si="5"/>
        <v>0</v>
      </c>
      <c r="I78" s="248">
        <f t="shared" si="6"/>
        <v>0</v>
      </c>
      <c r="J78" s="248">
        <f t="shared" si="7"/>
        <v>0</v>
      </c>
      <c r="K78" s="248">
        <f t="shared" si="8"/>
        <v>0</v>
      </c>
      <c r="L78" s="247"/>
    </row>
    <row r="79" spans="1:12">
      <c r="A79" s="247">
        <v>16</v>
      </c>
      <c r="B79" s="248">
        <f t="shared" si="1"/>
        <v>0</v>
      </c>
      <c r="C79" s="248">
        <f t="shared" si="2"/>
        <v>0</v>
      </c>
      <c r="D79" s="248">
        <f t="shared" si="3"/>
        <v>0</v>
      </c>
      <c r="E79" s="248">
        <f t="shared" si="4"/>
        <v>0</v>
      </c>
      <c r="F79" s="247"/>
      <c r="G79" s="247">
        <v>16</v>
      </c>
      <c r="H79" s="248">
        <f t="shared" si="5"/>
        <v>0</v>
      </c>
      <c r="I79" s="248">
        <f t="shared" si="6"/>
        <v>0</v>
      </c>
      <c r="J79" s="248">
        <f t="shared" si="7"/>
        <v>0</v>
      </c>
      <c r="K79" s="248">
        <f t="shared" si="8"/>
        <v>0</v>
      </c>
      <c r="L79" s="247"/>
    </row>
    <row r="80" spans="1:12">
      <c r="A80" s="247">
        <v>17</v>
      </c>
      <c r="B80" s="248">
        <f t="shared" si="1"/>
        <v>0</v>
      </c>
      <c r="C80" s="248">
        <f t="shared" si="2"/>
        <v>0</v>
      </c>
      <c r="D80" s="248">
        <f t="shared" si="3"/>
        <v>0</v>
      </c>
      <c r="E80" s="248">
        <f t="shared" si="4"/>
        <v>0</v>
      </c>
      <c r="F80" s="247"/>
      <c r="G80" s="247">
        <v>17</v>
      </c>
      <c r="H80" s="248">
        <f t="shared" si="5"/>
        <v>0</v>
      </c>
      <c r="I80" s="248">
        <f t="shared" si="6"/>
        <v>0</v>
      </c>
      <c r="J80" s="248">
        <f t="shared" si="7"/>
        <v>0</v>
      </c>
      <c r="K80" s="248">
        <f t="shared" si="8"/>
        <v>0</v>
      </c>
      <c r="L80" s="247"/>
    </row>
    <row r="81" spans="1:12">
      <c r="A81" s="247">
        <v>18</v>
      </c>
      <c r="B81" s="248">
        <f t="shared" si="1"/>
        <v>0</v>
      </c>
      <c r="C81" s="248">
        <f t="shared" si="2"/>
        <v>0</v>
      </c>
      <c r="D81" s="248">
        <f t="shared" si="3"/>
        <v>0</v>
      </c>
      <c r="E81" s="248">
        <f t="shared" si="4"/>
        <v>0</v>
      </c>
      <c r="F81" s="247"/>
      <c r="G81" s="247">
        <v>18</v>
      </c>
      <c r="H81" s="248">
        <f t="shared" si="5"/>
        <v>0</v>
      </c>
      <c r="I81" s="248">
        <f t="shared" si="6"/>
        <v>0</v>
      </c>
      <c r="J81" s="248">
        <f t="shared" si="7"/>
        <v>0</v>
      </c>
      <c r="K81" s="248">
        <f t="shared" si="8"/>
        <v>0</v>
      </c>
      <c r="L81" s="247"/>
    </row>
    <row r="82" spans="1:12">
      <c r="A82" s="247">
        <v>19</v>
      </c>
      <c r="B82" s="248">
        <f t="shared" si="1"/>
        <v>0</v>
      </c>
      <c r="C82" s="248">
        <f t="shared" si="2"/>
        <v>0</v>
      </c>
      <c r="D82" s="248">
        <f t="shared" si="3"/>
        <v>0</v>
      </c>
      <c r="E82" s="248">
        <f t="shared" si="4"/>
        <v>0</v>
      </c>
      <c r="F82" s="247"/>
      <c r="G82" s="247">
        <v>19</v>
      </c>
      <c r="H82" s="248">
        <f t="shared" si="5"/>
        <v>0</v>
      </c>
      <c r="I82" s="248">
        <f t="shared" si="6"/>
        <v>0</v>
      </c>
      <c r="J82" s="248">
        <f t="shared" si="7"/>
        <v>0</v>
      </c>
      <c r="K82" s="248">
        <f t="shared" si="8"/>
        <v>0</v>
      </c>
      <c r="L82" s="247"/>
    </row>
    <row r="83" spans="1:12">
      <c r="A83" s="247">
        <v>20</v>
      </c>
      <c r="B83" s="248">
        <f t="shared" si="1"/>
        <v>0</v>
      </c>
      <c r="C83" s="248">
        <f t="shared" si="2"/>
        <v>0</v>
      </c>
      <c r="D83" s="248">
        <f t="shared" si="3"/>
        <v>0</v>
      </c>
      <c r="E83" s="248">
        <f t="shared" si="4"/>
        <v>0</v>
      </c>
      <c r="F83" s="247"/>
      <c r="G83" s="247">
        <v>20</v>
      </c>
      <c r="H83" s="248">
        <f t="shared" si="5"/>
        <v>0</v>
      </c>
      <c r="I83" s="248">
        <f t="shared" si="6"/>
        <v>0</v>
      </c>
      <c r="J83" s="248">
        <f t="shared" si="7"/>
        <v>0</v>
      </c>
      <c r="K83" s="248">
        <f t="shared" si="8"/>
        <v>0</v>
      </c>
      <c r="L83" s="247"/>
    </row>
    <row r="84" spans="1:12">
      <c r="A84" s="247">
        <v>21</v>
      </c>
      <c r="B84" s="248">
        <f t="shared" si="1"/>
        <v>0</v>
      </c>
      <c r="C84" s="248">
        <f t="shared" si="2"/>
        <v>0</v>
      </c>
      <c r="D84" s="248">
        <f t="shared" si="3"/>
        <v>0</v>
      </c>
      <c r="E84" s="248">
        <f t="shared" si="4"/>
        <v>0</v>
      </c>
      <c r="F84" s="247"/>
      <c r="G84" s="247">
        <v>21</v>
      </c>
      <c r="H84" s="248">
        <f t="shared" si="5"/>
        <v>0</v>
      </c>
      <c r="I84" s="248">
        <f t="shared" si="6"/>
        <v>0</v>
      </c>
      <c r="J84" s="248">
        <f t="shared" si="7"/>
        <v>0</v>
      </c>
      <c r="K84" s="248">
        <f t="shared" si="8"/>
        <v>0</v>
      </c>
      <c r="L84" s="247"/>
    </row>
    <row r="85" spans="1:12">
      <c r="A85" s="247">
        <v>22</v>
      </c>
      <c r="B85" s="248">
        <f t="shared" si="1"/>
        <v>0</v>
      </c>
      <c r="C85" s="248">
        <f t="shared" si="2"/>
        <v>0</v>
      </c>
      <c r="D85" s="248">
        <f t="shared" si="3"/>
        <v>0</v>
      </c>
      <c r="E85" s="248">
        <f t="shared" si="4"/>
        <v>0</v>
      </c>
      <c r="F85" s="247"/>
      <c r="G85" s="247">
        <v>22</v>
      </c>
      <c r="H85" s="248">
        <f t="shared" si="5"/>
        <v>0</v>
      </c>
      <c r="I85" s="248">
        <f t="shared" si="6"/>
        <v>0</v>
      </c>
      <c r="J85" s="248">
        <f t="shared" si="7"/>
        <v>0</v>
      </c>
      <c r="K85" s="248">
        <f t="shared" si="8"/>
        <v>0</v>
      </c>
      <c r="L85" s="247"/>
    </row>
    <row r="86" spans="1:12">
      <c r="A86" s="247">
        <v>23</v>
      </c>
      <c r="B86" s="248">
        <f t="shared" si="1"/>
        <v>0</v>
      </c>
      <c r="C86" s="248">
        <f t="shared" si="2"/>
        <v>0</v>
      </c>
      <c r="D86" s="248">
        <f t="shared" si="3"/>
        <v>0</v>
      </c>
      <c r="E86" s="248">
        <f t="shared" si="4"/>
        <v>0</v>
      </c>
      <c r="F86" s="247"/>
      <c r="G86" s="247">
        <v>23</v>
      </c>
      <c r="H86" s="248">
        <f t="shared" si="5"/>
        <v>0</v>
      </c>
      <c r="I86" s="248">
        <f t="shared" si="6"/>
        <v>0</v>
      </c>
      <c r="J86" s="248">
        <f t="shared" si="7"/>
        <v>0</v>
      </c>
      <c r="K86" s="248">
        <f t="shared" si="8"/>
        <v>0</v>
      </c>
      <c r="L86" s="247"/>
    </row>
    <row r="87" spans="1:12">
      <c r="A87" s="247">
        <v>24</v>
      </c>
      <c r="B87" s="248">
        <f t="shared" si="1"/>
        <v>0</v>
      </c>
      <c r="C87" s="248">
        <f t="shared" si="2"/>
        <v>0</v>
      </c>
      <c r="D87" s="248">
        <f t="shared" si="3"/>
        <v>0</v>
      </c>
      <c r="E87" s="248">
        <f t="shared" si="4"/>
        <v>0</v>
      </c>
      <c r="F87" s="247">
        <v>2</v>
      </c>
      <c r="G87" s="247">
        <v>24</v>
      </c>
      <c r="H87" s="248">
        <f t="shared" si="5"/>
        <v>0</v>
      </c>
      <c r="I87" s="248">
        <f t="shared" si="6"/>
        <v>0</v>
      </c>
      <c r="J87" s="248">
        <f t="shared" si="7"/>
        <v>0</v>
      </c>
      <c r="K87" s="248">
        <f t="shared" si="8"/>
        <v>0</v>
      </c>
      <c r="L87" s="247">
        <v>2</v>
      </c>
    </row>
    <row r="88" spans="1:12">
      <c r="A88" s="247">
        <v>25</v>
      </c>
      <c r="B88" s="248">
        <f t="shared" si="1"/>
        <v>0</v>
      </c>
      <c r="C88" s="248">
        <f t="shared" si="2"/>
        <v>0</v>
      </c>
      <c r="D88" s="248">
        <f t="shared" si="3"/>
        <v>0</v>
      </c>
      <c r="E88" s="248">
        <f t="shared" si="4"/>
        <v>0</v>
      </c>
      <c r="F88" s="247"/>
      <c r="G88" s="247">
        <v>25</v>
      </c>
      <c r="H88" s="248">
        <f t="shared" si="5"/>
        <v>0</v>
      </c>
      <c r="I88" s="248">
        <f t="shared" si="6"/>
        <v>0</v>
      </c>
      <c r="J88" s="248">
        <f t="shared" si="7"/>
        <v>0</v>
      </c>
      <c r="K88" s="248">
        <f t="shared" si="8"/>
        <v>0</v>
      </c>
      <c r="L88" s="247"/>
    </row>
    <row r="89" spans="1:12">
      <c r="A89" s="247">
        <v>26</v>
      </c>
      <c r="B89" s="248">
        <f t="shared" si="1"/>
        <v>0</v>
      </c>
      <c r="C89" s="248">
        <f t="shared" si="2"/>
        <v>0</v>
      </c>
      <c r="D89" s="248">
        <f t="shared" si="3"/>
        <v>0</v>
      </c>
      <c r="E89" s="248">
        <f t="shared" si="4"/>
        <v>0</v>
      </c>
      <c r="F89" s="247"/>
      <c r="G89" s="247">
        <v>26</v>
      </c>
      <c r="H89" s="248">
        <f t="shared" si="5"/>
        <v>0</v>
      </c>
      <c r="I89" s="248">
        <f t="shared" si="6"/>
        <v>0</v>
      </c>
      <c r="J89" s="248">
        <f t="shared" si="7"/>
        <v>0</v>
      </c>
      <c r="K89" s="248">
        <f t="shared" si="8"/>
        <v>0</v>
      </c>
      <c r="L89" s="247"/>
    </row>
    <row r="90" spans="1:12">
      <c r="A90" s="247">
        <v>27</v>
      </c>
      <c r="B90" s="248">
        <f t="shared" si="1"/>
        <v>0</v>
      </c>
      <c r="C90" s="248">
        <f t="shared" si="2"/>
        <v>0</v>
      </c>
      <c r="D90" s="248">
        <f t="shared" si="3"/>
        <v>0</v>
      </c>
      <c r="E90" s="248">
        <f t="shared" si="4"/>
        <v>0</v>
      </c>
      <c r="F90" s="247"/>
      <c r="G90" s="247">
        <v>27</v>
      </c>
      <c r="H90" s="248">
        <f t="shared" si="5"/>
        <v>0</v>
      </c>
      <c r="I90" s="248">
        <f t="shared" si="6"/>
        <v>0</v>
      </c>
      <c r="J90" s="248">
        <f t="shared" si="7"/>
        <v>0</v>
      </c>
      <c r="K90" s="248">
        <f t="shared" si="8"/>
        <v>0</v>
      </c>
      <c r="L90" s="247"/>
    </row>
    <row r="91" spans="1:12">
      <c r="A91" s="247">
        <v>28</v>
      </c>
      <c r="B91" s="248">
        <f t="shared" si="1"/>
        <v>0</v>
      </c>
      <c r="C91" s="248">
        <f t="shared" si="2"/>
        <v>0</v>
      </c>
      <c r="D91" s="248">
        <f t="shared" si="3"/>
        <v>0</v>
      </c>
      <c r="E91" s="248">
        <f t="shared" si="4"/>
        <v>0</v>
      </c>
      <c r="F91" s="247"/>
      <c r="G91" s="247">
        <v>28</v>
      </c>
      <c r="H91" s="248">
        <f t="shared" si="5"/>
        <v>0</v>
      </c>
      <c r="I91" s="248">
        <f t="shared" si="6"/>
        <v>0</v>
      </c>
      <c r="J91" s="248">
        <f t="shared" si="7"/>
        <v>0</v>
      </c>
      <c r="K91" s="248">
        <f t="shared" si="8"/>
        <v>0</v>
      </c>
      <c r="L91" s="247"/>
    </row>
    <row r="92" spans="1:12">
      <c r="A92" s="247">
        <v>29</v>
      </c>
      <c r="B92" s="248">
        <f t="shared" si="1"/>
        <v>0</v>
      </c>
      <c r="C92" s="248">
        <f t="shared" si="2"/>
        <v>0</v>
      </c>
      <c r="D92" s="248">
        <f t="shared" si="3"/>
        <v>0</v>
      </c>
      <c r="E92" s="248">
        <f t="shared" si="4"/>
        <v>0</v>
      </c>
      <c r="F92" s="247"/>
      <c r="G92" s="247">
        <v>29</v>
      </c>
      <c r="H92" s="248">
        <f t="shared" si="5"/>
        <v>0</v>
      </c>
      <c r="I92" s="248">
        <f t="shared" si="6"/>
        <v>0</v>
      </c>
      <c r="J92" s="248">
        <f t="shared" si="7"/>
        <v>0</v>
      </c>
      <c r="K92" s="248">
        <f t="shared" si="8"/>
        <v>0</v>
      </c>
      <c r="L92" s="247"/>
    </row>
    <row r="93" spans="1:12">
      <c r="A93" s="247">
        <v>30</v>
      </c>
      <c r="B93" s="248">
        <f t="shared" si="1"/>
        <v>0</v>
      </c>
      <c r="C93" s="248">
        <f t="shared" si="2"/>
        <v>0</v>
      </c>
      <c r="D93" s="248">
        <f t="shared" si="3"/>
        <v>0</v>
      </c>
      <c r="E93" s="248">
        <f t="shared" si="4"/>
        <v>0</v>
      </c>
      <c r="F93" s="247"/>
      <c r="G93" s="247">
        <v>30</v>
      </c>
      <c r="H93" s="248">
        <f t="shared" si="5"/>
        <v>0</v>
      </c>
      <c r="I93" s="248">
        <f t="shared" si="6"/>
        <v>0</v>
      </c>
      <c r="J93" s="248">
        <f t="shared" si="7"/>
        <v>0</v>
      </c>
      <c r="K93" s="248">
        <f t="shared" si="8"/>
        <v>0</v>
      </c>
      <c r="L93" s="247"/>
    </row>
    <row r="94" spans="1:12">
      <c r="A94" s="247">
        <v>31</v>
      </c>
      <c r="B94" s="248">
        <f t="shared" si="1"/>
        <v>0</v>
      </c>
      <c r="C94" s="248">
        <f t="shared" si="2"/>
        <v>0</v>
      </c>
      <c r="D94" s="248">
        <f t="shared" si="3"/>
        <v>0</v>
      </c>
      <c r="E94" s="248">
        <f t="shared" si="4"/>
        <v>0</v>
      </c>
      <c r="F94" s="247"/>
      <c r="G94" s="247">
        <v>31</v>
      </c>
      <c r="H94" s="248">
        <f t="shared" si="5"/>
        <v>0</v>
      </c>
      <c r="I94" s="248">
        <f t="shared" si="6"/>
        <v>0</v>
      </c>
      <c r="J94" s="248">
        <f t="shared" si="7"/>
        <v>0</v>
      </c>
      <c r="K94" s="248">
        <f t="shared" si="8"/>
        <v>0</v>
      </c>
      <c r="L94" s="247"/>
    </row>
    <row r="95" spans="1:12">
      <c r="A95" s="247">
        <v>32</v>
      </c>
      <c r="B95" s="248">
        <f t="shared" si="1"/>
        <v>0</v>
      </c>
      <c r="C95" s="248">
        <f t="shared" si="2"/>
        <v>0</v>
      </c>
      <c r="D95" s="248">
        <f t="shared" si="3"/>
        <v>0</v>
      </c>
      <c r="E95" s="248">
        <f t="shared" si="4"/>
        <v>0</v>
      </c>
      <c r="F95" s="247"/>
      <c r="G95" s="247">
        <v>32</v>
      </c>
      <c r="H95" s="248">
        <f t="shared" si="5"/>
        <v>0</v>
      </c>
      <c r="I95" s="248">
        <f t="shared" si="6"/>
        <v>0</v>
      </c>
      <c r="J95" s="248">
        <f t="shared" si="7"/>
        <v>0</v>
      </c>
      <c r="K95" s="248">
        <f t="shared" si="8"/>
        <v>0</v>
      </c>
      <c r="L95" s="247"/>
    </row>
    <row r="96" spans="1:12">
      <c r="A96" s="247">
        <v>33</v>
      </c>
      <c r="B96" s="248">
        <f t="shared" si="1"/>
        <v>0</v>
      </c>
      <c r="C96" s="248">
        <f t="shared" si="2"/>
        <v>0</v>
      </c>
      <c r="D96" s="248">
        <f t="shared" si="3"/>
        <v>0</v>
      </c>
      <c r="E96" s="248">
        <f t="shared" si="4"/>
        <v>0</v>
      </c>
      <c r="F96" s="247"/>
      <c r="G96" s="247">
        <v>33</v>
      </c>
      <c r="H96" s="248">
        <f t="shared" si="5"/>
        <v>0</v>
      </c>
      <c r="I96" s="248">
        <f t="shared" si="6"/>
        <v>0</v>
      </c>
      <c r="J96" s="248">
        <f t="shared" si="7"/>
        <v>0</v>
      </c>
      <c r="K96" s="248">
        <f t="shared" si="8"/>
        <v>0</v>
      </c>
      <c r="L96" s="247"/>
    </row>
    <row r="97" spans="1:12">
      <c r="A97" s="247">
        <v>34</v>
      </c>
      <c r="B97" s="248">
        <f t="shared" si="1"/>
        <v>0</v>
      </c>
      <c r="C97" s="248">
        <f t="shared" si="2"/>
        <v>0</v>
      </c>
      <c r="D97" s="248">
        <f t="shared" si="3"/>
        <v>0</v>
      </c>
      <c r="E97" s="248">
        <f t="shared" si="4"/>
        <v>0</v>
      </c>
      <c r="F97" s="247"/>
      <c r="G97" s="247">
        <v>34</v>
      </c>
      <c r="H97" s="248">
        <f t="shared" si="5"/>
        <v>0</v>
      </c>
      <c r="I97" s="248">
        <f t="shared" si="6"/>
        <v>0</v>
      </c>
      <c r="J97" s="248">
        <f t="shared" si="7"/>
        <v>0</v>
      </c>
      <c r="K97" s="248">
        <f t="shared" si="8"/>
        <v>0</v>
      </c>
      <c r="L97" s="247"/>
    </row>
    <row r="98" spans="1:12">
      <c r="A98" s="247">
        <v>35</v>
      </c>
      <c r="B98" s="248">
        <f t="shared" si="1"/>
        <v>0</v>
      </c>
      <c r="C98" s="248">
        <f t="shared" si="2"/>
        <v>0</v>
      </c>
      <c r="D98" s="248">
        <f t="shared" si="3"/>
        <v>0</v>
      </c>
      <c r="E98" s="248">
        <f t="shared" si="4"/>
        <v>0</v>
      </c>
      <c r="F98" s="247"/>
      <c r="G98" s="247">
        <v>35</v>
      </c>
      <c r="H98" s="248">
        <f t="shared" si="5"/>
        <v>0</v>
      </c>
      <c r="I98" s="248">
        <f t="shared" si="6"/>
        <v>0</v>
      </c>
      <c r="J98" s="248">
        <f t="shared" si="7"/>
        <v>0</v>
      </c>
      <c r="K98" s="248">
        <f t="shared" si="8"/>
        <v>0</v>
      </c>
      <c r="L98" s="247"/>
    </row>
    <row r="99" spans="1:12">
      <c r="A99" s="247">
        <v>36</v>
      </c>
      <c r="B99" s="248">
        <f t="shared" si="1"/>
        <v>0</v>
      </c>
      <c r="C99" s="248">
        <f t="shared" si="2"/>
        <v>0</v>
      </c>
      <c r="D99" s="248">
        <f t="shared" si="3"/>
        <v>0</v>
      </c>
      <c r="E99" s="248">
        <f t="shared" si="4"/>
        <v>0</v>
      </c>
      <c r="F99" s="247">
        <v>3</v>
      </c>
      <c r="G99" s="247">
        <v>36</v>
      </c>
      <c r="H99" s="248">
        <f t="shared" si="5"/>
        <v>0</v>
      </c>
      <c r="I99" s="248">
        <f t="shared" si="6"/>
        <v>0</v>
      </c>
      <c r="J99" s="248">
        <f t="shared" si="7"/>
        <v>0</v>
      </c>
      <c r="K99" s="248">
        <f t="shared" si="8"/>
        <v>0</v>
      </c>
      <c r="L99" s="247">
        <v>3</v>
      </c>
    </row>
    <row r="100" spans="1:12">
      <c r="A100" s="247">
        <v>37</v>
      </c>
      <c r="B100" s="248">
        <f t="shared" si="1"/>
        <v>0</v>
      </c>
      <c r="C100" s="248">
        <f t="shared" si="2"/>
        <v>0</v>
      </c>
      <c r="D100" s="248">
        <f t="shared" si="3"/>
        <v>0</v>
      </c>
      <c r="E100" s="248">
        <f t="shared" si="4"/>
        <v>0</v>
      </c>
      <c r="F100" s="247"/>
      <c r="G100" s="247">
        <v>37</v>
      </c>
      <c r="H100" s="248">
        <f t="shared" si="5"/>
        <v>0</v>
      </c>
      <c r="I100" s="248">
        <f t="shared" si="6"/>
        <v>0</v>
      </c>
      <c r="J100" s="248">
        <f t="shared" si="7"/>
        <v>0</v>
      </c>
      <c r="K100" s="248">
        <f t="shared" si="8"/>
        <v>0</v>
      </c>
      <c r="L100" s="247"/>
    </row>
    <row r="101" spans="1:12">
      <c r="A101" s="247">
        <v>38</v>
      </c>
      <c r="B101" s="248">
        <f t="shared" si="1"/>
        <v>0</v>
      </c>
      <c r="C101" s="248">
        <f t="shared" si="2"/>
        <v>0</v>
      </c>
      <c r="D101" s="248">
        <f t="shared" si="3"/>
        <v>0</v>
      </c>
      <c r="E101" s="248">
        <f t="shared" si="4"/>
        <v>0</v>
      </c>
      <c r="F101" s="247"/>
      <c r="G101" s="247">
        <v>38</v>
      </c>
      <c r="H101" s="248">
        <f t="shared" si="5"/>
        <v>0</v>
      </c>
      <c r="I101" s="248">
        <f t="shared" si="6"/>
        <v>0</v>
      </c>
      <c r="J101" s="248">
        <f t="shared" si="7"/>
        <v>0</v>
      </c>
      <c r="K101" s="248">
        <f t="shared" si="8"/>
        <v>0</v>
      </c>
      <c r="L101" s="247"/>
    </row>
    <row r="102" spans="1:12">
      <c r="A102" s="247">
        <v>39</v>
      </c>
      <c r="B102" s="248">
        <f t="shared" si="1"/>
        <v>0</v>
      </c>
      <c r="C102" s="248">
        <f t="shared" si="2"/>
        <v>0</v>
      </c>
      <c r="D102" s="248">
        <f t="shared" si="3"/>
        <v>0</v>
      </c>
      <c r="E102" s="248">
        <f t="shared" si="4"/>
        <v>0</v>
      </c>
      <c r="F102" s="247"/>
      <c r="G102" s="247">
        <v>39</v>
      </c>
      <c r="H102" s="248">
        <f t="shared" si="5"/>
        <v>0</v>
      </c>
      <c r="I102" s="248">
        <f t="shared" si="6"/>
        <v>0</v>
      </c>
      <c r="J102" s="248">
        <f t="shared" si="7"/>
        <v>0</v>
      </c>
      <c r="K102" s="248">
        <f t="shared" si="8"/>
        <v>0</v>
      </c>
      <c r="L102" s="247"/>
    </row>
    <row r="103" spans="1:12">
      <c r="A103" s="247">
        <v>40</v>
      </c>
      <c r="B103" s="248">
        <f t="shared" si="1"/>
        <v>0</v>
      </c>
      <c r="C103" s="248">
        <f t="shared" si="2"/>
        <v>0</v>
      </c>
      <c r="D103" s="248">
        <f t="shared" si="3"/>
        <v>0</v>
      </c>
      <c r="E103" s="248">
        <f t="shared" si="4"/>
        <v>0</v>
      </c>
      <c r="F103" s="247"/>
      <c r="G103" s="247">
        <v>40</v>
      </c>
      <c r="H103" s="248">
        <f t="shared" si="5"/>
        <v>0</v>
      </c>
      <c r="I103" s="248">
        <f t="shared" si="6"/>
        <v>0</v>
      </c>
      <c r="J103" s="248">
        <f t="shared" si="7"/>
        <v>0</v>
      </c>
      <c r="K103" s="248">
        <f t="shared" si="8"/>
        <v>0</v>
      </c>
      <c r="L103" s="247"/>
    </row>
    <row r="104" spans="1:12">
      <c r="A104" s="247">
        <v>41</v>
      </c>
      <c r="B104" s="248">
        <f t="shared" si="1"/>
        <v>0</v>
      </c>
      <c r="C104" s="248">
        <f t="shared" si="2"/>
        <v>0</v>
      </c>
      <c r="D104" s="248">
        <f t="shared" si="3"/>
        <v>0</v>
      </c>
      <c r="E104" s="248">
        <f t="shared" si="4"/>
        <v>0</v>
      </c>
      <c r="F104" s="247"/>
      <c r="G104" s="247">
        <v>41</v>
      </c>
      <c r="H104" s="248">
        <f t="shared" si="5"/>
        <v>0</v>
      </c>
      <c r="I104" s="248">
        <f t="shared" si="6"/>
        <v>0</v>
      </c>
      <c r="J104" s="248">
        <f t="shared" si="7"/>
        <v>0</v>
      </c>
      <c r="K104" s="248">
        <f t="shared" si="8"/>
        <v>0</v>
      </c>
      <c r="L104" s="247"/>
    </row>
    <row r="105" spans="1:12">
      <c r="A105" s="247">
        <v>42</v>
      </c>
      <c r="B105" s="248">
        <f t="shared" si="1"/>
        <v>0</v>
      </c>
      <c r="C105" s="248">
        <f t="shared" si="2"/>
        <v>0</v>
      </c>
      <c r="D105" s="248">
        <f t="shared" si="3"/>
        <v>0</v>
      </c>
      <c r="E105" s="248">
        <f t="shared" si="4"/>
        <v>0</v>
      </c>
      <c r="F105" s="247"/>
      <c r="G105" s="247">
        <v>42</v>
      </c>
      <c r="H105" s="248">
        <f t="shared" si="5"/>
        <v>0</v>
      </c>
      <c r="I105" s="248">
        <f t="shared" si="6"/>
        <v>0</v>
      </c>
      <c r="J105" s="248">
        <f t="shared" si="7"/>
        <v>0</v>
      </c>
      <c r="K105" s="248">
        <f t="shared" si="8"/>
        <v>0</v>
      </c>
      <c r="L105" s="247"/>
    </row>
    <row r="106" spans="1:12">
      <c r="A106" s="247">
        <v>43</v>
      </c>
      <c r="B106" s="248">
        <f t="shared" si="1"/>
        <v>0</v>
      </c>
      <c r="C106" s="248">
        <f t="shared" si="2"/>
        <v>0</v>
      </c>
      <c r="D106" s="248">
        <f t="shared" si="3"/>
        <v>0</v>
      </c>
      <c r="E106" s="248">
        <f t="shared" si="4"/>
        <v>0</v>
      </c>
      <c r="F106" s="247"/>
      <c r="G106" s="247">
        <v>43</v>
      </c>
      <c r="H106" s="248">
        <f t="shared" si="5"/>
        <v>0</v>
      </c>
      <c r="I106" s="248">
        <f t="shared" si="6"/>
        <v>0</v>
      </c>
      <c r="J106" s="248">
        <f t="shared" si="7"/>
        <v>0</v>
      </c>
      <c r="K106" s="248">
        <f t="shared" si="8"/>
        <v>0</v>
      </c>
      <c r="L106" s="247"/>
    </row>
    <row r="107" spans="1:12">
      <c r="A107" s="247">
        <v>44</v>
      </c>
      <c r="B107" s="248">
        <f t="shared" si="1"/>
        <v>0</v>
      </c>
      <c r="C107" s="248">
        <f t="shared" si="2"/>
        <v>0</v>
      </c>
      <c r="D107" s="248">
        <f t="shared" si="3"/>
        <v>0</v>
      </c>
      <c r="E107" s="248">
        <f t="shared" si="4"/>
        <v>0</v>
      </c>
      <c r="F107" s="247"/>
      <c r="G107" s="247">
        <v>44</v>
      </c>
      <c r="H107" s="248">
        <f t="shared" si="5"/>
        <v>0</v>
      </c>
      <c r="I107" s="248">
        <f t="shared" si="6"/>
        <v>0</v>
      </c>
      <c r="J107" s="248">
        <f t="shared" si="7"/>
        <v>0</v>
      </c>
      <c r="K107" s="248">
        <f t="shared" si="8"/>
        <v>0</v>
      </c>
      <c r="L107" s="247"/>
    </row>
    <row r="108" spans="1:12">
      <c r="A108" s="247">
        <v>45</v>
      </c>
      <c r="B108" s="248">
        <f t="shared" si="1"/>
        <v>0</v>
      </c>
      <c r="C108" s="248">
        <f t="shared" si="2"/>
        <v>0</v>
      </c>
      <c r="D108" s="248">
        <f t="shared" si="3"/>
        <v>0</v>
      </c>
      <c r="E108" s="248">
        <f t="shared" si="4"/>
        <v>0</v>
      </c>
      <c r="F108" s="247"/>
      <c r="G108" s="247">
        <v>45</v>
      </c>
      <c r="H108" s="248">
        <f t="shared" si="5"/>
        <v>0</v>
      </c>
      <c r="I108" s="248">
        <f t="shared" si="6"/>
        <v>0</v>
      </c>
      <c r="J108" s="248">
        <f t="shared" si="7"/>
        <v>0</v>
      </c>
      <c r="K108" s="248">
        <f t="shared" si="8"/>
        <v>0</v>
      </c>
      <c r="L108" s="247"/>
    </row>
    <row r="109" spans="1:12">
      <c r="A109" s="247">
        <v>46</v>
      </c>
      <c r="B109" s="248">
        <f t="shared" si="1"/>
        <v>0</v>
      </c>
      <c r="C109" s="248">
        <f t="shared" si="2"/>
        <v>0</v>
      </c>
      <c r="D109" s="248">
        <f t="shared" si="3"/>
        <v>0</v>
      </c>
      <c r="E109" s="248">
        <f t="shared" si="4"/>
        <v>0</v>
      </c>
      <c r="F109" s="247"/>
      <c r="G109" s="247">
        <v>46</v>
      </c>
      <c r="H109" s="248">
        <f t="shared" si="5"/>
        <v>0</v>
      </c>
      <c r="I109" s="248">
        <f t="shared" si="6"/>
        <v>0</v>
      </c>
      <c r="J109" s="248">
        <f t="shared" si="7"/>
        <v>0</v>
      </c>
      <c r="K109" s="248">
        <f t="shared" si="8"/>
        <v>0</v>
      </c>
      <c r="L109" s="247"/>
    </row>
    <row r="110" spans="1:12">
      <c r="A110" s="247">
        <v>47</v>
      </c>
      <c r="B110" s="248">
        <f t="shared" si="1"/>
        <v>0</v>
      </c>
      <c r="C110" s="248">
        <f t="shared" si="2"/>
        <v>0</v>
      </c>
      <c r="D110" s="248">
        <f t="shared" si="3"/>
        <v>0</v>
      </c>
      <c r="E110" s="248">
        <f t="shared" si="4"/>
        <v>0</v>
      </c>
      <c r="F110" s="247"/>
      <c r="G110" s="247">
        <v>47</v>
      </c>
      <c r="H110" s="248">
        <f t="shared" si="5"/>
        <v>0</v>
      </c>
      <c r="I110" s="248">
        <f t="shared" si="6"/>
        <v>0</v>
      </c>
      <c r="J110" s="248">
        <f t="shared" si="7"/>
        <v>0</v>
      </c>
      <c r="K110" s="248">
        <f t="shared" si="8"/>
        <v>0</v>
      </c>
      <c r="L110" s="247"/>
    </row>
    <row r="111" spans="1:12">
      <c r="A111" s="247">
        <v>48</v>
      </c>
      <c r="B111" s="248">
        <f t="shared" si="1"/>
        <v>0</v>
      </c>
      <c r="C111" s="248">
        <f t="shared" si="2"/>
        <v>0</v>
      </c>
      <c r="D111" s="248">
        <f t="shared" si="3"/>
        <v>0</v>
      </c>
      <c r="E111" s="248">
        <f t="shared" si="4"/>
        <v>0</v>
      </c>
      <c r="F111" s="247">
        <v>4</v>
      </c>
      <c r="G111" s="247">
        <v>48</v>
      </c>
      <c r="H111" s="248">
        <f t="shared" si="5"/>
        <v>0</v>
      </c>
      <c r="I111" s="248">
        <f t="shared" si="6"/>
        <v>0</v>
      </c>
      <c r="J111" s="248">
        <f t="shared" si="7"/>
        <v>0</v>
      </c>
      <c r="K111" s="248">
        <f t="shared" si="8"/>
        <v>0</v>
      </c>
      <c r="L111" s="247">
        <v>4</v>
      </c>
    </row>
    <row r="112" spans="1:12">
      <c r="A112" s="247">
        <v>49</v>
      </c>
      <c r="B112" s="248">
        <f t="shared" si="1"/>
        <v>0</v>
      </c>
      <c r="C112" s="248">
        <f t="shared" si="2"/>
        <v>0</v>
      </c>
      <c r="D112" s="248">
        <f t="shared" si="3"/>
        <v>0</v>
      </c>
      <c r="E112" s="248">
        <f t="shared" si="4"/>
        <v>0</v>
      </c>
      <c r="F112" s="247"/>
      <c r="G112" s="247">
        <v>49</v>
      </c>
      <c r="H112" s="248">
        <f t="shared" si="5"/>
        <v>0</v>
      </c>
      <c r="I112" s="248">
        <f t="shared" si="6"/>
        <v>0</v>
      </c>
      <c r="J112" s="248">
        <f t="shared" si="7"/>
        <v>0</v>
      </c>
      <c r="K112" s="248">
        <f t="shared" si="8"/>
        <v>0</v>
      </c>
      <c r="L112" s="247"/>
    </row>
    <row r="113" spans="1:12">
      <c r="A113" s="247">
        <v>50</v>
      </c>
      <c r="B113" s="248">
        <f t="shared" si="1"/>
        <v>0</v>
      </c>
      <c r="C113" s="248">
        <f t="shared" si="2"/>
        <v>0</v>
      </c>
      <c r="D113" s="248">
        <f t="shared" si="3"/>
        <v>0</v>
      </c>
      <c r="E113" s="248">
        <f t="shared" si="4"/>
        <v>0</v>
      </c>
      <c r="F113" s="247"/>
      <c r="G113" s="247">
        <v>50</v>
      </c>
      <c r="H113" s="248">
        <f t="shared" si="5"/>
        <v>0</v>
      </c>
      <c r="I113" s="248">
        <f t="shared" si="6"/>
        <v>0</v>
      </c>
      <c r="J113" s="248">
        <f t="shared" si="7"/>
        <v>0</v>
      </c>
      <c r="K113" s="248">
        <f t="shared" si="8"/>
        <v>0</v>
      </c>
      <c r="L113" s="247"/>
    </row>
    <row r="114" spans="1:12">
      <c r="A114" s="247">
        <v>51</v>
      </c>
      <c r="B114" s="248">
        <f t="shared" si="1"/>
        <v>0</v>
      </c>
      <c r="C114" s="248">
        <f t="shared" si="2"/>
        <v>0</v>
      </c>
      <c r="D114" s="248">
        <f t="shared" si="3"/>
        <v>0</v>
      </c>
      <c r="E114" s="248">
        <f t="shared" si="4"/>
        <v>0</v>
      </c>
      <c r="F114" s="247"/>
      <c r="G114" s="247">
        <v>51</v>
      </c>
      <c r="H114" s="248">
        <f t="shared" si="5"/>
        <v>0</v>
      </c>
      <c r="I114" s="248">
        <f t="shared" si="6"/>
        <v>0</v>
      </c>
      <c r="J114" s="248">
        <f t="shared" si="7"/>
        <v>0</v>
      </c>
      <c r="K114" s="248">
        <f t="shared" si="8"/>
        <v>0</v>
      </c>
      <c r="L114" s="247"/>
    </row>
    <row r="115" spans="1:12">
      <c r="A115" s="247">
        <v>52</v>
      </c>
      <c r="B115" s="248">
        <f t="shared" si="1"/>
        <v>0</v>
      </c>
      <c r="C115" s="248">
        <f t="shared" si="2"/>
        <v>0</v>
      </c>
      <c r="D115" s="248">
        <f t="shared" si="3"/>
        <v>0</v>
      </c>
      <c r="E115" s="248">
        <f t="shared" si="4"/>
        <v>0</v>
      </c>
      <c r="F115" s="247"/>
      <c r="G115" s="247">
        <v>52</v>
      </c>
      <c r="H115" s="248">
        <f t="shared" si="5"/>
        <v>0</v>
      </c>
      <c r="I115" s="248">
        <f t="shared" si="6"/>
        <v>0</v>
      </c>
      <c r="J115" s="248">
        <f t="shared" si="7"/>
        <v>0</v>
      </c>
      <c r="K115" s="248">
        <f t="shared" si="8"/>
        <v>0</v>
      </c>
      <c r="L115" s="247"/>
    </row>
    <row r="116" spans="1:12">
      <c r="A116" s="247">
        <v>53</v>
      </c>
      <c r="B116" s="248">
        <f t="shared" si="1"/>
        <v>0</v>
      </c>
      <c r="C116" s="248">
        <f t="shared" si="2"/>
        <v>0</v>
      </c>
      <c r="D116" s="248">
        <f t="shared" si="3"/>
        <v>0</v>
      </c>
      <c r="E116" s="248">
        <f t="shared" si="4"/>
        <v>0</v>
      </c>
      <c r="F116" s="247"/>
      <c r="G116" s="247">
        <v>53</v>
      </c>
      <c r="H116" s="248">
        <f t="shared" si="5"/>
        <v>0</v>
      </c>
      <c r="I116" s="248">
        <f t="shared" si="6"/>
        <v>0</v>
      </c>
      <c r="J116" s="248">
        <f t="shared" si="7"/>
        <v>0</v>
      </c>
      <c r="K116" s="248">
        <f t="shared" si="8"/>
        <v>0</v>
      </c>
      <c r="L116" s="247"/>
    </row>
    <row r="117" spans="1:12">
      <c r="A117" s="247">
        <v>54</v>
      </c>
      <c r="B117" s="248">
        <f t="shared" si="1"/>
        <v>0</v>
      </c>
      <c r="C117" s="248">
        <f t="shared" si="2"/>
        <v>0</v>
      </c>
      <c r="D117" s="248">
        <f t="shared" si="3"/>
        <v>0</v>
      </c>
      <c r="E117" s="248">
        <f t="shared" si="4"/>
        <v>0</v>
      </c>
      <c r="F117" s="247"/>
      <c r="G117" s="247">
        <v>54</v>
      </c>
      <c r="H117" s="248">
        <f t="shared" si="5"/>
        <v>0</v>
      </c>
      <c r="I117" s="248">
        <f t="shared" si="6"/>
        <v>0</v>
      </c>
      <c r="J117" s="248">
        <f t="shared" si="7"/>
        <v>0</v>
      </c>
      <c r="K117" s="248">
        <f t="shared" si="8"/>
        <v>0</v>
      </c>
      <c r="L117" s="247"/>
    </row>
    <row r="118" spans="1:12">
      <c r="A118" s="247">
        <v>55</v>
      </c>
      <c r="B118" s="248">
        <f t="shared" si="1"/>
        <v>0</v>
      </c>
      <c r="C118" s="248">
        <f t="shared" si="2"/>
        <v>0</v>
      </c>
      <c r="D118" s="248">
        <f t="shared" si="3"/>
        <v>0</v>
      </c>
      <c r="E118" s="248">
        <f t="shared" si="4"/>
        <v>0</v>
      </c>
      <c r="F118" s="247"/>
      <c r="G118" s="247">
        <v>55</v>
      </c>
      <c r="H118" s="248">
        <f t="shared" si="5"/>
        <v>0</v>
      </c>
      <c r="I118" s="248">
        <f t="shared" si="6"/>
        <v>0</v>
      </c>
      <c r="J118" s="248">
        <f t="shared" si="7"/>
        <v>0</v>
      </c>
      <c r="K118" s="248">
        <f t="shared" si="8"/>
        <v>0</v>
      </c>
      <c r="L118" s="247"/>
    </row>
    <row r="119" spans="1:12">
      <c r="A119" s="247">
        <v>56</v>
      </c>
      <c r="B119" s="248">
        <f t="shared" si="1"/>
        <v>0</v>
      </c>
      <c r="C119" s="248">
        <f t="shared" si="2"/>
        <v>0</v>
      </c>
      <c r="D119" s="248">
        <f t="shared" si="3"/>
        <v>0</v>
      </c>
      <c r="E119" s="248">
        <f t="shared" si="4"/>
        <v>0</v>
      </c>
      <c r="F119" s="247"/>
      <c r="G119" s="247">
        <v>56</v>
      </c>
      <c r="H119" s="248">
        <f t="shared" si="5"/>
        <v>0</v>
      </c>
      <c r="I119" s="248">
        <f t="shared" si="6"/>
        <v>0</v>
      </c>
      <c r="J119" s="248">
        <f t="shared" si="7"/>
        <v>0</v>
      </c>
      <c r="K119" s="248">
        <f t="shared" si="8"/>
        <v>0</v>
      </c>
      <c r="L119" s="247"/>
    </row>
    <row r="120" spans="1:12">
      <c r="A120" s="247">
        <v>57</v>
      </c>
      <c r="B120" s="248">
        <f t="shared" si="1"/>
        <v>0</v>
      </c>
      <c r="C120" s="248">
        <f t="shared" si="2"/>
        <v>0</v>
      </c>
      <c r="D120" s="248">
        <f t="shared" si="3"/>
        <v>0</v>
      </c>
      <c r="E120" s="248">
        <f t="shared" si="4"/>
        <v>0</v>
      </c>
      <c r="F120" s="247"/>
      <c r="G120" s="247">
        <v>57</v>
      </c>
      <c r="H120" s="248">
        <f t="shared" si="5"/>
        <v>0</v>
      </c>
      <c r="I120" s="248">
        <f t="shared" si="6"/>
        <v>0</v>
      </c>
      <c r="J120" s="248">
        <f t="shared" si="7"/>
        <v>0</v>
      </c>
      <c r="K120" s="248">
        <f t="shared" si="8"/>
        <v>0</v>
      </c>
      <c r="L120" s="247"/>
    </row>
    <row r="121" spans="1:12">
      <c r="A121" s="247">
        <v>58</v>
      </c>
      <c r="B121" s="248">
        <f t="shared" si="1"/>
        <v>0</v>
      </c>
      <c r="C121" s="248">
        <f t="shared" si="2"/>
        <v>0</v>
      </c>
      <c r="D121" s="248">
        <f t="shared" si="3"/>
        <v>0</v>
      </c>
      <c r="E121" s="248">
        <f t="shared" si="4"/>
        <v>0</v>
      </c>
      <c r="F121" s="247"/>
      <c r="G121" s="247">
        <v>58</v>
      </c>
      <c r="H121" s="248">
        <f t="shared" si="5"/>
        <v>0</v>
      </c>
      <c r="I121" s="248">
        <f t="shared" si="6"/>
        <v>0</v>
      </c>
      <c r="J121" s="248">
        <f t="shared" si="7"/>
        <v>0</v>
      </c>
      <c r="K121" s="248">
        <f t="shared" si="8"/>
        <v>0</v>
      </c>
      <c r="L121" s="247"/>
    </row>
    <row r="122" spans="1:12">
      <c r="A122" s="247">
        <v>59</v>
      </c>
      <c r="B122" s="248">
        <f t="shared" si="1"/>
        <v>0</v>
      </c>
      <c r="C122" s="248">
        <f t="shared" si="2"/>
        <v>0</v>
      </c>
      <c r="D122" s="248">
        <f t="shared" si="3"/>
        <v>0</v>
      </c>
      <c r="E122" s="248">
        <f t="shared" si="4"/>
        <v>0</v>
      </c>
      <c r="F122" s="247"/>
      <c r="G122" s="247">
        <v>59</v>
      </c>
      <c r="H122" s="248">
        <f t="shared" si="5"/>
        <v>0</v>
      </c>
      <c r="I122" s="248">
        <f t="shared" si="6"/>
        <v>0</v>
      </c>
      <c r="J122" s="248">
        <f t="shared" si="7"/>
        <v>0</v>
      </c>
      <c r="K122" s="248">
        <f t="shared" si="8"/>
        <v>0</v>
      </c>
      <c r="L122" s="247"/>
    </row>
    <row r="123" spans="1:12">
      <c r="A123" s="247">
        <v>60</v>
      </c>
      <c r="B123" s="248">
        <f t="shared" si="1"/>
        <v>0</v>
      </c>
      <c r="C123" s="248">
        <f t="shared" si="2"/>
        <v>0</v>
      </c>
      <c r="D123" s="248">
        <f t="shared" si="3"/>
        <v>0</v>
      </c>
      <c r="E123" s="248">
        <f t="shared" si="4"/>
        <v>0</v>
      </c>
      <c r="F123" s="247"/>
      <c r="G123" s="247">
        <v>60</v>
      </c>
      <c r="H123" s="248">
        <f t="shared" si="5"/>
        <v>0</v>
      </c>
      <c r="I123" s="248">
        <f t="shared" si="6"/>
        <v>0</v>
      </c>
      <c r="J123" s="248">
        <f t="shared" si="7"/>
        <v>0</v>
      </c>
      <c r="K123" s="248">
        <f t="shared" si="8"/>
        <v>0</v>
      </c>
      <c r="L123" s="247"/>
    </row>
    <row r="124" spans="1:12">
      <c r="A124" s="247">
        <v>61</v>
      </c>
      <c r="B124" s="248">
        <f t="shared" si="1"/>
        <v>0</v>
      </c>
      <c r="C124" s="248">
        <f t="shared" si="2"/>
        <v>0</v>
      </c>
      <c r="D124" s="248">
        <f t="shared" si="3"/>
        <v>0</v>
      </c>
      <c r="E124" s="248">
        <f t="shared" si="4"/>
        <v>0</v>
      </c>
      <c r="F124" s="247"/>
      <c r="G124" s="247">
        <v>61</v>
      </c>
      <c r="H124" s="248">
        <f t="shared" si="5"/>
        <v>0</v>
      </c>
      <c r="I124" s="248">
        <f t="shared" si="6"/>
        <v>0</v>
      </c>
      <c r="J124" s="248">
        <f t="shared" si="7"/>
        <v>0</v>
      </c>
      <c r="K124" s="248">
        <f t="shared" si="8"/>
        <v>0</v>
      </c>
      <c r="L124" s="247"/>
    </row>
    <row r="125" spans="1:12">
      <c r="A125" s="247">
        <v>62</v>
      </c>
      <c r="B125" s="248">
        <f t="shared" si="1"/>
        <v>0</v>
      </c>
      <c r="C125" s="248">
        <f t="shared" si="2"/>
        <v>0</v>
      </c>
      <c r="D125" s="248">
        <f t="shared" si="3"/>
        <v>0</v>
      </c>
      <c r="E125" s="248">
        <f t="shared" si="4"/>
        <v>0</v>
      </c>
      <c r="F125" s="247">
        <v>5</v>
      </c>
      <c r="G125" s="247">
        <v>62</v>
      </c>
      <c r="H125" s="248">
        <f t="shared" si="5"/>
        <v>0</v>
      </c>
      <c r="I125" s="248">
        <f t="shared" si="6"/>
        <v>0</v>
      </c>
      <c r="J125" s="248">
        <f t="shared" si="7"/>
        <v>0</v>
      </c>
      <c r="K125" s="248">
        <f t="shared" si="8"/>
        <v>0</v>
      </c>
      <c r="L125" s="247">
        <v>5</v>
      </c>
    </row>
    <row r="126" spans="1:12">
      <c r="A126" s="247">
        <v>63</v>
      </c>
      <c r="B126" s="248">
        <f t="shared" si="1"/>
        <v>0</v>
      </c>
      <c r="C126" s="248">
        <f t="shared" si="2"/>
        <v>0</v>
      </c>
      <c r="D126" s="248">
        <f t="shared" si="3"/>
        <v>0</v>
      </c>
      <c r="E126" s="248">
        <f t="shared" si="4"/>
        <v>0</v>
      </c>
      <c r="F126" s="247"/>
      <c r="G126" s="247">
        <v>63</v>
      </c>
      <c r="H126" s="248">
        <f t="shared" si="5"/>
        <v>0</v>
      </c>
      <c r="I126" s="248">
        <f t="shared" si="6"/>
        <v>0</v>
      </c>
      <c r="J126" s="248">
        <f t="shared" si="7"/>
        <v>0</v>
      </c>
      <c r="K126" s="248">
        <f t="shared" si="8"/>
        <v>0</v>
      </c>
      <c r="L126" s="247"/>
    </row>
    <row r="127" spans="1:12">
      <c r="A127" s="247">
        <v>64</v>
      </c>
      <c r="B127" s="248">
        <f t="shared" si="1"/>
        <v>0</v>
      </c>
      <c r="C127" s="248">
        <f t="shared" si="2"/>
        <v>0</v>
      </c>
      <c r="D127" s="248">
        <f t="shared" si="3"/>
        <v>0</v>
      </c>
      <c r="E127" s="248">
        <f t="shared" si="4"/>
        <v>0</v>
      </c>
      <c r="F127" s="247"/>
      <c r="G127" s="247">
        <v>64</v>
      </c>
      <c r="H127" s="248">
        <f t="shared" si="5"/>
        <v>0</v>
      </c>
      <c r="I127" s="248">
        <f t="shared" si="6"/>
        <v>0</v>
      </c>
      <c r="J127" s="248">
        <f t="shared" si="7"/>
        <v>0</v>
      </c>
      <c r="K127" s="248">
        <f t="shared" si="8"/>
        <v>0</v>
      </c>
      <c r="L127" s="247"/>
    </row>
    <row r="128" spans="1:12">
      <c r="A128" s="247">
        <v>65</v>
      </c>
      <c r="B128" s="248">
        <f t="shared" ref="B128:B191" si="9">IF(A128&gt;12*$C$9,0,IF($C$5&gt;1500000,$D$12,$C$12))</f>
        <v>0</v>
      </c>
      <c r="C128" s="248">
        <f t="shared" ref="C128:C191" si="10">IF(A128&gt;12*$C$9,0,E127*$C$7/12)</f>
        <v>0</v>
      </c>
      <c r="D128" s="248">
        <f t="shared" ref="D128:D191" si="11">IF(A128&gt;12*$C$9,0,B128-C128)</f>
        <v>0</v>
      </c>
      <c r="E128" s="248">
        <f t="shared" ref="E128:E191" si="12">IF(A128&gt;12*$C$9,0,E127-D128)</f>
        <v>0</v>
      </c>
      <c r="F128" s="247"/>
      <c r="G128" s="247">
        <v>65</v>
      </c>
      <c r="H128" s="248">
        <f t="shared" ref="H128:H191" si="13">IF(G128&gt;12*$C$9,0,IF($C$5&gt;1500000,$E$12,0))</f>
        <v>0</v>
      </c>
      <c r="I128" s="248">
        <f t="shared" ref="I128:I191" si="14">IF(G128&gt;12*$C$9,0,K127*$C$7/12)</f>
        <v>0</v>
      </c>
      <c r="J128" s="248">
        <f t="shared" ref="J128:J191" si="15">IF(G128&gt;12*$C$9,0,H128-I128)</f>
        <v>0</v>
      </c>
      <c r="K128" s="248">
        <f t="shared" ref="K128:K191" si="16">IF(G128&gt;12*$C$9,0,K127-J128)</f>
        <v>0</v>
      </c>
      <c r="L128" s="247"/>
    </row>
    <row r="129" spans="1:12">
      <c r="A129" s="247">
        <v>66</v>
      </c>
      <c r="B129" s="248">
        <f t="shared" si="9"/>
        <v>0</v>
      </c>
      <c r="C129" s="248">
        <f t="shared" si="10"/>
        <v>0</v>
      </c>
      <c r="D129" s="248">
        <f t="shared" si="11"/>
        <v>0</v>
      </c>
      <c r="E129" s="248">
        <f t="shared" si="12"/>
        <v>0</v>
      </c>
      <c r="F129" s="247"/>
      <c r="G129" s="247">
        <v>66</v>
      </c>
      <c r="H129" s="248">
        <f t="shared" si="13"/>
        <v>0</v>
      </c>
      <c r="I129" s="248">
        <f t="shared" si="14"/>
        <v>0</v>
      </c>
      <c r="J129" s="248">
        <f t="shared" si="15"/>
        <v>0</v>
      </c>
      <c r="K129" s="248">
        <f t="shared" si="16"/>
        <v>0</v>
      </c>
      <c r="L129" s="247"/>
    </row>
    <row r="130" spans="1:12">
      <c r="A130" s="247">
        <v>67</v>
      </c>
      <c r="B130" s="248">
        <f t="shared" si="9"/>
        <v>0</v>
      </c>
      <c r="C130" s="248">
        <f t="shared" si="10"/>
        <v>0</v>
      </c>
      <c r="D130" s="248">
        <f t="shared" si="11"/>
        <v>0</v>
      </c>
      <c r="E130" s="248">
        <f t="shared" si="12"/>
        <v>0</v>
      </c>
      <c r="F130" s="247"/>
      <c r="G130" s="247">
        <v>67</v>
      </c>
      <c r="H130" s="248">
        <f t="shared" si="13"/>
        <v>0</v>
      </c>
      <c r="I130" s="248">
        <f t="shared" si="14"/>
        <v>0</v>
      </c>
      <c r="J130" s="248">
        <f t="shared" si="15"/>
        <v>0</v>
      </c>
      <c r="K130" s="248">
        <f t="shared" si="16"/>
        <v>0</v>
      </c>
      <c r="L130" s="247"/>
    </row>
    <row r="131" spans="1:12">
      <c r="A131" s="247">
        <v>68</v>
      </c>
      <c r="B131" s="248">
        <f t="shared" si="9"/>
        <v>0</v>
      </c>
      <c r="C131" s="248">
        <f t="shared" si="10"/>
        <v>0</v>
      </c>
      <c r="D131" s="248">
        <f t="shared" si="11"/>
        <v>0</v>
      </c>
      <c r="E131" s="248">
        <f t="shared" si="12"/>
        <v>0</v>
      </c>
      <c r="F131" s="247"/>
      <c r="G131" s="247">
        <v>68</v>
      </c>
      <c r="H131" s="248">
        <f t="shared" si="13"/>
        <v>0</v>
      </c>
      <c r="I131" s="248">
        <f t="shared" si="14"/>
        <v>0</v>
      </c>
      <c r="J131" s="248">
        <f t="shared" si="15"/>
        <v>0</v>
      </c>
      <c r="K131" s="248">
        <f t="shared" si="16"/>
        <v>0</v>
      </c>
      <c r="L131" s="247"/>
    </row>
    <row r="132" spans="1:12">
      <c r="A132" s="247">
        <v>69</v>
      </c>
      <c r="B132" s="248">
        <f t="shared" si="9"/>
        <v>0</v>
      </c>
      <c r="C132" s="248">
        <f t="shared" si="10"/>
        <v>0</v>
      </c>
      <c r="D132" s="248">
        <f t="shared" si="11"/>
        <v>0</v>
      </c>
      <c r="E132" s="248">
        <f t="shared" si="12"/>
        <v>0</v>
      </c>
      <c r="F132" s="247"/>
      <c r="G132" s="247">
        <v>69</v>
      </c>
      <c r="H132" s="248">
        <f t="shared" si="13"/>
        <v>0</v>
      </c>
      <c r="I132" s="248">
        <f t="shared" si="14"/>
        <v>0</v>
      </c>
      <c r="J132" s="248">
        <f t="shared" si="15"/>
        <v>0</v>
      </c>
      <c r="K132" s="248">
        <f t="shared" si="16"/>
        <v>0</v>
      </c>
      <c r="L132" s="247"/>
    </row>
    <row r="133" spans="1:12">
      <c r="A133" s="247">
        <v>70</v>
      </c>
      <c r="B133" s="248">
        <f t="shared" si="9"/>
        <v>0</v>
      </c>
      <c r="C133" s="248">
        <f t="shared" si="10"/>
        <v>0</v>
      </c>
      <c r="D133" s="248">
        <f t="shared" si="11"/>
        <v>0</v>
      </c>
      <c r="E133" s="248">
        <f t="shared" si="12"/>
        <v>0</v>
      </c>
      <c r="F133" s="247"/>
      <c r="G133" s="247">
        <v>70</v>
      </c>
      <c r="H133" s="248">
        <f t="shared" si="13"/>
        <v>0</v>
      </c>
      <c r="I133" s="248">
        <f t="shared" si="14"/>
        <v>0</v>
      </c>
      <c r="J133" s="248">
        <f t="shared" si="15"/>
        <v>0</v>
      </c>
      <c r="K133" s="248">
        <f t="shared" si="16"/>
        <v>0</v>
      </c>
      <c r="L133" s="247"/>
    </row>
    <row r="134" spans="1:12">
      <c r="A134" s="247">
        <v>71</v>
      </c>
      <c r="B134" s="248">
        <f t="shared" si="9"/>
        <v>0</v>
      </c>
      <c r="C134" s="248">
        <f t="shared" si="10"/>
        <v>0</v>
      </c>
      <c r="D134" s="248">
        <f t="shared" si="11"/>
        <v>0</v>
      </c>
      <c r="E134" s="248">
        <f t="shared" si="12"/>
        <v>0</v>
      </c>
      <c r="F134" s="247"/>
      <c r="G134" s="247">
        <v>71</v>
      </c>
      <c r="H134" s="248">
        <f t="shared" si="13"/>
        <v>0</v>
      </c>
      <c r="I134" s="248">
        <f t="shared" si="14"/>
        <v>0</v>
      </c>
      <c r="J134" s="248">
        <f t="shared" si="15"/>
        <v>0</v>
      </c>
      <c r="K134" s="248">
        <f t="shared" si="16"/>
        <v>0</v>
      </c>
      <c r="L134" s="247"/>
    </row>
    <row r="135" spans="1:12">
      <c r="A135" s="247">
        <v>72</v>
      </c>
      <c r="B135" s="248">
        <f t="shared" si="9"/>
        <v>0</v>
      </c>
      <c r="C135" s="248">
        <f t="shared" si="10"/>
        <v>0</v>
      </c>
      <c r="D135" s="248">
        <f t="shared" si="11"/>
        <v>0</v>
      </c>
      <c r="E135" s="248">
        <f t="shared" si="12"/>
        <v>0</v>
      </c>
      <c r="F135" s="247"/>
      <c r="G135" s="247">
        <v>72</v>
      </c>
      <c r="H135" s="248">
        <f t="shared" si="13"/>
        <v>0</v>
      </c>
      <c r="I135" s="248">
        <f t="shared" si="14"/>
        <v>0</v>
      </c>
      <c r="J135" s="248">
        <f t="shared" si="15"/>
        <v>0</v>
      </c>
      <c r="K135" s="248">
        <f t="shared" si="16"/>
        <v>0</v>
      </c>
      <c r="L135" s="247"/>
    </row>
    <row r="136" spans="1:12">
      <c r="A136" s="247">
        <v>73</v>
      </c>
      <c r="B136" s="248">
        <f t="shared" si="9"/>
        <v>0</v>
      </c>
      <c r="C136" s="248">
        <f t="shared" si="10"/>
        <v>0</v>
      </c>
      <c r="D136" s="248">
        <f t="shared" si="11"/>
        <v>0</v>
      </c>
      <c r="E136" s="248">
        <f t="shared" si="12"/>
        <v>0</v>
      </c>
      <c r="F136" s="247"/>
      <c r="G136" s="247">
        <v>73</v>
      </c>
      <c r="H136" s="248">
        <f t="shared" si="13"/>
        <v>0</v>
      </c>
      <c r="I136" s="248">
        <f t="shared" si="14"/>
        <v>0</v>
      </c>
      <c r="J136" s="248">
        <f t="shared" si="15"/>
        <v>0</v>
      </c>
      <c r="K136" s="248">
        <f t="shared" si="16"/>
        <v>0</v>
      </c>
      <c r="L136" s="247"/>
    </row>
    <row r="137" spans="1:12">
      <c r="A137" s="247">
        <v>74</v>
      </c>
      <c r="B137" s="248">
        <f t="shared" si="9"/>
        <v>0</v>
      </c>
      <c r="C137" s="248">
        <f t="shared" si="10"/>
        <v>0</v>
      </c>
      <c r="D137" s="248">
        <f t="shared" si="11"/>
        <v>0</v>
      </c>
      <c r="E137" s="248">
        <f t="shared" si="12"/>
        <v>0</v>
      </c>
      <c r="F137" s="247">
        <v>6</v>
      </c>
      <c r="G137" s="247">
        <v>74</v>
      </c>
      <c r="H137" s="248">
        <f t="shared" si="13"/>
        <v>0</v>
      </c>
      <c r="I137" s="248">
        <f t="shared" si="14"/>
        <v>0</v>
      </c>
      <c r="J137" s="248">
        <f t="shared" si="15"/>
        <v>0</v>
      </c>
      <c r="K137" s="248">
        <f t="shared" si="16"/>
        <v>0</v>
      </c>
      <c r="L137" s="247">
        <v>6</v>
      </c>
    </row>
    <row r="138" spans="1:12">
      <c r="A138" s="247">
        <v>75</v>
      </c>
      <c r="B138" s="248">
        <f t="shared" si="9"/>
        <v>0</v>
      </c>
      <c r="C138" s="248">
        <f t="shared" si="10"/>
        <v>0</v>
      </c>
      <c r="D138" s="248">
        <f t="shared" si="11"/>
        <v>0</v>
      </c>
      <c r="E138" s="248">
        <f t="shared" si="12"/>
        <v>0</v>
      </c>
      <c r="F138" s="247"/>
      <c r="G138" s="247">
        <v>75</v>
      </c>
      <c r="H138" s="248">
        <f t="shared" si="13"/>
        <v>0</v>
      </c>
      <c r="I138" s="248">
        <f t="shared" si="14"/>
        <v>0</v>
      </c>
      <c r="J138" s="248">
        <f t="shared" si="15"/>
        <v>0</v>
      </c>
      <c r="K138" s="248">
        <f t="shared" si="16"/>
        <v>0</v>
      </c>
      <c r="L138" s="247"/>
    </row>
    <row r="139" spans="1:12">
      <c r="A139" s="247">
        <v>76</v>
      </c>
      <c r="B139" s="248">
        <f t="shared" si="9"/>
        <v>0</v>
      </c>
      <c r="C139" s="248">
        <f t="shared" si="10"/>
        <v>0</v>
      </c>
      <c r="D139" s="248">
        <f t="shared" si="11"/>
        <v>0</v>
      </c>
      <c r="E139" s="248">
        <f t="shared" si="12"/>
        <v>0</v>
      </c>
      <c r="F139" s="247"/>
      <c r="G139" s="247">
        <v>76</v>
      </c>
      <c r="H139" s="248">
        <f t="shared" si="13"/>
        <v>0</v>
      </c>
      <c r="I139" s="248">
        <f t="shared" si="14"/>
        <v>0</v>
      </c>
      <c r="J139" s="248">
        <f t="shared" si="15"/>
        <v>0</v>
      </c>
      <c r="K139" s="248">
        <f t="shared" si="16"/>
        <v>0</v>
      </c>
      <c r="L139" s="247"/>
    </row>
    <row r="140" spans="1:12">
      <c r="A140" s="247">
        <v>77</v>
      </c>
      <c r="B140" s="248">
        <f t="shared" si="9"/>
        <v>0</v>
      </c>
      <c r="C140" s="248">
        <f t="shared" si="10"/>
        <v>0</v>
      </c>
      <c r="D140" s="248">
        <f t="shared" si="11"/>
        <v>0</v>
      </c>
      <c r="E140" s="248">
        <f t="shared" si="12"/>
        <v>0</v>
      </c>
      <c r="F140" s="247"/>
      <c r="G140" s="247">
        <v>77</v>
      </c>
      <c r="H140" s="248">
        <f t="shared" si="13"/>
        <v>0</v>
      </c>
      <c r="I140" s="248">
        <f t="shared" si="14"/>
        <v>0</v>
      </c>
      <c r="J140" s="248">
        <f t="shared" si="15"/>
        <v>0</v>
      </c>
      <c r="K140" s="248">
        <f t="shared" si="16"/>
        <v>0</v>
      </c>
      <c r="L140" s="247"/>
    </row>
    <row r="141" spans="1:12">
      <c r="A141" s="247">
        <v>78</v>
      </c>
      <c r="B141" s="248">
        <f t="shared" si="9"/>
        <v>0</v>
      </c>
      <c r="C141" s="248">
        <f t="shared" si="10"/>
        <v>0</v>
      </c>
      <c r="D141" s="248">
        <f t="shared" si="11"/>
        <v>0</v>
      </c>
      <c r="E141" s="248">
        <f t="shared" si="12"/>
        <v>0</v>
      </c>
      <c r="F141" s="247"/>
      <c r="G141" s="247">
        <v>78</v>
      </c>
      <c r="H141" s="248">
        <f t="shared" si="13"/>
        <v>0</v>
      </c>
      <c r="I141" s="248">
        <f t="shared" si="14"/>
        <v>0</v>
      </c>
      <c r="J141" s="248">
        <f t="shared" si="15"/>
        <v>0</v>
      </c>
      <c r="K141" s="248">
        <f t="shared" si="16"/>
        <v>0</v>
      </c>
      <c r="L141" s="247"/>
    </row>
    <row r="142" spans="1:12">
      <c r="A142" s="247">
        <v>79</v>
      </c>
      <c r="B142" s="248">
        <f t="shared" si="9"/>
        <v>0</v>
      </c>
      <c r="C142" s="248">
        <f t="shared" si="10"/>
        <v>0</v>
      </c>
      <c r="D142" s="248">
        <f t="shared" si="11"/>
        <v>0</v>
      </c>
      <c r="E142" s="248">
        <f t="shared" si="12"/>
        <v>0</v>
      </c>
      <c r="F142" s="247"/>
      <c r="G142" s="247">
        <v>79</v>
      </c>
      <c r="H142" s="248">
        <f t="shared" si="13"/>
        <v>0</v>
      </c>
      <c r="I142" s="248">
        <f t="shared" si="14"/>
        <v>0</v>
      </c>
      <c r="J142" s="248">
        <f t="shared" si="15"/>
        <v>0</v>
      </c>
      <c r="K142" s="248">
        <f t="shared" si="16"/>
        <v>0</v>
      </c>
      <c r="L142" s="247"/>
    </row>
    <row r="143" spans="1:12">
      <c r="A143" s="247">
        <v>80</v>
      </c>
      <c r="B143" s="248">
        <f t="shared" si="9"/>
        <v>0</v>
      </c>
      <c r="C143" s="248">
        <f t="shared" si="10"/>
        <v>0</v>
      </c>
      <c r="D143" s="248">
        <f t="shared" si="11"/>
        <v>0</v>
      </c>
      <c r="E143" s="248">
        <f t="shared" si="12"/>
        <v>0</v>
      </c>
      <c r="F143" s="247"/>
      <c r="G143" s="247">
        <v>80</v>
      </c>
      <c r="H143" s="248">
        <f t="shared" si="13"/>
        <v>0</v>
      </c>
      <c r="I143" s="248">
        <f t="shared" si="14"/>
        <v>0</v>
      </c>
      <c r="J143" s="248">
        <f t="shared" si="15"/>
        <v>0</v>
      </c>
      <c r="K143" s="248">
        <f t="shared" si="16"/>
        <v>0</v>
      </c>
      <c r="L143" s="247"/>
    </row>
    <row r="144" spans="1:12">
      <c r="A144" s="247">
        <v>81</v>
      </c>
      <c r="B144" s="248">
        <f t="shared" si="9"/>
        <v>0</v>
      </c>
      <c r="C144" s="248">
        <f t="shared" si="10"/>
        <v>0</v>
      </c>
      <c r="D144" s="248">
        <f t="shared" si="11"/>
        <v>0</v>
      </c>
      <c r="E144" s="248">
        <f t="shared" si="12"/>
        <v>0</v>
      </c>
      <c r="F144" s="247"/>
      <c r="G144" s="247">
        <v>81</v>
      </c>
      <c r="H144" s="248">
        <f t="shared" si="13"/>
        <v>0</v>
      </c>
      <c r="I144" s="248">
        <f t="shared" si="14"/>
        <v>0</v>
      </c>
      <c r="J144" s="248">
        <f t="shared" si="15"/>
        <v>0</v>
      </c>
      <c r="K144" s="248">
        <f t="shared" si="16"/>
        <v>0</v>
      </c>
      <c r="L144" s="247"/>
    </row>
    <row r="145" spans="1:12">
      <c r="A145" s="247">
        <v>82</v>
      </c>
      <c r="B145" s="248">
        <f t="shared" si="9"/>
        <v>0</v>
      </c>
      <c r="C145" s="248">
        <f t="shared" si="10"/>
        <v>0</v>
      </c>
      <c r="D145" s="248">
        <f t="shared" si="11"/>
        <v>0</v>
      </c>
      <c r="E145" s="248">
        <f t="shared" si="12"/>
        <v>0</v>
      </c>
      <c r="F145" s="247"/>
      <c r="G145" s="247">
        <v>82</v>
      </c>
      <c r="H145" s="248">
        <f t="shared" si="13"/>
        <v>0</v>
      </c>
      <c r="I145" s="248">
        <f t="shared" si="14"/>
        <v>0</v>
      </c>
      <c r="J145" s="248">
        <f t="shared" si="15"/>
        <v>0</v>
      </c>
      <c r="K145" s="248">
        <f t="shared" si="16"/>
        <v>0</v>
      </c>
      <c r="L145" s="247"/>
    </row>
    <row r="146" spans="1:12">
      <c r="A146" s="247">
        <v>83</v>
      </c>
      <c r="B146" s="248">
        <f t="shared" si="9"/>
        <v>0</v>
      </c>
      <c r="C146" s="248">
        <f t="shared" si="10"/>
        <v>0</v>
      </c>
      <c r="D146" s="248">
        <f t="shared" si="11"/>
        <v>0</v>
      </c>
      <c r="E146" s="248">
        <f t="shared" si="12"/>
        <v>0</v>
      </c>
      <c r="F146" s="247"/>
      <c r="G146" s="247">
        <v>83</v>
      </c>
      <c r="H146" s="248">
        <f t="shared" si="13"/>
        <v>0</v>
      </c>
      <c r="I146" s="248">
        <f t="shared" si="14"/>
        <v>0</v>
      </c>
      <c r="J146" s="248">
        <f t="shared" si="15"/>
        <v>0</v>
      </c>
      <c r="K146" s="248">
        <f t="shared" si="16"/>
        <v>0</v>
      </c>
      <c r="L146" s="247"/>
    </row>
    <row r="147" spans="1:12">
      <c r="A147" s="247">
        <v>84</v>
      </c>
      <c r="B147" s="248">
        <f t="shared" si="9"/>
        <v>0</v>
      </c>
      <c r="C147" s="248">
        <f t="shared" si="10"/>
        <v>0</v>
      </c>
      <c r="D147" s="248">
        <f t="shared" si="11"/>
        <v>0</v>
      </c>
      <c r="E147" s="248">
        <f t="shared" si="12"/>
        <v>0</v>
      </c>
      <c r="F147" s="247">
        <v>7</v>
      </c>
      <c r="G147" s="247">
        <v>84</v>
      </c>
      <c r="H147" s="248">
        <f t="shared" si="13"/>
        <v>0</v>
      </c>
      <c r="I147" s="248">
        <f t="shared" si="14"/>
        <v>0</v>
      </c>
      <c r="J147" s="248">
        <f t="shared" si="15"/>
        <v>0</v>
      </c>
      <c r="K147" s="248">
        <f t="shared" si="16"/>
        <v>0</v>
      </c>
      <c r="L147" s="247">
        <v>7</v>
      </c>
    </row>
    <row r="148" spans="1:12">
      <c r="A148" s="247">
        <v>85</v>
      </c>
      <c r="B148" s="248">
        <f t="shared" si="9"/>
        <v>0</v>
      </c>
      <c r="C148" s="248">
        <f t="shared" si="10"/>
        <v>0</v>
      </c>
      <c r="D148" s="248">
        <f t="shared" si="11"/>
        <v>0</v>
      </c>
      <c r="E148" s="248">
        <f t="shared" si="12"/>
        <v>0</v>
      </c>
      <c r="F148" s="247"/>
      <c r="G148" s="247">
        <v>85</v>
      </c>
      <c r="H148" s="248">
        <f t="shared" si="13"/>
        <v>0</v>
      </c>
      <c r="I148" s="248">
        <f t="shared" si="14"/>
        <v>0</v>
      </c>
      <c r="J148" s="248">
        <f t="shared" si="15"/>
        <v>0</v>
      </c>
      <c r="K148" s="248">
        <f t="shared" si="16"/>
        <v>0</v>
      </c>
      <c r="L148" s="247"/>
    </row>
    <row r="149" spans="1:12">
      <c r="A149" s="247">
        <v>86</v>
      </c>
      <c r="B149" s="248">
        <f t="shared" si="9"/>
        <v>0</v>
      </c>
      <c r="C149" s="248">
        <f t="shared" si="10"/>
        <v>0</v>
      </c>
      <c r="D149" s="248">
        <f t="shared" si="11"/>
        <v>0</v>
      </c>
      <c r="E149" s="248">
        <f t="shared" si="12"/>
        <v>0</v>
      </c>
      <c r="F149" s="247"/>
      <c r="G149" s="247">
        <v>86</v>
      </c>
      <c r="H149" s="248">
        <f t="shared" si="13"/>
        <v>0</v>
      </c>
      <c r="I149" s="248">
        <f t="shared" si="14"/>
        <v>0</v>
      </c>
      <c r="J149" s="248">
        <f t="shared" si="15"/>
        <v>0</v>
      </c>
      <c r="K149" s="248">
        <f t="shared" si="16"/>
        <v>0</v>
      </c>
      <c r="L149" s="247"/>
    </row>
    <row r="150" spans="1:12">
      <c r="A150" s="247">
        <v>87</v>
      </c>
      <c r="B150" s="248">
        <f t="shared" si="9"/>
        <v>0</v>
      </c>
      <c r="C150" s="248">
        <f t="shared" si="10"/>
        <v>0</v>
      </c>
      <c r="D150" s="248">
        <f t="shared" si="11"/>
        <v>0</v>
      </c>
      <c r="E150" s="248">
        <f t="shared" si="12"/>
        <v>0</v>
      </c>
      <c r="F150" s="247"/>
      <c r="G150" s="247">
        <v>87</v>
      </c>
      <c r="H150" s="248">
        <f t="shared" si="13"/>
        <v>0</v>
      </c>
      <c r="I150" s="248">
        <f t="shared" si="14"/>
        <v>0</v>
      </c>
      <c r="J150" s="248">
        <f t="shared" si="15"/>
        <v>0</v>
      </c>
      <c r="K150" s="248">
        <f t="shared" si="16"/>
        <v>0</v>
      </c>
      <c r="L150" s="247"/>
    </row>
    <row r="151" spans="1:12">
      <c r="A151" s="247">
        <v>88</v>
      </c>
      <c r="B151" s="248">
        <f t="shared" si="9"/>
        <v>0</v>
      </c>
      <c r="C151" s="248">
        <f t="shared" si="10"/>
        <v>0</v>
      </c>
      <c r="D151" s="248">
        <f t="shared" si="11"/>
        <v>0</v>
      </c>
      <c r="E151" s="248">
        <f t="shared" si="12"/>
        <v>0</v>
      </c>
      <c r="F151" s="247"/>
      <c r="G151" s="247">
        <v>88</v>
      </c>
      <c r="H151" s="248">
        <f t="shared" si="13"/>
        <v>0</v>
      </c>
      <c r="I151" s="248">
        <f t="shared" si="14"/>
        <v>0</v>
      </c>
      <c r="J151" s="248">
        <f t="shared" si="15"/>
        <v>0</v>
      </c>
      <c r="K151" s="248">
        <f t="shared" si="16"/>
        <v>0</v>
      </c>
      <c r="L151" s="247"/>
    </row>
    <row r="152" spans="1:12">
      <c r="A152" s="247">
        <v>89</v>
      </c>
      <c r="B152" s="248">
        <f t="shared" si="9"/>
        <v>0</v>
      </c>
      <c r="C152" s="248">
        <f t="shared" si="10"/>
        <v>0</v>
      </c>
      <c r="D152" s="248">
        <f t="shared" si="11"/>
        <v>0</v>
      </c>
      <c r="E152" s="248">
        <f t="shared" si="12"/>
        <v>0</v>
      </c>
      <c r="F152" s="247"/>
      <c r="G152" s="247">
        <v>89</v>
      </c>
      <c r="H152" s="248">
        <f t="shared" si="13"/>
        <v>0</v>
      </c>
      <c r="I152" s="248">
        <f t="shared" si="14"/>
        <v>0</v>
      </c>
      <c r="J152" s="248">
        <f t="shared" si="15"/>
        <v>0</v>
      </c>
      <c r="K152" s="248">
        <f t="shared" si="16"/>
        <v>0</v>
      </c>
      <c r="L152" s="247"/>
    </row>
    <row r="153" spans="1:12">
      <c r="A153" s="247">
        <v>90</v>
      </c>
      <c r="B153" s="248">
        <f t="shared" si="9"/>
        <v>0</v>
      </c>
      <c r="C153" s="248">
        <f t="shared" si="10"/>
        <v>0</v>
      </c>
      <c r="D153" s="248">
        <f t="shared" si="11"/>
        <v>0</v>
      </c>
      <c r="E153" s="248">
        <f t="shared" si="12"/>
        <v>0</v>
      </c>
      <c r="F153" s="247"/>
      <c r="G153" s="247">
        <v>90</v>
      </c>
      <c r="H153" s="248">
        <f t="shared" si="13"/>
        <v>0</v>
      </c>
      <c r="I153" s="248">
        <f t="shared" si="14"/>
        <v>0</v>
      </c>
      <c r="J153" s="248">
        <f t="shared" si="15"/>
        <v>0</v>
      </c>
      <c r="K153" s="248">
        <f t="shared" si="16"/>
        <v>0</v>
      </c>
      <c r="L153" s="247"/>
    </row>
    <row r="154" spans="1:12">
      <c r="A154" s="247">
        <v>91</v>
      </c>
      <c r="B154" s="248">
        <f t="shared" si="9"/>
        <v>0</v>
      </c>
      <c r="C154" s="248">
        <f t="shared" si="10"/>
        <v>0</v>
      </c>
      <c r="D154" s="248">
        <f t="shared" si="11"/>
        <v>0</v>
      </c>
      <c r="E154" s="248">
        <f t="shared" si="12"/>
        <v>0</v>
      </c>
      <c r="F154" s="247"/>
      <c r="G154" s="247">
        <v>91</v>
      </c>
      <c r="H154" s="248">
        <f t="shared" si="13"/>
        <v>0</v>
      </c>
      <c r="I154" s="248">
        <f t="shared" si="14"/>
        <v>0</v>
      </c>
      <c r="J154" s="248">
        <f t="shared" si="15"/>
        <v>0</v>
      </c>
      <c r="K154" s="248">
        <f t="shared" si="16"/>
        <v>0</v>
      </c>
      <c r="L154" s="247"/>
    </row>
    <row r="155" spans="1:12">
      <c r="A155" s="247">
        <v>92</v>
      </c>
      <c r="B155" s="248">
        <f t="shared" si="9"/>
        <v>0</v>
      </c>
      <c r="C155" s="248">
        <f t="shared" si="10"/>
        <v>0</v>
      </c>
      <c r="D155" s="248">
        <f t="shared" si="11"/>
        <v>0</v>
      </c>
      <c r="E155" s="248">
        <f t="shared" si="12"/>
        <v>0</v>
      </c>
      <c r="F155" s="247"/>
      <c r="G155" s="247">
        <v>92</v>
      </c>
      <c r="H155" s="248">
        <f t="shared" si="13"/>
        <v>0</v>
      </c>
      <c r="I155" s="248">
        <f t="shared" si="14"/>
        <v>0</v>
      </c>
      <c r="J155" s="248">
        <f t="shared" si="15"/>
        <v>0</v>
      </c>
      <c r="K155" s="248">
        <f t="shared" si="16"/>
        <v>0</v>
      </c>
      <c r="L155" s="247"/>
    </row>
    <row r="156" spans="1:12">
      <c r="A156" s="247">
        <v>93</v>
      </c>
      <c r="B156" s="248">
        <f t="shared" si="9"/>
        <v>0</v>
      </c>
      <c r="C156" s="248">
        <f t="shared" si="10"/>
        <v>0</v>
      </c>
      <c r="D156" s="248">
        <f t="shared" si="11"/>
        <v>0</v>
      </c>
      <c r="E156" s="248">
        <f t="shared" si="12"/>
        <v>0</v>
      </c>
      <c r="F156" s="247"/>
      <c r="G156" s="247">
        <v>93</v>
      </c>
      <c r="H156" s="248">
        <f t="shared" si="13"/>
        <v>0</v>
      </c>
      <c r="I156" s="248">
        <f t="shared" si="14"/>
        <v>0</v>
      </c>
      <c r="J156" s="248">
        <f t="shared" si="15"/>
        <v>0</v>
      </c>
      <c r="K156" s="248">
        <f t="shared" si="16"/>
        <v>0</v>
      </c>
      <c r="L156" s="247"/>
    </row>
    <row r="157" spans="1:12">
      <c r="A157" s="247">
        <v>94</v>
      </c>
      <c r="B157" s="248">
        <f t="shared" si="9"/>
        <v>0</v>
      </c>
      <c r="C157" s="248">
        <f t="shared" si="10"/>
        <v>0</v>
      </c>
      <c r="D157" s="248">
        <f t="shared" si="11"/>
        <v>0</v>
      </c>
      <c r="E157" s="248">
        <f t="shared" si="12"/>
        <v>0</v>
      </c>
      <c r="F157" s="247"/>
      <c r="G157" s="247">
        <v>94</v>
      </c>
      <c r="H157" s="248">
        <f t="shared" si="13"/>
        <v>0</v>
      </c>
      <c r="I157" s="248">
        <f t="shared" si="14"/>
        <v>0</v>
      </c>
      <c r="J157" s="248">
        <f t="shared" si="15"/>
        <v>0</v>
      </c>
      <c r="K157" s="248">
        <f t="shared" si="16"/>
        <v>0</v>
      </c>
      <c r="L157" s="247"/>
    </row>
    <row r="158" spans="1:12">
      <c r="A158" s="247">
        <v>95</v>
      </c>
      <c r="B158" s="248">
        <f t="shared" si="9"/>
        <v>0</v>
      </c>
      <c r="C158" s="248">
        <f t="shared" si="10"/>
        <v>0</v>
      </c>
      <c r="D158" s="248">
        <f t="shared" si="11"/>
        <v>0</v>
      </c>
      <c r="E158" s="248">
        <f t="shared" si="12"/>
        <v>0</v>
      </c>
      <c r="F158" s="247"/>
      <c r="G158" s="247">
        <v>95</v>
      </c>
      <c r="H158" s="248">
        <f t="shared" si="13"/>
        <v>0</v>
      </c>
      <c r="I158" s="248">
        <f t="shared" si="14"/>
        <v>0</v>
      </c>
      <c r="J158" s="248">
        <f t="shared" si="15"/>
        <v>0</v>
      </c>
      <c r="K158" s="248">
        <f t="shared" si="16"/>
        <v>0</v>
      </c>
      <c r="L158" s="247"/>
    </row>
    <row r="159" spans="1:12">
      <c r="A159" s="247">
        <v>96</v>
      </c>
      <c r="B159" s="248">
        <f t="shared" si="9"/>
        <v>0</v>
      </c>
      <c r="C159" s="248">
        <f t="shared" si="10"/>
        <v>0</v>
      </c>
      <c r="D159" s="248">
        <f t="shared" si="11"/>
        <v>0</v>
      </c>
      <c r="E159" s="248">
        <f t="shared" si="12"/>
        <v>0</v>
      </c>
      <c r="F159" s="247">
        <v>8</v>
      </c>
      <c r="G159" s="247">
        <v>96</v>
      </c>
      <c r="H159" s="248">
        <f t="shared" si="13"/>
        <v>0</v>
      </c>
      <c r="I159" s="248">
        <f t="shared" si="14"/>
        <v>0</v>
      </c>
      <c r="J159" s="248">
        <f t="shared" si="15"/>
        <v>0</v>
      </c>
      <c r="K159" s="248">
        <f t="shared" si="16"/>
        <v>0</v>
      </c>
      <c r="L159" s="247">
        <v>8</v>
      </c>
    </row>
    <row r="160" spans="1:12">
      <c r="A160" s="247">
        <v>97</v>
      </c>
      <c r="B160" s="248">
        <f t="shared" si="9"/>
        <v>0</v>
      </c>
      <c r="C160" s="248">
        <f t="shared" si="10"/>
        <v>0</v>
      </c>
      <c r="D160" s="248">
        <f t="shared" si="11"/>
        <v>0</v>
      </c>
      <c r="E160" s="248">
        <f t="shared" si="12"/>
        <v>0</v>
      </c>
      <c r="F160" s="247"/>
      <c r="G160" s="247">
        <v>97</v>
      </c>
      <c r="H160" s="248">
        <f t="shared" si="13"/>
        <v>0</v>
      </c>
      <c r="I160" s="248">
        <f t="shared" si="14"/>
        <v>0</v>
      </c>
      <c r="J160" s="248">
        <f t="shared" si="15"/>
        <v>0</v>
      </c>
      <c r="K160" s="248">
        <f t="shared" si="16"/>
        <v>0</v>
      </c>
      <c r="L160" s="247"/>
    </row>
    <row r="161" spans="1:12">
      <c r="A161" s="247">
        <v>98</v>
      </c>
      <c r="B161" s="248">
        <f t="shared" si="9"/>
        <v>0</v>
      </c>
      <c r="C161" s="248">
        <f t="shared" si="10"/>
        <v>0</v>
      </c>
      <c r="D161" s="248">
        <f t="shared" si="11"/>
        <v>0</v>
      </c>
      <c r="E161" s="248">
        <f t="shared" si="12"/>
        <v>0</v>
      </c>
      <c r="F161" s="247"/>
      <c r="G161" s="247">
        <v>98</v>
      </c>
      <c r="H161" s="248">
        <f t="shared" si="13"/>
        <v>0</v>
      </c>
      <c r="I161" s="248">
        <f t="shared" si="14"/>
        <v>0</v>
      </c>
      <c r="J161" s="248">
        <f t="shared" si="15"/>
        <v>0</v>
      </c>
      <c r="K161" s="248">
        <f t="shared" si="16"/>
        <v>0</v>
      </c>
      <c r="L161" s="247"/>
    </row>
    <row r="162" spans="1:12">
      <c r="A162" s="247">
        <v>99</v>
      </c>
      <c r="B162" s="248">
        <f t="shared" si="9"/>
        <v>0</v>
      </c>
      <c r="C162" s="248">
        <f t="shared" si="10"/>
        <v>0</v>
      </c>
      <c r="D162" s="248">
        <f t="shared" si="11"/>
        <v>0</v>
      </c>
      <c r="E162" s="248">
        <f t="shared" si="12"/>
        <v>0</v>
      </c>
      <c r="F162" s="247"/>
      <c r="G162" s="247">
        <v>99</v>
      </c>
      <c r="H162" s="248">
        <f t="shared" si="13"/>
        <v>0</v>
      </c>
      <c r="I162" s="248">
        <f t="shared" si="14"/>
        <v>0</v>
      </c>
      <c r="J162" s="248">
        <f t="shared" si="15"/>
        <v>0</v>
      </c>
      <c r="K162" s="248">
        <f t="shared" si="16"/>
        <v>0</v>
      </c>
      <c r="L162" s="247"/>
    </row>
    <row r="163" spans="1:12">
      <c r="A163" s="247">
        <v>100</v>
      </c>
      <c r="B163" s="248">
        <f t="shared" si="9"/>
        <v>0</v>
      </c>
      <c r="C163" s="248">
        <f t="shared" si="10"/>
        <v>0</v>
      </c>
      <c r="D163" s="248">
        <f t="shared" si="11"/>
        <v>0</v>
      </c>
      <c r="E163" s="248">
        <f t="shared" si="12"/>
        <v>0</v>
      </c>
      <c r="F163" s="247"/>
      <c r="G163" s="247">
        <v>100</v>
      </c>
      <c r="H163" s="248">
        <f t="shared" si="13"/>
        <v>0</v>
      </c>
      <c r="I163" s="248">
        <f t="shared" si="14"/>
        <v>0</v>
      </c>
      <c r="J163" s="248">
        <f t="shared" si="15"/>
        <v>0</v>
      </c>
      <c r="K163" s="248">
        <f t="shared" si="16"/>
        <v>0</v>
      </c>
      <c r="L163" s="247"/>
    </row>
    <row r="164" spans="1:12">
      <c r="A164" s="247">
        <v>101</v>
      </c>
      <c r="B164" s="248">
        <f t="shared" si="9"/>
        <v>0</v>
      </c>
      <c r="C164" s="248">
        <f t="shared" si="10"/>
        <v>0</v>
      </c>
      <c r="D164" s="248">
        <f t="shared" si="11"/>
        <v>0</v>
      </c>
      <c r="E164" s="248">
        <f t="shared" si="12"/>
        <v>0</v>
      </c>
      <c r="F164" s="247"/>
      <c r="G164" s="247">
        <v>101</v>
      </c>
      <c r="H164" s="248">
        <f t="shared" si="13"/>
        <v>0</v>
      </c>
      <c r="I164" s="248">
        <f t="shared" si="14"/>
        <v>0</v>
      </c>
      <c r="J164" s="248">
        <f t="shared" si="15"/>
        <v>0</v>
      </c>
      <c r="K164" s="248">
        <f t="shared" si="16"/>
        <v>0</v>
      </c>
      <c r="L164" s="247"/>
    </row>
    <row r="165" spans="1:12">
      <c r="A165" s="247">
        <v>102</v>
      </c>
      <c r="B165" s="248">
        <f t="shared" si="9"/>
        <v>0</v>
      </c>
      <c r="C165" s="248">
        <f t="shared" si="10"/>
        <v>0</v>
      </c>
      <c r="D165" s="248">
        <f t="shared" si="11"/>
        <v>0</v>
      </c>
      <c r="E165" s="248">
        <f t="shared" si="12"/>
        <v>0</v>
      </c>
      <c r="F165" s="247"/>
      <c r="G165" s="247">
        <v>102</v>
      </c>
      <c r="H165" s="248">
        <f t="shared" si="13"/>
        <v>0</v>
      </c>
      <c r="I165" s="248">
        <f t="shared" si="14"/>
        <v>0</v>
      </c>
      <c r="J165" s="248">
        <f t="shared" si="15"/>
        <v>0</v>
      </c>
      <c r="K165" s="248">
        <f t="shared" si="16"/>
        <v>0</v>
      </c>
      <c r="L165" s="247"/>
    </row>
    <row r="166" spans="1:12">
      <c r="A166" s="247">
        <v>103</v>
      </c>
      <c r="B166" s="248">
        <f t="shared" si="9"/>
        <v>0</v>
      </c>
      <c r="C166" s="248">
        <f t="shared" si="10"/>
        <v>0</v>
      </c>
      <c r="D166" s="248">
        <f t="shared" si="11"/>
        <v>0</v>
      </c>
      <c r="E166" s="248">
        <f t="shared" si="12"/>
        <v>0</v>
      </c>
      <c r="F166" s="247"/>
      <c r="G166" s="247">
        <v>103</v>
      </c>
      <c r="H166" s="248">
        <f t="shared" si="13"/>
        <v>0</v>
      </c>
      <c r="I166" s="248">
        <f t="shared" si="14"/>
        <v>0</v>
      </c>
      <c r="J166" s="248">
        <f t="shared" si="15"/>
        <v>0</v>
      </c>
      <c r="K166" s="248">
        <f t="shared" si="16"/>
        <v>0</v>
      </c>
      <c r="L166" s="247"/>
    </row>
    <row r="167" spans="1:12">
      <c r="A167" s="247">
        <v>104</v>
      </c>
      <c r="B167" s="248">
        <f t="shared" si="9"/>
        <v>0</v>
      </c>
      <c r="C167" s="248">
        <f t="shared" si="10"/>
        <v>0</v>
      </c>
      <c r="D167" s="248">
        <f t="shared" si="11"/>
        <v>0</v>
      </c>
      <c r="E167" s="248">
        <f t="shared" si="12"/>
        <v>0</v>
      </c>
      <c r="F167" s="247"/>
      <c r="G167" s="247">
        <v>104</v>
      </c>
      <c r="H167" s="248">
        <f t="shared" si="13"/>
        <v>0</v>
      </c>
      <c r="I167" s="248">
        <f t="shared" si="14"/>
        <v>0</v>
      </c>
      <c r="J167" s="248">
        <f t="shared" si="15"/>
        <v>0</v>
      </c>
      <c r="K167" s="248">
        <f t="shared" si="16"/>
        <v>0</v>
      </c>
      <c r="L167" s="247"/>
    </row>
    <row r="168" spans="1:12">
      <c r="A168" s="247">
        <v>105</v>
      </c>
      <c r="B168" s="248">
        <f t="shared" si="9"/>
        <v>0</v>
      </c>
      <c r="C168" s="248">
        <f t="shared" si="10"/>
        <v>0</v>
      </c>
      <c r="D168" s="248">
        <f t="shared" si="11"/>
        <v>0</v>
      </c>
      <c r="E168" s="248">
        <f t="shared" si="12"/>
        <v>0</v>
      </c>
      <c r="F168" s="247"/>
      <c r="G168" s="247">
        <v>105</v>
      </c>
      <c r="H168" s="248">
        <f t="shared" si="13"/>
        <v>0</v>
      </c>
      <c r="I168" s="248">
        <f t="shared" si="14"/>
        <v>0</v>
      </c>
      <c r="J168" s="248">
        <f t="shared" si="15"/>
        <v>0</v>
      </c>
      <c r="K168" s="248">
        <f t="shared" si="16"/>
        <v>0</v>
      </c>
      <c r="L168" s="247"/>
    </row>
    <row r="169" spans="1:12">
      <c r="A169" s="247">
        <v>106</v>
      </c>
      <c r="B169" s="248">
        <f t="shared" si="9"/>
        <v>0</v>
      </c>
      <c r="C169" s="248">
        <f t="shared" si="10"/>
        <v>0</v>
      </c>
      <c r="D169" s="248">
        <f t="shared" si="11"/>
        <v>0</v>
      </c>
      <c r="E169" s="248">
        <f t="shared" si="12"/>
        <v>0</v>
      </c>
      <c r="F169" s="247"/>
      <c r="G169" s="247">
        <v>106</v>
      </c>
      <c r="H169" s="248">
        <f t="shared" si="13"/>
        <v>0</v>
      </c>
      <c r="I169" s="248">
        <f t="shared" si="14"/>
        <v>0</v>
      </c>
      <c r="J169" s="248">
        <f t="shared" si="15"/>
        <v>0</v>
      </c>
      <c r="K169" s="248">
        <f t="shared" si="16"/>
        <v>0</v>
      </c>
      <c r="L169" s="247"/>
    </row>
    <row r="170" spans="1:12">
      <c r="A170" s="247">
        <v>107</v>
      </c>
      <c r="B170" s="248">
        <f t="shared" si="9"/>
        <v>0</v>
      </c>
      <c r="C170" s="248">
        <f t="shared" si="10"/>
        <v>0</v>
      </c>
      <c r="D170" s="248">
        <f t="shared" si="11"/>
        <v>0</v>
      </c>
      <c r="E170" s="248">
        <f t="shared" si="12"/>
        <v>0</v>
      </c>
      <c r="F170" s="247"/>
      <c r="G170" s="247">
        <v>107</v>
      </c>
      <c r="H170" s="248">
        <f t="shared" si="13"/>
        <v>0</v>
      </c>
      <c r="I170" s="248">
        <f t="shared" si="14"/>
        <v>0</v>
      </c>
      <c r="J170" s="248">
        <f t="shared" si="15"/>
        <v>0</v>
      </c>
      <c r="K170" s="248">
        <f t="shared" si="16"/>
        <v>0</v>
      </c>
      <c r="L170" s="247"/>
    </row>
    <row r="171" spans="1:12">
      <c r="A171" s="247">
        <v>108</v>
      </c>
      <c r="B171" s="248">
        <f t="shared" si="9"/>
        <v>0</v>
      </c>
      <c r="C171" s="248">
        <f t="shared" si="10"/>
        <v>0</v>
      </c>
      <c r="D171" s="248">
        <f t="shared" si="11"/>
        <v>0</v>
      </c>
      <c r="E171" s="248">
        <f t="shared" si="12"/>
        <v>0</v>
      </c>
      <c r="F171" s="247">
        <v>9</v>
      </c>
      <c r="G171" s="247">
        <v>108</v>
      </c>
      <c r="H171" s="248">
        <f t="shared" si="13"/>
        <v>0</v>
      </c>
      <c r="I171" s="248">
        <f t="shared" si="14"/>
        <v>0</v>
      </c>
      <c r="J171" s="248">
        <f t="shared" si="15"/>
        <v>0</v>
      </c>
      <c r="K171" s="248">
        <f t="shared" si="16"/>
        <v>0</v>
      </c>
      <c r="L171" s="247">
        <v>9</v>
      </c>
    </row>
    <row r="172" spans="1:12">
      <c r="A172" s="247">
        <v>109</v>
      </c>
      <c r="B172" s="248">
        <f t="shared" si="9"/>
        <v>0</v>
      </c>
      <c r="C172" s="248">
        <f t="shared" si="10"/>
        <v>0</v>
      </c>
      <c r="D172" s="248">
        <f t="shared" si="11"/>
        <v>0</v>
      </c>
      <c r="E172" s="248">
        <f t="shared" si="12"/>
        <v>0</v>
      </c>
      <c r="F172" s="247"/>
      <c r="G172" s="247">
        <v>109</v>
      </c>
      <c r="H172" s="248">
        <f t="shared" si="13"/>
        <v>0</v>
      </c>
      <c r="I172" s="248">
        <f t="shared" si="14"/>
        <v>0</v>
      </c>
      <c r="J172" s="248">
        <f t="shared" si="15"/>
        <v>0</v>
      </c>
      <c r="K172" s="248">
        <f t="shared" si="16"/>
        <v>0</v>
      </c>
      <c r="L172" s="247"/>
    </row>
    <row r="173" spans="1:12">
      <c r="A173" s="247">
        <v>110</v>
      </c>
      <c r="B173" s="248">
        <f t="shared" si="9"/>
        <v>0</v>
      </c>
      <c r="C173" s="248">
        <f t="shared" si="10"/>
        <v>0</v>
      </c>
      <c r="D173" s="248">
        <f t="shared" si="11"/>
        <v>0</v>
      </c>
      <c r="E173" s="248">
        <f t="shared" si="12"/>
        <v>0</v>
      </c>
      <c r="F173" s="247"/>
      <c r="G173" s="247">
        <v>110</v>
      </c>
      <c r="H173" s="248">
        <f t="shared" si="13"/>
        <v>0</v>
      </c>
      <c r="I173" s="248">
        <f t="shared" si="14"/>
        <v>0</v>
      </c>
      <c r="J173" s="248">
        <f t="shared" si="15"/>
        <v>0</v>
      </c>
      <c r="K173" s="248">
        <f t="shared" si="16"/>
        <v>0</v>
      </c>
      <c r="L173" s="247"/>
    </row>
    <row r="174" spans="1:12">
      <c r="A174" s="247">
        <v>111</v>
      </c>
      <c r="B174" s="248">
        <f t="shared" si="9"/>
        <v>0</v>
      </c>
      <c r="C174" s="248">
        <f t="shared" si="10"/>
        <v>0</v>
      </c>
      <c r="D174" s="248">
        <f t="shared" si="11"/>
        <v>0</v>
      </c>
      <c r="E174" s="248">
        <f t="shared" si="12"/>
        <v>0</v>
      </c>
      <c r="F174" s="247"/>
      <c r="G174" s="247">
        <v>111</v>
      </c>
      <c r="H174" s="248">
        <f t="shared" si="13"/>
        <v>0</v>
      </c>
      <c r="I174" s="248">
        <f t="shared" si="14"/>
        <v>0</v>
      </c>
      <c r="J174" s="248">
        <f t="shared" si="15"/>
        <v>0</v>
      </c>
      <c r="K174" s="248">
        <f t="shared" si="16"/>
        <v>0</v>
      </c>
      <c r="L174" s="247"/>
    </row>
    <row r="175" spans="1:12">
      <c r="A175" s="247">
        <v>112</v>
      </c>
      <c r="B175" s="248">
        <f t="shared" si="9"/>
        <v>0</v>
      </c>
      <c r="C175" s="248">
        <f t="shared" si="10"/>
        <v>0</v>
      </c>
      <c r="D175" s="248">
        <f t="shared" si="11"/>
        <v>0</v>
      </c>
      <c r="E175" s="248">
        <f t="shared" si="12"/>
        <v>0</v>
      </c>
      <c r="F175" s="247"/>
      <c r="G175" s="247">
        <v>112</v>
      </c>
      <c r="H175" s="248">
        <f t="shared" si="13"/>
        <v>0</v>
      </c>
      <c r="I175" s="248">
        <f t="shared" si="14"/>
        <v>0</v>
      </c>
      <c r="J175" s="248">
        <f t="shared" si="15"/>
        <v>0</v>
      </c>
      <c r="K175" s="248">
        <f t="shared" si="16"/>
        <v>0</v>
      </c>
      <c r="L175" s="247"/>
    </row>
    <row r="176" spans="1:12">
      <c r="A176" s="247">
        <v>113</v>
      </c>
      <c r="B176" s="248">
        <f t="shared" si="9"/>
        <v>0</v>
      </c>
      <c r="C176" s="248">
        <f t="shared" si="10"/>
        <v>0</v>
      </c>
      <c r="D176" s="248">
        <f t="shared" si="11"/>
        <v>0</v>
      </c>
      <c r="E176" s="248">
        <f t="shared" si="12"/>
        <v>0</v>
      </c>
      <c r="F176" s="247"/>
      <c r="G176" s="247">
        <v>113</v>
      </c>
      <c r="H176" s="248">
        <f t="shared" si="13"/>
        <v>0</v>
      </c>
      <c r="I176" s="248">
        <f t="shared" si="14"/>
        <v>0</v>
      </c>
      <c r="J176" s="248">
        <f t="shared" si="15"/>
        <v>0</v>
      </c>
      <c r="K176" s="248">
        <f t="shared" si="16"/>
        <v>0</v>
      </c>
      <c r="L176" s="247"/>
    </row>
    <row r="177" spans="1:12">
      <c r="A177" s="247">
        <v>114</v>
      </c>
      <c r="B177" s="248">
        <f t="shared" si="9"/>
        <v>0</v>
      </c>
      <c r="C177" s="248">
        <f t="shared" si="10"/>
        <v>0</v>
      </c>
      <c r="D177" s="248">
        <f t="shared" si="11"/>
        <v>0</v>
      </c>
      <c r="E177" s="248">
        <f t="shared" si="12"/>
        <v>0</v>
      </c>
      <c r="F177" s="247"/>
      <c r="G177" s="247">
        <v>114</v>
      </c>
      <c r="H177" s="248">
        <f t="shared" si="13"/>
        <v>0</v>
      </c>
      <c r="I177" s="248">
        <f t="shared" si="14"/>
        <v>0</v>
      </c>
      <c r="J177" s="248">
        <f t="shared" si="15"/>
        <v>0</v>
      </c>
      <c r="K177" s="248">
        <f t="shared" si="16"/>
        <v>0</v>
      </c>
      <c r="L177" s="247"/>
    </row>
    <row r="178" spans="1:12">
      <c r="A178" s="247">
        <v>115</v>
      </c>
      <c r="B178" s="248">
        <f t="shared" si="9"/>
        <v>0</v>
      </c>
      <c r="C178" s="248">
        <f t="shared" si="10"/>
        <v>0</v>
      </c>
      <c r="D178" s="248">
        <f t="shared" si="11"/>
        <v>0</v>
      </c>
      <c r="E178" s="248">
        <f t="shared" si="12"/>
        <v>0</v>
      </c>
      <c r="F178" s="247"/>
      <c r="G178" s="247">
        <v>115</v>
      </c>
      <c r="H178" s="248">
        <f t="shared" si="13"/>
        <v>0</v>
      </c>
      <c r="I178" s="248">
        <f t="shared" si="14"/>
        <v>0</v>
      </c>
      <c r="J178" s="248">
        <f t="shared" si="15"/>
        <v>0</v>
      </c>
      <c r="K178" s="248">
        <f t="shared" si="16"/>
        <v>0</v>
      </c>
      <c r="L178" s="247"/>
    </row>
    <row r="179" spans="1:12">
      <c r="A179" s="247">
        <v>116</v>
      </c>
      <c r="B179" s="248">
        <f t="shared" si="9"/>
        <v>0</v>
      </c>
      <c r="C179" s="248">
        <f t="shared" si="10"/>
        <v>0</v>
      </c>
      <c r="D179" s="248">
        <f t="shared" si="11"/>
        <v>0</v>
      </c>
      <c r="E179" s="248">
        <f t="shared" si="12"/>
        <v>0</v>
      </c>
      <c r="F179" s="247"/>
      <c r="G179" s="247">
        <v>116</v>
      </c>
      <c r="H179" s="248">
        <f t="shared" si="13"/>
        <v>0</v>
      </c>
      <c r="I179" s="248">
        <f t="shared" si="14"/>
        <v>0</v>
      </c>
      <c r="J179" s="248">
        <f t="shared" si="15"/>
        <v>0</v>
      </c>
      <c r="K179" s="248">
        <f t="shared" si="16"/>
        <v>0</v>
      </c>
      <c r="L179" s="247"/>
    </row>
    <row r="180" spans="1:12">
      <c r="A180" s="247">
        <v>117</v>
      </c>
      <c r="B180" s="248">
        <f t="shared" si="9"/>
        <v>0</v>
      </c>
      <c r="C180" s="248">
        <f t="shared" si="10"/>
        <v>0</v>
      </c>
      <c r="D180" s="248">
        <f t="shared" si="11"/>
        <v>0</v>
      </c>
      <c r="E180" s="248">
        <f t="shared" si="12"/>
        <v>0</v>
      </c>
      <c r="F180" s="247"/>
      <c r="G180" s="247">
        <v>117</v>
      </c>
      <c r="H180" s="248">
        <f t="shared" si="13"/>
        <v>0</v>
      </c>
      <c r="I180" s="248">
        <f t="shared" si="14"/>
        <v>0</v>
      </c>
      <c r="J180" s="248">
        <f t="shared" si="15"/>
        <v>0</v>
      </c>
      <c r="K180" s="248">
        <f t="shared" si="16"/>
        <v>0</v>
      </c>
      <c r="L180" s="247"/>
    </row>
    <row r="181" spans="1:12">
      <c r="A181" s="247">
        <v>118</v>
      </c>
      <c r="B181" s="248">
        <f t="shared" si="9"/>
        <v>0</v>
      </c>
      <c r="C181" s="248">
        <f t="shared" si="10"/>
        <v>0</v>
      </c>
      <c r="D181" s="248">
        <f t="shared" si="11"/>
        <v>0</v>
      </c>
      <c r="E181" s="248">
        <f t="shared" si="12"/>
        <v>0</v>
      </c>
      <c r="F181" s="247"/>
      <c r="G181" s="247">
        <v>118</v>
      </c>
      <c r="H181" s="248">
        <f t="shared" si="13"/>
        <v>0</v>
      </c>
      <c r="I181" s="248">
        <f t="shared" si="14"/>
        <v>0</v>
      </c>
      <c r="J181" s="248">
        <f t="shared" si="15"/>
        <v>0</v>
      </c>
      <c r="K181" s="248">
        <f t="shared" si="16"/>
        <v>0</v>
      </c>
      <c r="L181" s="247"/>
    </row>
    <row r="182" spans="1:12">
      <c r="A182" s="247">
        <v>119</v>
      </c>
      <c r="B182" s="248">
        <f t="shared" si="9"/>
        <v>0</v>
      </c>
      <c r="C182" s="248">
        <f t="shared" si="10"/>
        <v>0</v>
      </c>
      <c r="D182" s="248">
        <f t="shared" si="11"/>
        <v>0</v>
      </c>
      <c r="E182" s="248">
        <f t="shared" si="12"/>
        <v>0</v>
      </c>
      <c r="F182" s="247"/>
      <c r="G182" s="247">
        <v>119</v>
      </c>
      <c r="H182" s="248">
        <f t="shared" si="13"/>
        <v>0</v>
      </c>
      <c r="I182" s="248">
        <f t="shared" si="14"/>
        <v>0</v>
      </c>
      <c r="J182" s="248">
        <f t="shared" si="15"/>
        <v>0</v>
      </c>
      <c r="K182" s="248">
        <f t="shared" si="16"/>
        <v>0</v>
      </c>
      <c r="L182" s="247"/>
    </row>
    <row r="183" spans="1:12">
      <c r="A183" s="247">
        <v>120</v>
      </c>
      <c r="B183" s="248">
        <f t="shared" si="9"/>
        <v>0</v>
      </c>
      <c r="C183" s="248">
        <f t="shared" si="10"/>
        <v>0</v>
      </c>
      <c r="D183" s="248">
        <f t="shared" si="11"/>
        <v>0</v>
      </c>
      <c r="E183" s="248">
        <f t="shared" si="12"/>
        <v>0</v>
      </c>
      <c r="F183" s="247">
        <v>10</v>
      </c>
      <c r="G183" s="247">
        <v>120</v>
      </c>
      <c r="H183" s="248">
        <f t="shared" si="13"/>
        <v>0</v>
      </c>
      <c r="I183" s="248">
        <f t="shared" si="14"/>
        <v>0</v>
      </c>
      <c r="J183" s="248">
        <f t="shared" si="15"/>
        <v>0</v>
      </c>
      <c r="K183" s="248">
        <f t="shared" si="16"/>
        <v>0</v>
      </c>
      <c r="L183" s="247">
        <v>10</v>
      </c>
    </row>
    <row r="184" spans="1:12">
      <c r="A184" s="247">
        <v>121</v>
      </c>
      <c r="B184" s="248">
        <f t="shared" si="9"/>
        <v>0</v>
      </c>
      <c r="C184" s="248">
        <f t="shared" si="10"/>
        <v>0</v>
      </c>
      <c r="D184" s="248">
        <f t="shared" si="11"/>
        <v>0</v>
      </c>
      <c r="E184" s="248">
        <f t="shared" si="12"/>
        <v>0</v>
      </c>
      <c r="F184" s="247"/>
      <c r="G184" s="247">
        <v>121</v>
      </c>
      <c r="H184" s="248">
        <f t="shared" si="13"/>
        <v>0</v>
      </c>
      <c r="I184" s="248">
        <f t="shared" si="14"/>
        <v>0</v>
      </c>
      <c r="J184" s="248">
        <f t="shared" si="15"/>
        <v>0</v>
      </c>
      <c r="K184" s="248">
        <f t="shared" si="16"/>
        <v>0</v>
      </c>
      <c r="L184" s="247"/>
    </row>
    <row r="185" spans="1:12">
      <c r="A185" s="247">
        <v>122</v>
      </c>
      <c r="B185" s="248">
        <f t="shared" si="9"/>
        <v>0</v>
      </c>
      <c r="C185" s="248">
        <f t="shared" si="10"/>
        <v>0</v>
      </c>
      <c r="D185" s="248">
        <f t="shared" si="11"/>
        <v>0</v>
      </c>
      <c r="E185" s="248">
        <f t="shared" si="12"/>
        <v>0</v>
      </c>
      <c r="F185" s="247"/>
      <c r="G185" s="247">
        <v>122</v>
      </c>
      <c r="H185" s="248">
        <f t="shared" si="13"/>
        <v>0</v>
      </c>
      <c r="I185" s="248">
        <f t="shared" si="14"/>
        <v>0</v>
      </c>
      <c r="J185" s="248">
        <f t="shared" si="15"/>
        <v>0</v>
      </c>
      <c r="K185" s="248">
        <f t="shared" si="16"/>
        <v>0</v>
      </c>
      <c r="L185" s="247"/>
    </row>
    <row r="186" spans="1:12">
      <c r="A186" s="247">
        <v>123</v>
      </c>
      <c r="B186" s="248">
        <f t="shared" si="9"/>
        <v>0</v>
      </c>
      <c r="C186" s="248">
        <f t="shared" si="10"/>
        <v>0</v>
      </c>
      <c r="D186" s="248">
        <f t="shared" si="11"/>
        <v>0</v>
      </c>
      <c r="E186" s="248">
        <f t="shared" si="12"/>
        <v>0</v>
      </c>
      <c r="F186" s="247"/>
      <c r="G186" s="247">
        <v>123</v>
      </c>
      <c r="H186" s="248">
        <f t="shared" si="13"/>
        <v>0</v>
      </c>
      <c r="I186" s="248">
        <f t="shared" si="14"/>
        <v>0</v>
      </c>
      <c r="J186" s="248">
        <f t="shared" si="15"/>
        <v>0</v>
      </c>
      <c r="K186" s="248">
        <f t="shared" si="16"/>
        <v>0</v>
      </c>
      <c r="L186" s="247"/>
    </row>
    <row r="187" spans="1:12">
      <c r="A187" s="247">
        <v>124</v>
      </c>
      <c r="B187" s="248">
        <f t="shared" si="9"/>
        <v>0</v>
      </c>
      <c r="C187" s="248">
        <f t="shared" si="10"/>
        <v>0</v>
      </c>
      <c r="D187" s="248">
        <f t="shared" si="11"/>
        <v>0</v>
      </c>
      <c r="E187" s="248">
        <f t="shared" si="12"/>
        <v>0</v>
      </c>
      <c r="F187" s="247"/>
      <c r="G187" s="247">
        <v>124</v>
      </c>
      <c r="H187" s="248">
        <f t="shared" si="13"/>
        <v>0</v>
      </c>
      <c r="I187" s="248">
        <f t="shared" si="14"/>
        <v>0</v>
      </c>
      <c r="J187" s="248">
        <f t="shared" si="15"/>
        <v>0</v>
      </c>
      <c r="K187" s="248">
        <f t="shared" si="16"/>
        <v>0</v>
      </c>
      <c r="L187" s="247"/>
    </row>
    <row r="188" spans="1:12">
      <c r="A188" s="247">
        <v>125</v>
      </c>
      <c r="B188" s="248">
        <f t="shared" si="9"/>
        <v>0</v>
      </c>
      <c r="C188" s="248">
        <f t="shared" si="10"/>
        <v>0</v>
      </c>
      <c r="D188" s="248">
        <f t="shared" si="11"/>
        <v>0</v>
      </c>
      <c r="E188" s="248">
        <f t="shared" si="12"/>
        <v>0</v>
      </c>
      <c r="F188" s="247"/>
      <c r="G188" s="247">
        <v>125</v>
      </c>
      <c r="H188" s="248">
        <f t="shared" si="13"/>
        <v>0</v>
      </c>
      <c r="I188" s="248">
        <f t="shared" si="14"/>
        <v>0</v>
      </c>
      <c r="J188" s="248">
        <f t="shared" si="15"/>
        <v>0</v>
      </c>
      <c r="K188" s="248">
        <f t="shared" si="16"/>
        <v>0</v>
      </c>
      <c r="L188" s="247"/>
    </row>
    <row r="189" spans="1:12">
      <c r="A189" s="247">
        <v>126</v>
      </c>
      <c r="B189" s="248">
        <f t="shared" si="9"/>
        <v>0</v>
      </c>
      <c r="C189" s="248">
        <f t="shared" si="10"/>
        <v>0</v>
      </c>
      <c r="D189" s="248">
        <f t="shared" si="11"/>
        <v>0</v>
      </c>
      <c r="E189" s="248">
        <f t="shared" si="12"/>
        <v>0</v>
      </c>
      <c r="F189" s="247"/>
      <c r="G189" s="247">
        <v>126</v>
      </c>
      <c r="H189" s="248">
        <f t="shared" si="13"/>
        <v>0</v>
      </c>
      <c r="I189" s="248">
        <f t="shared" si="14"/>
        <v>0</v>
      </c>
      <c r="J189" s="248">
        <f t="shared" si="15"/>
        <v>0</v>
      </c>
      <c r="K189" s="248">
        <f t="shared" si="16"/>
        <v>0</v>
      </c>
      <c r="L189" s="247"/>
    </row>
    <row r="190" spans="1:12">
      <c r="A190" s="247">
        <v>127</v>
      </c>
      <c r="B190" s="248">
        <f t="shared" si="9"/>
        <v>0</v>
      </c>
      <c r="C190" s="248">
        <f t="shared" si="10"/>
        <v>0</v>
      </c>
      <c r="D190" s="248">
        <f t="shared" si="11"/>
        <v>0</v>
      </c>
      <c r="E190" s="248">
        <f t="shared" si="12"/>
        <v>0</v>
      </c>
      <c r="F190" s="247"/>
      <c r="G190" s="247">
        <v>127</v>
      </c>
      <c r="H190" s="248">
        <f t="shared" si="13"/>
        <v>0</v>
      </c>
      <c r="I190" s="248">
        <f t="shared" si="14"/>
        <v>0</v>
      </c>
      <c r="J190" s="248">
        <f t="shared" si="15"/>
        <v>0</v>
      </c>
      <c r="K190" s="248">
        <f t="shared" si="16"/>
        <v>0</v>
      </c>
      <c r="L190" s="247"/>
    </row>
    <row r="191" spans="1:12">
      <c r="A191" s="247">
        <v>128</v>
      </c>
      <c r="B191" s="248">
        <f t="shared" si="9"/>
        <v>0</v>
      </c>
      <c r="C191" s="248">
        <f t="shared" si="10"/>
        <v>0</v>
      </c>
      <c r="D191" s="248">
        <f t="shared" si="11"/>
        <v>0</v>
      </c>
      <c r="E191" s="248">
        <f t="shared" si="12"/>
        <v>0</v>
      </c>
      <c r="F191" s="247"/>
      <c r="G191" s="247">
        <v>128</v>
      </c>
      <c r="H191" s="248">
        <f t="shared" si="13"/>
        <v>0</v>
      </c>
      <c r="I191" s="248">
        <f t="shared" si="14"/>
        <v>0</v>
      </c>
      <c r="J191" s="248">
        <f t="shared" si="15"/>
        <v>0</v>
      </c>
      <c r="K191" s="248">
        <f t="shared" si="16"/>
        <v>0</v>
      </c>
      <c r="L191" s="247"/>
    </row>
    <row r="192" spans="1:12">
      <c r="A192" s="247">
        <v>129</v>
      </c>
      <c r="B192" s="248">
        <f t="shared" ref="B192:B255" si="17">IF(A192&gt;12*$C$9,0,IF($C$5&gt;1500000,$D$12,$C$12))</f>
        <v>0</v>
      </c>
      <c r="C192" s="248">
        <f t="shared" ref="C192:C255" si="18">IF(A192&gt;12*$C$9,0,E191*$C$7/12)</f>
        <v>0</v>
      </c>
      <c r="D192" s="248">
        <f t="shared" ref="D192:D255" si="19">IF(A192&gt;12*$C$9,0,B192-C192)</f>
        <v>0</v>
      </c>
      <c r="E192" s="248">
        <f t="shared" ref="E192:E255" si="20">IF(A192&gt;12*$C$9,0,E191-D192)</f>
        <v>0</v>
      </c>
      <c r="F192" s="247"/>
      <c r="G192" s="247">
        <v>129</v>
      </c>
      <c r="H192" s="248">
        <f t="shared" ref="H192:H255" si="21">IF(G192&gt;12*$C$9,0,IF($C$5&gt;1500000,$E$12,0))</f>
        <v>0</v>
      </c>
      <c r="I192" s="248">
        <f t="shared" ref="I192:I255" si="22">IF(G192&gt;12*$C$9,0,K191*$C$7/12)</f>
        <v>0</v>
      </c>
      <c r="J192" s="248">
        <f t="shared" ref="J192:J255" si="23">IF(G192&gt;12*$C$9,0,H192-I192)</f>
        <v>0</v>
      </c>
      <c r="K192" s="248">
        <f t="shared" ref="K192:K255" si="24">IF(G192&gt;12*$C$9,0,K191-J192)</f>
        <v>0</v>
      </c>
      <c r="L192" s="247"/>
    </row>
    <row r="193" spans="1:12">
      <c r="A193" s="247">
        <v>130</v>
      </c>
      <c r="B193" s="248">
        <f t="shared" si="17"/>
        <v>0</v>
      </c>
      <c r="C193" s="248">
        <f t="shared" si="18"/>
        <v>0</v>
      </c>
      <c r="D193" s="248">
        <f t="shared" si="19"/>
        <v>0</v>
      </c>
      <c r="E193" s="248">
        <f t="shared" si="20"/>
        <v>0</v>
      </c>
      <c r="F193" s="247"/>
      <c r="G193" s="247">
        <v>130</v>
      </c>
      <c r="H193" s="248">
        <f t="shared" si="21"/>
        <v>0</v>
      </c>
      <c r="I193" s="248">
        <f t="shared" si="22"/>
        <v>0</v>
      </c>
      <c r="J193" s="248">
        <f t="shared" si="23"/>
        <v>0</v>
      </c>
      <c r="K193" s="248">
        <f t="shared" si="24"/>
        <v>0</v>
      </c>
      <c r="L193" s="247"/>
    </row>
    <row r="194" spans="1:12">
      <c r="A194" s="247">
        <v>131</v>
      </c>
      <c r="B194" s="248">
        <f t="shared" si="17"/>
        <v>0</v>
      </c>
      <c r="C194" s="248">
        <f t="shared" si="18"/>
        <v>0</v>
      </c>
      <c r="D194" s="248">
        <f t="shared" si="19"/>
        <v>0</v>
      </c>
      <c r="E194" s="248">
        <f t="shared" si="20"/>
        <v>0</v>
      </c>
      <c r="F194" s="247"/>
      <c r="G194" s="247">
        <v>131</v>
      </c>
      <c r="H194" s="248">
        <f t="shared" si="21"/>
        <v>0</v>
      </c>
      <c r="I194" s="248">
        <f t="shared" si="22"/>
        <v>0</v>
      </c>
      <c r="J194" s="248">
        <f t="shared" si="23"/>
        <v>0</v>
      </c>
      <c r="K194" s="248">
        <f t="shared" si="24"/>
        <v>0</v>
      </c>
      <c r="L194" s="247"/>
    </row>
    <row r="195" spans="1:12">
      <c r="A195" s="247">
        <v>132</v>
      </c>
      <c r="B195" s="248">
        <f t="shared" si="17"/>
        <v>0</v>
      </c>
      <c r="C195" s="248">
        <f t="shared" si="18"/>
        <v>0</v>
      </c>
      <c r="D195" s="248">
        <f t="shared" si="19"/>
        <v>0</v>
      </c>
      <c r="E195" s="248">
        <f t="shared" si="20"/>
        <v>0</v>
      </c>
      <c r="F195" s="247">
        <v>11</v>
      </c>
      <c r="G195" s="247">
        <v>132</v>
      </c>
      <c r="H195" s="248">
        <f t="shared" si="21"/>
        <v>0</v>
      </c>
      <c r="I195" s="248">
        <f t="shared" si="22"/>
        <v>0</v>
      </c>
      <c r="J195" s="248">
        <f t="shared" si="23"/>
        <v>0</v>
      </c>
      <c r="K195" s="248">
        <f t="shared" si="24"/>
        <v>0</v>
      </c>
      <c r="L195" s="247">
        <v>11</v>
      </c>
    </row>
    <row r="196" spans="1:12">
      <c r="A196" s="247">
        <v>133</v>
      </c>
      <c r="B196" s="248">
        <f t="shared" si="17"/>
        <v>0</v>
      </c>
      <c r="C196" s="248">
        <f t="shared" si="18"/>
        <v>0</v>
      </c>
      <c r="D196" s="248">
        <f t="shared" si="19"/>
        <v>0</v>
      </c>
      <c r="E196" s="248">
        <f t="shared" si="20"/>
        <v>0</v>
      </c>
      <c r="F196" s="247"/>
      <c r="G196" s="247">
        <v>133</v>
      </c>
      <c r="H196" s="248">
        <f t="shared" si="21"/>
        <v>0</v>
      </c>
      <c r="I196" s="248">
        <f t="shared" si="22"/>
        <v>0</v>
      </c>
      <c r="J196" s="248">
        <f t="shared" si="23"/>
        <v>0</v>
      </c>
      <c r="K196" s="248">
        <f t="shared" si="24"/>
        <v>0</v>
      </c>
      <c r="L196" s="247"/>
    </row>
    <row r="197" spans="1:12">
      <c r="A197" s="247">
        <v>134</v>
      </c>
      <c r="B197" s="248">
        <f t="shared" si="17"/>
        <v>0</v>
      </c>
      <c r="C197" s="248">
        <f t="shared" si="18"/>
        <v>0</v>
      </c>
      <c r="D197" s="248">
        <f t="shared" si="19"/>
        <v>0</v>
      </c>
      <c r="E197" s="248">
        <f t="shared" si="20"/>
        <v>0</v>
      </c>
      <c r="F197" s="247"/>
      <c r="G197" s="247">
        <v>134</v>
      </c>
      <c r="H197" s="248">
        <f t="shared" si="21"/>
        <v>0</v>
      </c>
      <c r="I197" s="248">
        <f t="shared" si="22"/>
        <v>0</v>
      </c>
      <c r="J197" s="248">
        <f t="shared" si="23"/>
        <v>0</v>
      </c>
      <c r="K197" s="248">
        <f t="shared" si="24"/>
        <v>0</v>
      </c>
      <c r="L197" s="247"/>
    </row>
    <row r="198" spans="1:12">
      <c r="A198" s="247">
        <v>135</v>
      </c>
      <c r="B198" s="248">
        <f t="shared" si="17"/>
        <v>0</v>
      </c>
      <c r="C198" s="248">
        <f t="shared" si="18"/>
        <v>0</v>
      </c>
      <c r="D198" s="248">
        <f t="shared" si="19"/>
        <v>0</v>
      </c>
      <c r="E198" s="248">
        <f t="shared" si="20"/>
        <v>0</v>
      </c>
      <c r="F198" s="247"/>
      <c r="G198" s="247">
        <v>135</v>
      </c>
      <c r="H198" s="248">
        <f t="shared" si="21"/>
        <v>0</v>
      </c>
      <c r="I198" s="248">
        <f t="shared" si="22"/>
        <v>0</v>
      </c>
      <c r="J198" s="248">
        <f t="shared" si="23"/>
        <v>0</v>
      </c>
      <c r="K198" s="248">
        <f t="shared" si="24"/>
        <v>0</v>
      </c>
      <c r="L198" s="247"/>
    </row>
    <row r="199" spans="1:12">
      <c r="A199" s="247">
        <v>136</v>
      </c>
      <c r="B199" s="248">
        <f t="shared" si="17"/>
        <v>0</v>
      </c>
      <c r="C199" s="248">
        <f t="shared" si="18"/>
        <v>0</v>
      </c>
      <c r="D199" s="248">
        <f t="shared" si="19"/>
        <v>0</v>
      </c>
      <c r="E199" s="248">
        <f t="shared" si="20"/>
        <v>0</v>
      </c>
      <c r="F199" s="247"/>
      <c r="G199" s="247">
        <v>136</v>
      </c>
      <c r="H199" s="248">
        <f t="shared" si="21"/>
        <v>0</v>
      </c>
      <c r="I199" s="248">
        <f t="shared" si="22"/>
        <v>0</v>
      </c>
      <c r="J199" s="248">
        <f t="shared" si="23"/>
        <v>0</v>
      </c>
      <c r="K199" s="248">
        <f t="shared" si="24"/>
        <v>0</v>
      </c>
      <c r="L199" s="247"/>
    </row>
    <row r="200" spans="1:12">
      <c r="A200" s="247">
        <v>137</v>
      </c>
      <c r="B200" s="248">
        <f t="shared" si="17"/>
        <v>0</v>
      </c>
      <c r="C200" s="248">
        <f t="shared" si="18"/>
        <v>0</v>
      </c>
      <c r="D200" s="248">
        <f t="shared" si="19"/>
        <v>0</v>
      </c>
      <c r="E200" s="248">
        <f t="shared" si="20"/>
        <v>0</v>
      </c>
      <c r="F200" s="247"/>
      <c r="G200" s="247">
        <v>137</v>
      </c>
      <c r="H200" s="248">
        <f t="shared" si="21"/>
        <v>0</v>
      </c>
      <c r="I200" s="248">
        <f t="shared" si="22"/>
        <v>0</v>
      </c>
      <c r="J200" s="248">
        <f t="shared" si="23"/>
        <v>0</v>
      </c>
      <c r="K200" s="248">
        <f t="shared" si="24"/>
        <v>0</v>
      </c>
      <c r="L200" s="247"/>
    </row>
    <row r="201" spans="1:12">
      <c r="A201" s="247">
        <v>138</v>
      </c>
      <c r="B201" s="248">
        <f t="shared" si="17"/>
        <v>0</v>
      </c>
      <c r="C201" s="248">
        <f t="shared" si="18"/>
        <v>0</v>
      </c>
      <c r="D201" s="248">
        <f t="shared" si="19"/>
        <v>0</v>
      </c>
      <c r="E201" s="248">
        <f t="shared" si="20"/>
        <v>0</v>
      </c>
      <c r="F201" s="247"/>
      <c r="G201" s="247">
        <v>138</v>
      </c>
      <c r="H201" s="248">
        <f t="shared" si="21"/>
        <v>0</v>
      </c>
      <c r="I201" s="248">
        <f t="shared" si="22"/>
        <v>0</v>
      </c>
      <c r="J201" s="248">
        <f t="shared" si="23"/>
        <v>0</v>
      </c>
      <c r="K201" s="248">
        <f t="shared" si="24"/>
        <v>0</v>
      </c>
      <c r="L201" s="247"/>
    </row>
    <row r="202" spans="1:12">
      <c r="A202" s="247">
        <v>139</v>
      </c>
      <c r="B202" s="248">
        <f t="shared" si="17"/>
        <v>0</v>
      </c>
      <c r="C202" s="248">
        <f t="shared" si="18"/>
        <v>0</v>
      </c>
      <c r="D202" s="248">
        <f t="shared" si="19"/>
        <v>0</v>
      </c>
      <c r="E202" s="248">
        <f t="shared" si="20"/>
        <v>0</v>
      </c>
      <c r="F202" s="247"/>
      <c r="G202" s="247">
        <v>139</v>
      </c>
      <c r="H202" s="248">
        <f t="shared" si="21"/>
        <v>0</v>
      </c>
      <c r="I202" s="248">
        <f t="shared" si="22"/>
        <v>0</v>
      </c>
      <c r="J202" s="248">
        <f t="shared" si="23"/>
        <v>0</v>
      </c>
      <c r="K202" s="248">
        <f t="shared" si="24"/>
        <v>0</v>
      </c>
      <c r="L202" s="247"/>
    </row>
    <row r="203" spans="1:12">
      <c r="A203" s="247">
        <v>140</v>
      </c>
      <c r="B203" s="248">
        <f t="shared" si="17"/>
        <v>0</v>
      </c>
      <c r="C203" s="248">
        <f t="shared" si="18"/>
        <v>0</v>
      </c>
      <c r="D203" s="248">
        <f t="shared" si="19"/>
        <v>0</v>
      </c>
      <c r="E203" s="248">
        <f t="shared" si="20"/>
        <v>0</v>
      </c>
      <c r="F203" s="247"/>
      <c r="G203" s="247">
        <v>140</v>
      </c>
      <c r="H203" s="248">
        <f t="shared" si="21"/>
        <v>0</v>
      </c>
      <c r="I203" s="248">
        <f t="shared" si="22"/>
        <v>0</v>
      </c>
      <c r="J203" s="248">
        <f t="shared" si="23"/>
        <v>0</v>
      </c>
      <c r="K203" s="248">
        <f t="shared" si="24"/>
        <v>0</v>
      </c>
      <c r="L203" s="247"/>
    </row>
    <row r="204" spans="1:12">
      <c r="A204" s="247">
        <v>141</v>
      </c>
      <c r="B204" s="248">
        <f t="shared" si="17"/>
        <v>0</v>
      </c>
      <c r="C204" s="248">
        <f t="shared" si="18"/>
        <v>0</v>
      </c>
      <c r="D204" s="248">
        <f t="shared" si="19"/>
        <v>0</v>
      </c>
      <c r="E204" s="248">
        <f t="shared" si="20"/>
        <v>0</v>
      </c>
      <c r="F204" s="247"/>
      <c r="G204" s="247">
        <v>141</v>
      </c>
      <c r="H204" s="248">
        <f t="shared" si="21"/>
        <v>0</v>
      </c>
      <c r="I204" s="248">
        <f t="shared" si="22"/>
        <v>0</v>
      </c>
      <c r="J204" s="248">
        <f t="shared" si="23"/>
        <v>0</v>
      </c>
      <c r="K204" s="248">
        <f t="shared" si="24"/>
        <v>0</v>
      </c>
      <c r="L204" s="247"/>
    </row>
    <row r="205" spans="1:12">
      <c r="A205" s="247">
        <v>142</v>
      </c>
      <c r="B205" s="248">
        <f t="shared" si="17"/>
        <v>0</v>
      </c>
      <c r="C205" s="248">
        <f t="shared" si="18"/>
        <v>0</v>
      </c>
      <c r="D205" s="248">
        <f t="shared" si="19"/>
        <v>0</v>
      </c>
      <c r="E205" s="248">
        <f t="shared" si="20"/>
        <v>0</v>
      </c>
      <c r="F205" s="247"/>
      <c r="G205" s="247">
        <v>142</v>
      </c>
      <c r="H205" s="248">
        <f t="shared" si="21"/>
        <v>0</v>
      </c>
      <c r="I205" s="248">
        <f t="shared" si="22"/>
        <v>0</v>
      </c>
      <c r="J205" s="248">
        <f t="shared" si="23"/>
        <v>0</v>
      </c>
      <c r="K205" s="248">
        <f t="shared" si="24"/>
        <v>0</v>
      </c>
      <c r="L205" s="247"/>
    </row>
    <row r="206" spans="1:12">
      <c r="A206" s="247">
        <v>143</v>
      </c>
      <c r="B206" s="248">
        <f t="shared" si="17"/>
        <v>0</v>
      </c>
      <c r="C206" s="248">
        <f t="shared" si="18"/>
        <v>0</v>
      </c>
      <c r="D206" s="248">
        <f t="shared" si="19"/>
        <v>0</v>
      </c>
      <c r="E206" s="248">
        <f t="shared" si="20"/>
        <v>0</v>
      </c>
      <c r="F206" s="247"/>
      <c r="G206" s="247">
        <v>143</v>
      </c>
      <c r="H206" s="248">
        <f t="shared" si="21"/>
        <v>0</v>
      </c>
      <c r="I206" s="248">
        <f t="shared" si="22"/>
        <v>0</v>
      </c>
      <c r="J206" s="248">
        <f t="shared" si="23"/>
        <v>0</v>
      </c>
      <c r="K206" s="248">
        <f t="shared" si="24"/>
        <v>0</v>
      </c>
      <c r="L206" s="247"/>
    </row>
    <row r="207" spans="1:12">
      <c r="A207" s="249">
        <v>144</v>
      </c>
      <c r="B207" s="248">
        <f t="shared" si="17"/>
        <v>0</v>
      </c>
      <c r="C207" s="248">
        <f t="shared" si="18"/>
        <v>0</v>
      </c>
      <c r="D207" s="248">
        <f t="shared" si="19"/>
        <v>0</v>
      </c>
      <c r="E207" s="248">
        <f t="shared" si="20"/>
        <v>0</v>
      </c>
      <c r="F207" s="249">
        <v>12</v>
      </c>
      <c r="G207" s="249">
        <v>144</v>
      </c>
      <c r="H207" s="248">
        <f t="shared" si="21"/>
        <v>0</v>
      </c>
      <c r="I207" s="248">
        <f t="shared" si="22"/>
        <v>0</v>
      </c>
      <c r="J207" s="248">
        <f t="shared" si="23"/>
        <v>0</v>
      </c>
      <c r="K207" s="248">
        <f t="shared" si="24"/>
        <v>0</v>
      </c>
      <c r="L207" s="249">
        <v>12</v>
      </c>
    </row>
    <row r="208" spans="1:12">
      <c r="A208" s="247">
        <v>145</v>
      </c>
      <c r="B208" s="248">
        <f t="shared" si="17"/>
        <v>0</v>
      </c>
      <c r="C208" s="248">
        <f t="shared" si="18"/>
        <v>0</v>
      </c>
      <c r="D208" s="248">
        <f t="shared" si="19"/>
        <v>0</v>
      </c>
      <c r="E208" s="248">
        <f t="shared" si="20"/>
        <v>0</v>
      </c>
      <c r="F208" s="247"/>
      <c r="G208" s="247">
        <v>145</v>
      </c>
      <c r="H208" s="248">
        <f t="shared" si="21"/>
        <v>0</v>
      </c>
      <c r="I208" s="248">
        <f t="shared" si="22"/>
        <v>0</v>
      </c>
      <c r="J208" s="248">
        <f t="shared" si="23"/>
        <v>0</v>
      </c>
      <c r="K208" s="248">
        <f t="shared" si="24"/>
        <v>0</v>
      </c>
      <c r="L208" s="247"/>
    </row>
    <row r="209" spans="1:12" s="227" customFormat="1">
      <c r="A209" s="247">
        <v>146</v>
      </c>
      <c r="B209" s="248">
        <f t="shared" si="17"/>
        <v>0</v>
      </c>
      <c r="C209" s="248">
        <f t="shared" si="18"/>
        <v>0</v>
      </c>
      <c r="D209" s="248">
        <f t="shared" si="19"/>
        <v>0</v>
      </c>
      <c r="E209" s="248">
        <f t="shared" si="20"/>
        <v>0</v>
      </c>
      <c r="F209" s="247"/>
      <c r="G209" s="247">
        <v>146</v>
      </c>
      <c r="H209" s="248">
        <f t="shared" si="21"/>
        <v>0</v>
      </c>
      <c r="I209" s="248">
        <f t="shared" si="22"/>
        <v>0</v>
      </c>
      <c r="J209" s="248">
        <f t="shared" si="23"/>
        <v>0</v>
      </c>
      <c r="K209" s="248">
        <f t="shared" si="24"/>
        <v>0</v>
      </c>
      <c r="L209" s="247"/>
    </row>
    <row r="210" spans="1:12">
      <c r="A210" s="247">
        <v>147</v>
      </c>
      <c r="B210" s="248">
        <f t="shared" si="17"/>
        <v>0</v>
      </c>
      <c r="C210" s="248">
        <f t="shared" si="18"/>
        <v>0</v>
      </c>
      <c r="D210" s="248">
        <f t="shared" si="19"/>
        <v>0</v>
      </c>
      <c r="E210" s="248">
        <f t="shared" si="20"/>
        <v>0</v>
      </c>
      <c r="F210" s="247"/>
      <c r="G210" s="247">
        <v>147</v>
      </c>
      <c r="H210" s="248">
        <f t="shared" si="21"/>
        <v>0</v>
      </c>
      <c r="I210" s="248">
        <f t="shared" si="22"/>
        <v>0</v>
      </c>
      <c r="J210" s="248">
        <f t="shared" si="23"/>
        <v>0</v>
      </c>
      <c r="K210" s="248">
        <f t="shared" si="24"/>
        <v>0</v>
      </c>
      <c r="L210" s="247"/>
    </row>
    <row r="211" spans="1:12">
      <c r="A211" s="247">
        <v>148</v>
      </c>
      <c r="B211" s="248">
        <f t="shared" si="17"/>
        <v>0</v>
      </c>
      <c r="C211" s="248">
        <f t="shared" si="18"/>
        <v>0</v>
      </c>
      <c r="D211" s="248">
        <f t="shared" si="19"/>
        <v>0</v>
      </c>
      <c r="E211" s="248">
        <f t="shared" si="20"/>
        <v>0</v>
      </c>
      <c r="F211" s="247"/>
      <c r="G211" s="247">
        <v>148</v>
      </c>
      <c r="H211" s="248">
        <f t="shared" si="21"/>
        <v>0</v>
      </c>
      <c r="I211" s="248">
        <f t="shared" si="22"/>
        <v>0</v>
      </c>
      <c r="J211" s="248">
        <f t="shared" si="23"/>
        <v>0</v>
      </c>
      <c r="K211" s="248">
        <f t="shared" si="24"/>
        <v>0</v>
      </c>
      <c r="L211" s="247"/>
    </row>
    <row r="212" spans="1:12">
      <c r="A212" s="247">
        <v>149</v>
      </c>
      <c r="B212" s="248">
        <f t="shared" si="17"/>
        <v>0</v>
      </c>
      <c r="C212" s="248">
        <f t="shared" si="18"/>
        <v>0</v>
      </c>
      <c r="D212" s="248">
        <f t="shared" si="19"/>
        <v>0</v>
      </c>
      <c r="E212" s="248">
        <f t="shared" si="20"/>
        <v>0</v>
      </c>
      <c r="F212" s="247"/>
      <c r="G212" s="247">
        <v>149</v>
      </c>
      <c r="H212" s="248">
        <f t="shared" si="21"/>
        <v>0</v>
      </c>
      <c r="I212" s="248">
        <f t="shared" si="22"/>
        <v>0</v>
      </c>
      <c r="J212" s="248">
        <f t="shared" si="23"/>
        <v>0</v>
      </c>
      <c r="K212" s="248">
        <f t="shared" si="24"/>
        <v>0</v>
      </c>
      <c r="L212" s="247"/>
    </row>
    <row r="213" spans="1:12">
      <c r="A213" s="247">
        <v>150</v>
      </c>
      <c r="B213" s="248">
        <f t="shared" si="17"/>
        <v>0</v>
      </c>
      <c r="C213" s="248">
        <f t="shared" si="18"/>
        <v>0</v>
      </c>
      <c r="D213" s="248">
        <f t="shared" si="19"/>
        <v>0</v>
      </c>
      <c r="E213" s="248">
        <f t="shared" si="20"/>
        <v>0</v>
      </c>
      <c r="F213" s="247"/>
      <c r="G213" s="247">
        <v>150</v>
      </c>
      <c r="H213" s="248">
        <f t="shared" si="21"/>
        <v>0</v>
      </c>
      <c r="I213" s="248">
        <f t="shared" si="22"/>
        <v>0</v>
      </c>
      <c r="J213" s="248">
        <f t="shared" si="23"/>
        <v>0</v>
      </c>
      <c r="K213" s="248">
        <f t="shared" si="24"/>
        <v>0</v>
      </c>
      <c r="L213" s="247"/>
    </row>
    <row r="214" spans="1:12">
      <c r="A214" s="247">
        <v>151</v>
      </c>
      <c r="B214" s="248">
        <f t="shared" si="17"/>
        <v>0</v>
      </c>
      <c r="C214" s="248">
        <f t="shared" si="18"/>
        <v>0</v>
      </c>
      <c r="D214" s="248">
        <f t="shared" si="19"/>
        <v>0</v>
      </c>
      <c r="E214" s="248">
        <f t="shared" si="20"/>
        <v>0</v>
      </c>
      <c r="F214" s="247"/>
      <c r="G214" s="247">
        <v>151</v>
      </c>
      <c r="H214" s="248">
        <f t="shared" si="21"/>
        <v>0</v>
      </c>
      <c r="I214" s="248">
        <f t="shared" si="22"/>
        <v>0</v>
      </c>
      <c r="J214" s="248">
        <f t="shared" si="23"/>
        <v>0</v>
      </c>
      <c r="K214" s="248">
        <f t="shared" si="24"/>
        <v>0</v>
      </c>
      <c r="L214" s="247"/>
    </row>
    <row r="215" spans="1:12">
      <c r="A215" s="247">
        <v>152</v>
      </c>
      <c r="B215" s="248">
        <f t="shared" si="17"/>
        <v>0</v>
      </c>
      <c r="C215" s="248">
        <f t="shared" si="18"/>
        <v>0</v>
      </c>
      <c r="D215" s="248">
        <f t="shared" si="19"/>
        <v>0</v>
      </c>
      <c r="E215" s="248">
        <f t="shared" si="20"/>
        <v>0</v>
      </c>
      <c r="F215" s="247"/>
      <c r="G215" s="247">
        <v>152</v>
      </c>
      <c r="H215" s="248">
        <f t="shared" si="21"/>
        <v>0</v>
      </c>
      <c r="I215" s="248">
        <f t="shared" si="22"/>
        <v>0</v>
      </c>
      <c r="J215" s="248">
        <f t="shared" si="23"/>
        <v>0</v>
      </c>
      <c r="K215" s="248">
        <f t="shared" si="24"/>
        <v>0</v>
      </c>
      <c r="L215" s="247"/>
    </row>
    <row r="216" spans="1:12">
      <c r="A216" s="247">
        <v>153</v>
      </c>
      <c r="B216" s="248">
        <f t="shared" si="17"/>
        <v>0</v>
      </c>
      <c r="C216" s="248">
        <f t="shared" si="18"/>
        <v>0</v>
      </c>
      <c r="D216" s="248">
        <f t="shared" si="19"/>
        <v>0</v>
      </c>
      <c r="E216" s="248">
        <f t="shared" si="20"/>
        <v>0</v>
      </c>
      <c r="F216" s="247"/>
      <c r="G216" s="247">
        <v>153</v>
      </c>
      <c r="H216" s="248">
        <f t="shared" si="21"/>
        <v>0</v>
      </c>
      <c r="I216" s="248">
        <f t="shared" si="22"/>
        <v>0</v>
      </c>
      <c r="J216" s="248">
        <f t="shared" si="23"/>
        <v>0</v>
      </c>
      <c r="K216" s="248">
        <f t="shared" si="24"/>
        <v>0</v>
      </c>
      <c r="L216" s="247"/>
    </row>
    <row r="217" spans="1:12">
      <c r="A217" s="247">
        <v>154</v>
      </c>
      <c r="B217" s="248">
        <f t="shared" si="17"/>
        <v>0</v>
      </c>
      <c r="C217" s="248">
        <f t="shared" si="18"/>
        <v>0</v>
      </c>
      <c r="D217" s="248">
        <f t="shared" si="19"/>
        <v>0</v>
      </c>
      <c r="E217" s="248">
        <f t="shared" si="20"/>
        <v>0</v>
      </c>
      <c r="F217" s="247"/>
      <c r="G217" s="247">
        <v>154</v>
      </c>
      <c r="H217" s="248">
        <f t="shared" si="21"/>
        <v>0</v>
      </c>
      <c r="I217" s="248">
        <f t="shared" si="22"/>
        <v>0</v>
      </c>
      <c r="J217" s="248">
        <f t="shared" si="23"/>
        <v>0</v>
      </c>
      <c r="K217" s="248">
        <f t="shared" si="24"/>
        <v>0</v>
      </c>
      <c r="L217" s="247"/>
    </row>
    <row r="218" spans="1:12">
      <c r="A218" s="247">
        <v>155</v>
      </c>
      <c r="B218" s="248">
        <f t="shared" si="17"/>
        <v>0</v>
      </c>
      <c r="C218" s="248">
        <f t="shared" si="18"/>
        <v>0</v>
      </c>
      <c r="D218" s="248">
        <f t="shared" si="19"/>
        <v>0</v>
      </c>
      <c r="E218" s="248">
        <f t="shared" si="20"/>
        <v>0</v>
      </c>
      <c r="F218" s="247"/>
      <c r="G218" s="247">
        <v>155</v>
      </c>
      <c r="H218" s="248">
        <f t="shared" si="21"/>
        <v>0</v>
      </c>
      <c r="I218" s="248">
        <f t="shared" si="22"/>
        <v>0</v>
      </c>
      <c r="J218" s="248">
        <f t="shared" si="23"/>
        <v>0</v>
      </c>
      <c r="K218" s="248">
        <f t="shared" si="24"/>
        <v>0</v>
      </c>
      <c r="L218" s="247"/>
    </row>
    <row r="219" spans="1:12">
      <c r="A219" s="249">
        <v>156</v>
      </c>
      <c r="B219" s="248">
        <f t="shared" si="17"/>
        <v>0</v>
      </c>
      <c r="C219" s="248">
        <f t="shared" si="18"/>
        <v>0</v>
      </c>
      <c r="D219" s="248">
        <f t="shared" si="19"/>
        <v>0</v>
      </c>
      <c r="E219" s="248">
        <f t="shared" si="20"/>
        <v>0</v>
      </c>
      <c r="F219" s="249">
        <v>13</v>
      </c>
      <c r="G219" s="249">
        <v>156</v>
      </c>
      <c r="H219" s="248">
        <f t="shared" si="21"/>
        <v>0</v>
      </c>
      <c r="I219" s="248">
        <f t="shared" si="22"/>
        <v>0</v>
      </c>
      <c r="J219" s="248">
        <f t="shared" si="23"/>
        <v>0</v>
      </c>
      <c r="K219" s="248">
        <f t="shared" si="24"/>
        <v>0</v>
      </c>
      <c r="L219" s="249">
        <v>13</v>
      </c>
    </row>
    <row r="220" spans="1:12">
      <c r="A220" s="247">
        <v>157</v>
      </c>
      <c r="B220" s="248">
        <f t="shared" si="17"/>
        <v>0</v>
      </c>
      <c r="C220" s="248">
        <f t="shared" si="18"/>
        <v>0</v>
      </c>
      <c r="D220" s="248">
        <f t="shared" si="19"/>
        <v>0</v>
      </c>
      <c r="E220" s="248">
        <f t="shared" si="20"/>
        <v>0</v>
      </c>
      <c r="F220" s="247"/>
      <c r="G220" s="247">
        <v>157</v>
      </c>
      <c r="H220" s="248">
        <f t="shared" si="21"/>
        <v>0</v>
      </c>
      <c r="I220" s="248">
        <f t="shared" si="22"/>
        <v>0</v>
      </c>
      <c r="J220" s="248">
        <f t="shared" si="23"/>
        <v>0</v>
      </c>
      <c r="K220" s="248">
        <f t="shared" si="24"/>
        <v>0</v>
      </c>
      <c r="L220" s="247"/>
    </row>
    <row r="221" spans="1:12" s="227" customFormat="1">
      <c r="A221" s="247">
        <v>158</v>
      </c>
      <c r="B221" s="248">
        <f t="shared" si="17"/>
        <v>0</v>
      </c>
      <c r="C221" s="248">
        <f t="shared" si="18"/>
        <v>0</v>
      </c>
      <c r="D221" s="248">
        <f t="shared" si="19"/>
        <v>0</v>
      </c>
      <c r="E221" s="248">
        <f t="shared" si="20"/>
        <v>0</v>
      </c>
      <c r="F221" s="247"/>
      <c r="G221" s="247">
        <v>158</v>
      </c>
      <c r="H221" s="248">
        <f t="shared" si="21"/>
        <v>0</v>
      </c>
      <c r="I221" s="248">
        <f t="shared" si="22"/>
        <v>0</v>
      </c>
      <c r="J221" s="248">
        <f t="shared" si="23"/>
        <v>0</v>
      </c>
      <c r="K221" s="248">
        <f t="shared" si="24"/>
        <v>0</v>
      </c>
      <c r="L221" s="247"/>
    </row>
    <row r="222" spans="1:12">
      <c r="A222" s="247">
        <v>159</v>
      </c>
      <c r="B222" s="248">
        <f t="shared" si="17"/>
        <v>0</v>
      </c>
      <c r="C222" s="248">
        <f t="shared" si="18"/>
        <v>0</v>
      </c>
      <c r="D222" s="248">
        <f t="shared" si="19"/>
        <v>0</v>
      </c>
      <c r="E222" s="248">
        <f t="shared" si="20"/>
        <v>0</v>
      </c>
      <c r="F222" s="247"/>
      <c r="G222" s="247">
        <v>159</v>
      </c>
      <c r="H222" s="248">
        <f t="shared" si="21"/>
        <v>0</v>
      </c>
      <c r="I222" s="248">
        <f t="shared" si="22"/>
        <v>0</v>
      </c>
      <c r="J222" s="248">
        <f t="shared" si="23"/>
        <v>0</v>
      </c>
      <c r="K222" s="248">
        <f t="shared" si="24"/>
        <v>0</v>
      </c>
      <c r="L222" s="247"/>
    </row>
    <row r="223" spans="1:12">
      <c r="A223" s="247">
        <v>160</v>
      </c>
      <c r="B223" s="248">
        <f t="shared" si="17"/>
        <v>0</v>
      </c>
      <c r="C223" s="248">
        <f t="shared" si="18"/>
        <v>0</v>
      </c>
      <c r="D223" s="248">
        <f t="shared" si="19"/>
        <v>0</v>
      </c>
      <c r="E223" s="248">
        <f t="shared" si="20"/>
        <v>0</v>
      </c>
      <c r="F223" s="247"/>
      <c r="G223" s="247">
        <v>160</v>
      </c>
      <c r="H223" s="248">
        <f t="shared" si="21"/>
        <v>0</v>
      </c>
      <c r="I223" s="248">
        <f t="shared" si="22"/>
        <v>0</v>
      </c>
      <c r="J223" s="248">
        <f t="shared" si="23"/>
        <v>0</v>
      </c>
      <c r="K223" s="248">
        <f t="shared" si="24"/>
        <v>0</v>
      </c>
      <c r="L223" s="247"/>
    </row>
    <row r="224" spans="1:12">
      <c r="A224" s="247">
        <v>161</v>
      </c>
      <c r="B224" s="248">
        <f t="shared" si="17"/>
        <v>0</v>
      </c>
      <c r="C224" s="248">
        <f t="shared" si="18"/>
        <v>0</v>
      </c>
      <c r="D224" s="248">
        <f t="shared" si="19"/>
        <v>0</v>
      </c>
      <c r="E224" s="248">
        <f t="shared" si="20"/>
        <v>0</v>
      </c>
      <c r="F224" s="247"/>
      <c r="G224" s="247">
        <v>161</v>
      </c>
      <c r="H224" s="248">
        <f t="shared" si="21"/>
        <v>0</v>
      </c>
      <c r="I224" s="248">
        <f t="shared" si="22"/>
        <v>0</v>
      </c>
      <c r="J224" s="248">
        <f t="shared" si="23"/>
        <v>0</v>
      </c>
      <c r="K224" s="248">
        <f t="shared" si="24"/>
        <v>0</v>
      </c>
      <c r="L224" s="247"/>
    </row>
    <row r="225" spans="1:12">
      <c r="A225" s="247">
        <v>162</v>
      </c>
      <c r="B225" s="248">
        <f t="shared" si="17"/>
        <v>0</v>
      </c>
      <c r="C225" s="248">
        <f t="shared" si="18"/>
        <v>0</v>
      </c>
      <c r="D225" s="248">
        <f t="shared" si="19"/>
        <v>0</v>
      </c>
      <c r="E225" s="248">
        <f t="shared" si="20"/>
        <v>0</v>
      </c>
      <c r="F225" s="247"/>
      <c r="G225" s="247">
        <v>162</v>
      </c>
      <c r="H225" s="248">
        <f t="shared" si="21"/>
        <v>0</v>
      </c>
      <c r="I225" s="248">
        <f t="shared" si="22"/>
        <v>0</v>
      </c>
      <c r="J225" s="248">
        <f t="shared" si="23"/>
        <v>0</v>
      </c>
      <c r="K225" s="248">
        <f t="shared" si="24"/>
        <v>0</v>
      </c>
      <c r="L225" s="247"/>
    </row>
    <row r="226" spans="1:12">
      <c r="A226" s="247">
        <v>163</v>
      </c>
      <c r="B226" s="248">
        <f t="shared" si="17"/>
        <v>0</v>
      </c>
      <c r="C226" s="248">
        <f t="shared" si="18"/>
        <v>0</v>
      </c>
      <c r="D226" s="248">
        <f t="shared" si="19"/>
        <v>0</v>
      </c>
      <c r="E226" s="248">
        <f t="shared" si="20"/>
        <v>0</v>
      </c>
      <c r="F226" s="247"/>
      <c r="G226" s="247">
        <v>163</v>
      </c>
      <c r="H226" s="248">
        <f t="shared" si="21"/>
        <v>0</v>
      </c>
      <c r="I226" s="248">
        <f t="shared" si="22"/>
        <v>0</v>
      </c>
      <c r="J226" s="248">
        <f t="shared" si="23"/>
        <v>0</v>
      </c>
      <c r="K226" s="248">
        <f t="shared" si="24"/>
        <v>0</v>
      </c>
      <c r="L226" s="247"/>
    </row>
    <row r="227" spans="1:12">
      <c r="A227" s="247">
        <v>164</v>
      </c>
      <c r="B227" s="248">
        <f t="shared" si="17"/>
        <v>0</v>
      </c>
      <c r="C227" s="248">
        <f t="shared" si="18"/>
        <v>0</v>
      </c>
      <c r="D227" s="248">
        <f t="shared" si="19"/>
        <v>0</v>
      </c>
      <c r="E227" s="248">
        <f t="shared" si="20"/>
        <v>0</v>
      </c>
      <c r="F227" s="247"/>
      <c r="G227" s="247">
        <v>164</v>
      </c>
      <c r="H227" s="248">
        <f t="shared" si="21"/>
        <v>0</v>
      </c>
      <c r="I227" s="248">
        <f t="shared" si="22"/>
        <v>0</v>
      </c>
      <c r="J227" s="248">
        <f t="shared" si="23"/>
        <v>0</v>
      </c>
      <c r="K227" s="248">
        <f t="shared" si="24"/>
        <v>0</v>
      </c>
      <c r="L227" s="247"/>
    </row>
    <row r="228" spans="1:12">
      <c r="A228" s="247">
        <v>165</v>
      </c>
      <c r="B228" s="248">
        <f t="shared" si="17"/>
        <v>0</v>
      </c>
      <c r="C228" s="248">
        <f t="shared" si="18"/>
        <v>0</v>
      </c>
      <c r="D228" s="248">
        <f t="shared" si="19"/>
        <v>0</v>
      </c>
      <c r="E228" s="248">
        <f t="shared" si="20"/>
        <v>0</v>
      </c>
      <c r="F228" s="247"/>
      <c r="G228" s="247">
        <v>165</v>
      </c>
      <c r="H228" s="248">
        <f t="shared" si="21"/>
        <v>0</v>
      </c>
      <c r="I228" s="248">
        <f t="shared" si="22"/>
        <v>0</v>
      </c>
      <c r="J228" s="248">
        <f t="shared" si="23"/>
        <v>0</v>
      </c>
      <c r="K228" s="248">
        <f t="shared" si="24"/>
        <v>0</v>
      </c>
      <c r="L228" s="247"/>
    </row>
    <row r="229" spans="1:12">
      <c r="A229" s="247">
        <v>166</v>
      </c>
      <c r="B229" s="248">
        <f t="shared" si="17"/>
        <v>0</v>
      </c>
      <c r="C229" s="248">
        <f t="shared" si="18"/>
        <v>0</v>
      </c>
      <c r="D229" s="248">
        <f t="shared" si="19"/>
        <v>0</v>
      </c>
      <c r="E229" s="248">
        <f t="shared" si="20"/>
        <v>0</v>
      </c>
      <c r="F229" s="247"/>
      <c r="G229" s="247">
        <v>166</v>
      </c>
      <c r="H229" s="248">
        <f t="shared" si="21"/>
        <v>0</v>
      </c>
      <c r="I229" s="248">
        <f t="shared" si="22"/>
        <v>0</v>
      </c>
      <c r="J229" s="248">
        <f t="shared" si="23"/>
        <v>0</v>
      </c>
      <c r="K229" s="248">
        <f t="shared" si="24"/>
        <v>0</v>
      </c>
      <c r="L229" s="247"/>
    </row>
    <row r="230" spans="1:12">
      <c r="A230" s="247">
        <v>167</v>
      </c>
      <c r="B230" s="248">
        <f t="shared" si="17"/>
        <v>0</v>
      </c>
      <c r="C230" s="248">
        <f t="shared" si="18"/>
        <v>0</v>
      </c>
      <c r="D230" s="248">
        <f t="shared" si="19"/>
        <v>0</v>
      </c>
      <c r="E230" s="248">
        <f t="shared" si="20"/>
        <v>0</v>
      </c>
      <c r="F230" s="247"/>
      <c r="G230" s="247">
        <v>167</v>
      </c>
      <c r="H230" s="248">
        <f t="shared" si="21"/>
        <v>0</v>
      </c>
      <c r="I230" s="248">
        <f t="shared" si="22"/>
        <v>0</v>
      </c>
      <c r="J230" s="248">
        <f t="shared" si="23"/>
        <v>0</v>
      </c>
      <c r="K230" s="248">
        <f t="shared" si="24"/>
        <v>0</v>
      </c>
      <c r="L230" s="247"/>
    </row>
    <row r="231" spans="1:12">
      <c r="A231" s="249">
        <v>168</v>
      </c>
      <c r="B231" s="248">
        <f t="shared" si="17"/>
        <v>0</v>
      </c>
      <c r="C231" s="248">
        <f t="shared" si="18"/>
        <v>0</v>
      </c>
      <c r="D231" s="248">
        <f t="shared" si="19"/>
        <v>0</v>
      </c>
      <c r="E231" s="248">
        <f t="shared" si="20"/>
        <v>0</v>
      </c>
      <c r="F231" s="249">
        <v>14</v>
      </c>
      <c r="G231" s="249">
        <v>168</v>
      </c>
      <c r="H231" s="248">
        <f t="shared" si="21"/>
        <v>0</v>
      </c>
      <c r="I231" s="248">
        <f t="shared" si="22"/>
        <v>0</v>
      </c>
      <c r="J231" s="248">
        <f t="shared" si="23"/>
        <v>0</v>
      </c>
      <c r="K231" s="248">
        <f t="shared" si="24"/>
        <v>0</v>
      </c>
      <c r="L231" s="249">
        <v>14</v>
      </c>
    </row>
    <row r="232" spans="1:12">
      <c r="A232" s="247">
        <v>169</v>
      </c>
      <c r="B232" s="248">
        <f t="shared" si="17"/>
        <v>0</v>
      </c>
      <c r="C232" s="248">
        <f t="shared" si="18"/>
        <v>0</v>
      </c>
      <c r="D232" s="248">
        <f t="shared" si="19"/>
        <v>0</v>
      </c>
      <c r="E232" s="248">
        <f t="shared" si="20"/>
        <v>0</v>
      </c>
      <c r="F232" s="247"/>
      <c r="G232" s="247">
        <v>169</v>
      </c>
      <c r="H232" s="248">
        <f t="shared" si="21"/>
        <v>0</v>
      </c>
      <c r="I232" s="248">
        <f t="shared" si="22"/>
        <v>0</v>
      </c>
      <c r="J232" s="248">
        <f t="shared" si="23"/>
        <v>0</v>
      </c>
      <c r="K232" s="248">
        <f t="shared" si="24"/>
        <v>0</v>
      </c>
      <c r="L232" s="247"/>
    </row>
    <row r="233" spans="1:12" s="227" customFormat="1">
      <c r="A233" s="247">
        <v>170</v>
      </c>
      <c r="B233" s="248">
        <f t="shared" si="17"/>
        <v>0</v>
      </c>
      <c r="C233" s="248">
        <f t="shared" si="18"/>
        <v>0</v>
      </c>
      <c r="D233" s="248">
        <f t="shared" si="19"/>
        <v>0</v>
      </c>
      <c r="E233" s="248">
        <f t="shared" si="20"/>
        <v>0</v>
      </c>
      <c r="F233" s="247"/>
      <c r="G233" s="247">
        <v>170</v>
      </c>
      <c r="H233" s="248">
        <f t="shared" si="21"/>
        <v>0</v>
      </c>
      <c r="I233" s="248">
        <f t="shared" si="22"/>
        <v>0</v>
      </c>
      <c r="J233" s="248">
        <f t="shared" si="23"/>
        <v>0</v>
      </c>
      <c r="K233" s="248">
        <f t="shared" si="24"/>
        <v>0</v>
      </c>
      <c r="L233" s="247"/>
    </row>
    <row r="234" spans="1:12">
      <c r="A234" s="247">
        <v>171</v>
      </c>
      <c r="B234" s="248">
        <f t="shared" si="17"/>
        <v>0</v>
      </c>
      <c r="C234" s="248">
        <f t="shared" si="18"/>
        <v>0</v>
      </c>
      <c r="D234" s="248">
        <f t="shared" si="19"/>
        <v>0</v>
      </c>
      <c r="E234" s="248">
        <f t="shared" si="20"/>
        <v>0</v>
      </c>
      <c r="F234" s="247"/>
      <c r="G234" s="247">
        <v>171</v>
      </c>
      <c r="H234" s="248">
        <f t="shared" si="21"/>
        <v>0</v>
      </c>
      <c r="I234" s="248">
        <f t="shared" si="22"/>
        <v>0</v>
      </c>
      <c r="J234" s="248">
        <f t="shared" si="23"/>
        <v>0</v>
      </c>
      <c r="K234" s="248">
        <f t="shared" si="24"/>
        <v>0</v>
      </c>
      <c r="L234" s="247"/>
    </row>
    <row r="235" spans="1:12">
      <c r="A235" s="247">
        <v>172</v>
      </c>
      <c r="B235" s="248">
        <f t="shared" si="17"/>
        <v>0</v>
      </c>
      <c r="C235" s="248">
        <f t="shared" si="18"/>
        <v>0</v>
      </c>
      <c r="D235" s="248">
        <f t="shared" si="19"/>
        <v>0</v>
      </c>
      <c r="E235" s="248">
        <f t="shared" si="20"/>
        <v>0</v>
      </c>
      <c r="F235" s="247"/>
      <c r="G235" s="247">
        <v>172</v>
      </c>
      <c r="H235" s="248">
        <f t="shared" si="21"/>
        <v>0</v>
      </c>
      <c r="I235" s="248">
        <f t="shared" si="22"/>
        <v>0</v>
      </c>
      <c r="J235" s="248">
        <f t="shared" si="23"/>
        <v>0</v>
      </c>
      <c r="K235" s="248">
        <f t="shared" si="24"/>
        <v>0</v>
      </c>
      <c r="L235" s="247"/>
    </row>
    <row r="236" spans="1:12">
      <c r="A236" s="247">
        <v>173</v>
      </c>
      <c r="B236" s="248">
        <f t="shared" si="17"/>
        <v>0</v>
      </c>
      <c r="C236" s="248">
        <f t="shared" si="18"/>
        <v>0</v>
      </c>
      <c r="D236" s="248">
        <f t="shared" si="19"/>
        <v>0</v>
      </c>
      <c r="E236" s="248">
        <f t="shared" si="20"/>
        <v>0</v>
      </c>
      <c r="F236" s="247"/>
      <c r="G236" s="247">
        <v>173</v>
      </c>
      <c r="H236" s="248">
        <f t="shared" si="21"/>
        <v>0</v>
      </c>
      <c r="I236" s="248">
        <f t="shared" si="22"/>
        <v>0</v>
      </c>
      <c r="J236" s="248">
        <f t="shared" si="23"/>
        <v>0</v>
      </c>
      <c r="K236" s="248">
        <f t="shared" si="24"/>
        <v>0</v>
      </c>
      <c r="L236" s="247"/>
    </row>
    <row r="237" spans="1:12">
      <c r="A237" s="247">
        <v>174</v>
      </c>
      <c r="B237" s="248">
        <f t="shared" si="17"/>
        <v>0</v>
      </c>
      <c r="C237" s="248">
        <f t="shared" si="18"/>
        <v>0</v>
      </c>
      <c r="D237" s="248">
        <f t="shared" si="19"/>
        <v>0</v>
      </c>
      <c r="E237" s="248">
        <f t="shared" si="20"/>
        <v>0</v>
      </c>
      <c r="F237" s="247"/>
      <c r="G237" s="247">
        <v>174</v>
      </c>
      <c r="H237" s="248">
        <f t="shared" si="21"/>
        <v>0</v>
      </c>
      <c r="I237" s="248">
        <f t="shared" si="22"/>
        <v>0</v>
      </c>
      <c r="J237" s="248">
        <f t="shared" si="23"/>
        <v>0</v>
      </c>
      <c r="K237" s="248">
        <f t="shared" si="24"/>
        <v>0</v>
      </c>
      <c r="L237" s="247"/>
    </row>
    <row r="238" spans="1:12">
      <c r="A238" s="247">
        <v>175</v>
      </c>
      <c r="B238" s="248">
        <f t="shared" si="17"/>
        <v>0</v>
      </c>
      <c r="C238" s="248">
        <f t="shared" si="18"/>
        <v>0</v>
      </c>
      <c r="D238" s="248">
        <f t="shared" si="19"/>
        <v>0</v>
      </c>
      <c r="E238" s="248">
        <f t="shared" si="20"/>
        <v>0</v>
      </c>
      <c r="F238" s="247"/>
      <c r="G238" s="247">
        <v>175</v>
      </c>
      <c r="H238" s="248">
        <f t="shared" si="21"/>
        <v>0</v>
      </c>
      <c r="I238" s="248">
        <f t="shared" si="22"/>
        <v>0</v>
      </c>
      <c r="J238" s="248">
        <f t="shared" si="23"/>
        <v>0</v>
      </c>
      <c r="K238" s="248">
        <f t="shared" si="24"/>
        <v>0</v>
      </c>
      <c r="L238" s="247"/>
    </row>
    <row r="239" spans="1:12">
      <c r="A239" s="247">
        <v>176</v>
      </c>
      <c r="B239" s="248">
        <f t="shared" si="17"/>
        <v>0</v>
      </c>
      <c r="C239" s="248">
        <f t="shared" si="18"/>
        <v>0</v>
      </c>
      <c r="D239" s="248">
        <f t="shared" si="19"/>
        <v>0</v>
      </c>
      <c r="E239" s="248">
        <f t="shared" si="20"/>
        <v>0</v>
      </c>
      <c r="F239" s="247"/>
      <c r="G239" s="247">
        <v>176</v>
      </c>
      <c r="H239" s="248">
        <f t="shared" si="21"/>
        <v>0</v>
      </c>
      <c r="I239" s="248">
        <f t="shared" si="22"/>
        <v>0</v>
      </c>
      <c r="J239" s="248">
        <f t="shared" si="23"/>
        <v>0</v>
      </c>
      <c r="K239" s="248">
        <f t="shared" si="24"/>
        <v>0</v>
      </c>
      <c r="L239" s="247"/>
    </row>
    <row r="240" spans="1:12">
      <c r="A240" s="247">
        <v>177</v>
      </c>
      <c r="B240" s="248">
        <f t="shared" si="17"/>
        <v>0</v>
      </c>
      <c r="C240" s="248">
        <f t="shared" si="18"/>
        <v>0</v>
      </c>
      <c r="D240" s="248">
        <f t="shared" si="19"/>
        <v>0</v>
      </c>
      <c r="E240" s="248">
        <f t="shared" si="20"/>
        <v>0</v>
      </c>
      <c r="F240" s="247"/>
      <c r="G240" s="247">
        <v>177</v>
      </c>
      <c r="H240" s="248">
        <f t="shared" si="21"/>
        <v>0</v>
      </c>
      <c r="I240" s="248">
        <f t="shared" si="22"/>
        <v>0</v>
      </c>
      <c r="J240" s="248">
        <f t="shared" si="23"/>
        <v>0</v>
      </c>
      <c r="K240" s="248">
        <f t="shared" si="24"/>
        <v>0</v>
      </c>
      <c r="L240" s="247"/>
    </row>
    <row r="241" spans="1:12">
      <c r="A241" s="247">
        <v>178</v>
      </c>
      <c r="B241" s="248">
        <f t="shared" si="17"/>
        <v>0</v>
      </c>
      <c r="C241" s="248">
        <f t="shared" si="18"/>
        <v>0</v>
      </c>
      <c r="D241" s="248">
        <f t="shared" si="19"/>
        <v>0</v>
      </c>
      <c r="E241" s="248">
        <f t="shared" si="20"/>
        <v>0</v>
      </c>
      <c r="F241" s="247"/>
      <c r="G241" s="247">
        <v>178</v>
      </c>
      <c r="H241" s="248">
        <f t="shared" si="21"/>
        <v>0</v>
      </c>
      <c r="I241" s="248">
        <f t="shared" si="22"/>
        <v>0</v>
      </c>
      <c r="J241" s="248">
        <f t="shared" si="23"/>
        <v>0</v>
      </c>
      <c r="K241" s="248">
        <f t="shared" si="24"/>
        <v>0</v>
      </c>
      <c r="L241" s="247"/>
    </row>
    <row r="242" spans="1:12">
      <c r="A242" s="247">
        <v>179</v>
      </c>
      <c r="B242" s="248">
        <f t="shared" si="17"/>
        <v>0</v>
      </c>
      <c r="C242" s="248">
        <f t="shared" si="18"/>
        <v>0</v>
      </c>
      <c r="D242" s="248">
        <f t="shared" si="19"/>
        <v>0</v>
      </c>
      <c r="E242" s="248">
        <f t="shared" si="20"/>
        <v>0</v>
      </c>
      <c r="F242" s="247"/>
      <c r="G242" s="247">
        <v>179</v>
      </c>
      <c r="H242" s="248">
        <f t="shared" si="21"/>
        <v>0</v>
      </c>
      <c r="I242" s="248">
        <f t="shared" si="22"/>
        <v>0</v>
      </c>
      <c r="J242" s="248">
        <f t="shared" si="23"/>
        <v>0</v>
      </c>
      <c r="K242" s="248">
        <f t="shared" si="24"/>
        <v>0</v>
      </c>
      <c r="L242" s="247"/>
    </row>
    <row r="243" spans="1:12">
      <c r="A243" s="249">
        <v>180</v>
      </c>
      <c r="B243" s="248">
        <f t="shared" si="17"/>
        <v>0</v>
      </c>
      <c r="C243" s="248">
        <f t="shared" si="18"/>
        <v>0</v>
      </c>
      <c r="D243" s="248">
        <f t="shared" si="19"/>
        <v>0</v>
      </c>
      <c r="E243" s="248">
        <f t="shared" si="20"/>
        <v>0</v>
      </c>
      <c r="F243" s="249">
        <v>15</v>
      </c>
      <c r="G243" s="249">
        <v>180</v>
      </c>
      <c r="H243" s="248">
        <f t="shared" si="21"/>
        <v>0</v>
      </c>
      <c r="I243" s="248">
        <f t="shared" si="22"/>
        <v>0</v>
      </c>
      <c r="J243" s="248">
        <f t="shared" si="23"/>
        <v>0</v>
      </c>
      <c r="K243" s="248">
        <f t="shared" si="24"/>
        <v>0</v>
      </c>
      <c r="L243" s="249">
        <v>15</v>
      </c>
    </row>
    <row r="244" spans="1:12">
      <c r="A244" s="247">
        <v>181</v>
      </c>
      <c r="B244" s="248">
        <f t="shared" si="17"/>
        <v>0</v>
      </c>
      <c r="C244" s="248">
        <f t="shared" si="18"/>
        <v>0</v>
      </c>
      <c r="D244" s="248">
        <f t="shared" si="19"/>
        <v>0</v>
      </c>
      <c r="E244" s="248">
        <f t="shared" si="20"/>
        <v>0</v>
      </c>
      <c r="F244" s="247"/>
      <c r="G244" s="247">
        <v>181</v>
      </c>
      <c r="H244" s="248">
        <f t="shared" si="21"/>
        <v>0</v>
      </c>
      <c r="I244" s="248">
        <f t="shared" si="22"/>
        <v>0</v>
      </c>
      <c r="J244" s="248">
        <f t="shared" si="23"/>
        <v>0</v>
      </c>
      <c r="K244" s="248">
        <f t="shared" si="24"/>
        <v>0</v>
      </c>
      <c r="L244" s="247"/>
    </row>
    <row r="245" spans="1:12" s="227" customFormat="1">
      <c r="A245" s="249">
        <v>182</v>
      </c>
      <c r="B245" s="248">
        <f t="shared" si="17"/>
        <v>0</v>
      </c>
      <c r="C245" s="248">
        <f t="shared" si="18"/>
        <v>0</v>
      </c>
      <c r="D245" s="248">
        <f t="shared" si="19"/>
        <v>0</v>
      </c>
      <c r="E245" s="248">
        <f t="shared" si="20"/>
        <v>0</v>
      </c>
      <c r="F245" s="247"/>
      <c r="G245" s="249">
        <v>182</v>
      </c>
      <c r="H245" s="248">
        <f t="shared" si="21"/>
        <v>0</v>
      </c>
      <c r="I245" s="248">
        <f t="shared" si="22"/>
        <v>0</v>
      </c>
      <c r="J245" s="248">
        <f t="shared" si="23"/>
        <v>0</v>
      </c>
      <c r="K245" s="248">
        <f t="shared" si="24"/>
        <v>0</v>
      </c>
      <c r="L245" s="247"/>
    </row>
    <row r="246" spans="1:12">
      <c r="A246" s="249">
        <v>183</v>
      </c>
      <c r="B246" s="248">
        <f t="shared" si="17"/>
        <v>0</v>
      </c>
      <c r="C246" s="248">
        <f t="shared" si="18"/>
        <v>0</v>
      </c>
      <c r="D246" s="248">
        <f t="shared" si="19"/>
        <v>0</v>
      </c>
      <c r="E246" s="248">
        <f t="shared" si="20"/>
        <v>0</v>
      </c>
      <c r="F246" s="247"/>
      <c r="G246" s="249">
        <v>183</v>
      </c>
      <c r="H246" s="248">
        <f t="shared" si="21"/>
        <v>0</v>
      </c>
      <c r="I246" s="248">
        <f t="shared" si="22"/>
        <v>0</v>
      </c>
      <c r="J246" s="248">
        <f t="shared" si="23"/>
        <v>0</v>
      </c>
      <c r="K246" s="248">
        <f t="shared" si="24"/>
        <v>0</v>
      </c>
      <c r="L246" s="247"/>
    </row>
    <row r="247" spans="1:12">
      <c r="A247" s="249">
        <v>184</v>
      </c>
      <c r="B247" s="248">
        <f t="shared" si="17"/>
        <v>0</v>
      </c>
      <c r="C247" s="248">
        <f t="shared" si="18"/>
        <v>0</v>
      </c>
      <c r="D247" s="248">
        <f t="shared" si="19"/>
        <v>0</v>
      </c>
      <c r="E247" s="248">
        <f t="shared" si="20"/>
        <v>0</v>
      </c>
      <c r="F247" s="247"/>
      <c r="G247" s="249">
        <v>184</v>
      </c>
      <c r="H247" s="248">
        <f t="shared" si="21"/>
        <v>0</v>
      </c>
      <c r="I247" s="248">
        <f t="shared" si="22"/>
        <v>0</v>
      </c>
      <c r="J247" s="248">
        <f t="shared" si="23"/>
        <v>0</v>
      </c>
      <c r="K247" s="248">
        <f t="shared" si="24"/>
        <v>0</v>
      </c>
      <c r="L247" s="247"/>
    </row>
    <row r="248" spans="1:12">
      <c r="A248" s="249">
        <v>185</v>
      </c>
      <c r="B248" s="248">
        <f t="shared" si="17"/>
        <v>0</v>
      </c>
      <c r="C248" s="248">
        <f t="shared" si="18"/>
        <v>0</v>
      </c>
      <c r="D248" s="248">
        <f t="shared" si="19"/>
        <v>0</v>
      </c>
      <c r="E248" s="248">
        <f t="shared" si="20"/>
        <v>0</v>
      </c>
      <c r="F248" s="247"/>
      <c r="G248" s="249">
        <v>185</v>
      </c>
      <c r="H248" s="248">
        <f t="shared" si="21"/>
        <v>0</v>
      </c>
      <c r="I248" s="248">
        <f t="shared" si="22"/>
        <v>0</v>
      </c>
      <c r="J248" s="248">
        <f t="shared" si="23"/>
        <v>0</v>
      </c>
      <c r="K248" s="248">
        <f t="shared" si="24"/>
        <v>0</v>
      </c>
      <c r="L248" s="247"/>
    </row>
    <row r="249" spans="1:12">
      <c r="A249" s="249">
        <v>186</v>
      </c>
      <c r="B249" s="248">
        <f t="shared" si="17"/>
        <v>0</v>
      </c>
      <c r="C249" s="248">
        <f t="shared" si="18"/>
        <v>0</v>
      </c>
      <c r="D249" s="248">
        <f t="shared" si="19"/>
        <v>0</v>
      </c>
      <c r="E249" s="248">
        <f t="shared" si="20"/>
        <v>0</v>
      </c>
      <c r="F249" s="247"/>
      <c r="G249" s="249">
        <v>186</v>
      </c>
      <c r="H249" s="248">
        <f t="shared" si="21"/>
        <v>0</v>
      </c>
      <c r="I249" s="248">
        <f t="shared" si="22"/>
        <v>0</v>
      </c>
      <c r="J249" s="248">
        <f t="shared" si="23"/>
        <v>0</v>
      </c>
      <c r="K249" s="248">
        <f t="shared" si="24"/>
        <v>0</v>
      </c>
      <c r="L249" s="247"/>
    </row>
    <row r="250" spans="1:12">
      <c r="A250" s="249">
        <v>187</v>
      </c>
      <c r="B250" s="248">
        <f t="shared" si="17"/>
        <v>0</v>
      </c>
      <c r="C250" s="248">
        <f t="shared" si="18"/>
        <v>0</v>
      </c>
      <c r="D250" s="248">
        <f t="shared" si="19"/>
        <v>0</v>
      </c>
      <c r="E250" s="248">
        <f t="shared" si="20"/>
        <v>0</v>
      </c>
      <c r="F250" s="247"/>
      <c r="G250" s="249">
        <v>187</v>
      </c>
      <c r="H250" s="248">
        <f t="shared" si="21"/>
        <v>0</v>
      </c>
      <c r="I250" s="248">
        <f t="shared" si="22"/>
        <v>0</v>
      </c>
      <c r="J250" s="248">
        <f t="shared" si="23"/>
        <v>0</v>
      </c>
      <c r="K250" s="248">
        <f t="shared" si="24"/>
        <v>0</v>
      </c>
      <c r="L250" s="247"/>
    </row>
    <row r="251" spans="1:12">
      <c r="A251" s="249">
        <v>188</v>
      </c>
      <c r="B251" s="248">
        <f t="shared" si="17"/>
        <v>0</v>
      </c>
      <c r="C251" s="248">
        <f t="shared" si="18"/>
        <v>0</v>
      </c>
      <c r="D251" s="248">
        <f t="shared" si="19"/>
        <v>0</v>
      </c>
      <c r="E251" s="248">
        <f t="shared" si="20"/>
        <v>0</v>
      </c>
      <c r="F251" s="247"/>
      <c r="G251" s="249">
        <v>188</v>
      </c>
      <c r="H251" s="248">
        <f t="shared" si="21"/>
        <v>0</v>
      </c>
      <c r="I251" s="248">
        <f t="shared" si="22"/>
        <v>0</v>
      </c>
      <c r="J251" s="248">
        <f t="shared" si="23"/>
        <v>0</v>
      </c>
      <c r="K251" s="248">
        <f t="shared" si="24"/>
        <v>0</v>
      </c>
      <c r="L251" s="247"/>
    </row>
    <row r="252" spans="1:12">
      <c r="A252" s="249">
        <v>189</v>
      </c>
      <c r="B252" s="248">
        <f t="shared" si="17"/>
        <v>0</v>
      </c>
      <c r="C252" s="248">
        <f t="shared" si="18"/>
        <v>0</v>
      </c>
      <c r="D252" s="248">
        <f t="shared" si="19"/>
        <v>0</v>
      </c>
      <c r="E252" s="248">
        <f t="shared" si="20"/>
        <v>0</v>
      </c>
      <c r="F252" s="247"/>
      <c r="G252" s="249">
        <v>189</v>
      </c>
      <c r="H252" s="248">
        <f t="shared" si="21"/>
        <v>0</v>
      </c>
      <c r="I252" s="248">
        <f t="shared" si="22"/>
        <v>0</v>
      </c>
      <c r="J252" s="248">
        <f t="shared" si="23"/>
        <v>0</v>
      </c>
      <c r="K252" s="248">
        <f t="shared" si="24"/>
        <v>0</v>
      </c>
      <c r="L252" s="247"/>
    </row>
    <row r="253" spans="1:12">
      <c r="A253" s="249">
        <v>190</v>
      </c>
      <c r="B253" s="248">
        <f t="shared" si="17"/>
        <v>0</v>
      </c>
      <c r="C253" s="248">
        <f t="shared" si="18"/>
        <v>0</v>
      </c>
      <c r="D253" s="248">
        <f t="shared" si="19"/>
        <v>0</v>
      </c>
      <c r="E253" s="248">
        <f t="shared" si="20"/>
        <v>0</v>
      </c>
      <c r="F253" s="247"/>
      <c r="G253" s="249">
        <v>190</v>
      </c>
      <c r="H253" s="248">
        <f t="shared" si="21"/>
        <v>0</v>
      </c>
      <c r="I253" s="248">
        <f t="shared" si="22"/>
        <v>0</v>
      </c>
      <c r="J253" s="248">
        <f t="shared" si="23"/>
        <v>0</v>
      </c>
      <c r="K253" s="248">
        <f t="shared" si="24"/>
        <v>0</v>
      </c>
      <c r="L253" s="247"/>
    </row>
    <row r="254" spans="1:12">
      <c r="A254" s="249">
        <v>191</v>
      </c>
      <c r="B254" s="248">
        <f t="shared" si="17"/>
        <v>0</v>
      </c>
      <c r="C254" s="248">
        <f t="shared" si="18"/>
        <v>0</v>
      </c>
      <c r="D254" s="248">
        <f t="shared" si="19"/>
        <v>0</v>
      </c>
      <c r="E254" s="248">
        <f t="shared" si="20"/>
        <v>0</v>
      </c>
      <c r="F254" s="247"/>
      <c r="G254" s="249">
        <v>191</v>
      </c>
      <c r="H254" s="248">
        <f t="shared" si="21"/>
        <v>0</v>
      </c>
      <c r="I254" s="248">
        <f t="shared" si="22"/>
        <v>0</v>
      </c>
      <c r="J254" s="248">
        <f t="shared" si="23"/>
        <v>0</v>
      </c>
      <c r="K254" s="248">
        <f t="shared" si="24"/>
        <v>0</v>
      </c>
      <c r="L254" s="247"/>
    </row>
    <row r="255" spans="1:12">
      <c r="A255" s="249">
        <v>192</v>
      </c>
      <c r="B255" s="248">
        <f t="shared" si="17"/>
        <v>0</v>
      </c>
      <c r="C255" s="248">
        <f t="shared" si="18"/>
        <v>0</v>
      </c>
      <c r="D255" s="248">
        <f t="shared" si="19"/>
        <v>0</v>
      </c>
      <c r="E255" s="248">
        <f t="shared" si="20"/>
        <v>0</v>
      </c>
      <c r="F255" s="247">
        <v>16</v>
      </c>
      <c r="G255" s="249">
        <v>192</v>
      </c>
      <c r="H255" s="248">
        <f t="shared" si="21"/>
        <v>0</v>
      </c>
      <c r="I255" s="248">
        <f t="shared" si="22"/>
        <v>0</v>
      </c>
      <c r="J255" s="248">
        <f t="shared" si="23"/>
        <v>0</v>
      </c>
      <c r="K255" s="248">
        <f t="shared" si="24"/>
        <v>0</v>
      </c>
      <c r="L255" s="247">
        <v>16</v>
      </c>
    </row>
    <row r="256" spans="1:12">
      <c r="A256" s="249">
        <v>193</v>
      </c>
      <c r="B256" s="248">
        <f t="shared" ref="B256:B319" si="25">IF(A256&gt;12*$C$9,0,IF($C$5&gt;1500000,$D$12,$C$12))</f>
        <v>0</v>
      </c>
      <c r="C256" s="248">
        <f t="shared" ref="C256:C319" si="26">IF(A256&gt;12*$C$9,0,E255*$C$7/12)</f>
        <v>0</v>
      </c>
      <c r="D256" s="248">
        <f t="shared" ref="D256:D319" si="27">IF(A256&gt;12*$C$9,0,B256-C256)</f>
        <v>0</v>
      </c>
      <c r="E256" s="248">
        <f t="shared" ref="E256:E319" si="28">IF(A256&gt;12*$C$9,0,E255-D256)</f>
        <v>0</v>
      </c>
      <c r="F256" s="247"/>
      <c r="G256" s="249">
        <v>193</v>
      </c>
      <c r="H256" s="248">
        <f t="shared" ref="H256:H319" si="29">IF(G256&gt;12*$C$9,0,IF($C$5&gt;1500000,$E$12,0))</f>
        <v>0</v>
      </c>
      <c r="I256" s="248">
        <f t="shared" ref="I256:I319" si="30">IF(G256&gt;12*$C$9,0,K255*$C$7/12)</f>
        <v>0</v>
      </c>
      <c r="J256" s="248">
        <f t="shared" ref="J256:J319" si="31">IF(G256&gt;12*$C$9,0,H256-I256)</f>
        <v>0</v>
      </c>
      <c r="K256" s="248">
        <f t="shared" ref="K256:K319" si="32">IF(G256&gt;12*$C$9,0,K255-J256)</f>
        <v>0</v>
      </c>
      <c r="L256" s="247"/>
    </row>
    <row r="257" spans="1:12">
      <c r="A257" s="249">
        <v>194</v>
      </c>
      <c r="B257" s="248">
        <f t="shared" si="25"/>
        <v>0</v>
      </c>
      <c r="C257" s="248">
        <f t="shared" si="26"/>
        <v>0</v>
      </c>
      <c r="D257" s="248">
        <f t="shared" si="27"/>
        <v>0</v>
      </c>
      <c r="E257" s="248">
        <f t="shared" si="28"/>
        <v>0</v>
      </c>
      <c r="F257" s="247"/>
      <c r="G257" s="249">
        <v>194</v>
      </c>
      <c r="H257" s="248">
        <f t="shared" si="29"/>
        <v>0</v>
      </c>
      <c r="I257" s="248">
        <f t="shared" si="30"/>
        <v>0</v>
      </c>
      <c r="J257" s="248">
        <f t="shared" si="31"/>
        <v>0</v>
      </c>
      <c r="K257" s="248">
        <f t="shared" si="32"/>
        <v>0</v>
      </c>
      <c r="L257" s="247"/>
    </row>
    <row r="258" spans="1:12">
      <c r="A258" s="249">
        <v>195</v>
      </c>
      <c r="B258" s="248">
        <f t="shared" si="25"/>
        <v>0</v>
      </c>
      <c r="C258" s="248">
        <f t="shared" si="26"/>
        <v>0</v>
      </c>
      <c r="D258" s="248">
        <f t="shared" si="27"/>
        <v>0</v>
      </c>
      <c r="E258" s="248">
        <f t="shared" si="28"/>
        <v>0</v>
      </c>
      <c r="F258" s="247"/>
      <c r="G258" s="249">
        <v>195</v>
      </c>
      <c r="H258" s="248">
        <f t="shared" si="29"/>
        <v>0</v>
      </c>
      <c r="I258" s="248">
        <f t="shared" si="30"/>
        <v>0</v>
      </c>
      <c r="J258" s="248">
        <f t="shared" si="31"/>
        <v>0</v>
      </c>
      <c r="K258" s="248">
        <f t="shared" si="32"/>
        <v>0</v>
      </c>
      <c r="L258" s="247"/>
    </row>
    <row r="259" spans="1:12">
      <c r="A259" s="249">
        <v>196</v>
      </c>
      <c r="B259" s="248">
        <f t="shared" si="25"/>
        <v>0</v>
      </c>
      <c r="C259" s="248">
        <f t="shared" si="26"/>
        <v>0</v>
      </c>
      <c r="D259" s="248">
        <f t="shared" si="27"/>
        <v>0</v>
      </c>
      <c r="E259" s="248">
        <f t="shared" si="28"/>
        <v>0</v>
      </c>
      <c r="F259" s="247"/>
      <c r="G259" s="249">
        <v>196</v>
      </c>
      <c r="H259" s="248">
        <f t="shared" si="29"/>
        <v>0</v>
      </c>
      <c r="I259" s="248">
        <f t="shared" si="30"/>
        <v>0</v>
      </c>
      <c r="J259" s="248">
        <f t="shared" si="31"/>
        <v>0</v>
      </c>
      <c r="K259" s="248">
        <f t="shared" si="32"/>
        <v>0</v>
      </c>
      <c r="L259" s="247"/>
    </row>
    <row r="260" spans="1:12">
      <c r="A260" s="249">
        <v>197</v>
      </c>
      <c r="B260" s="248">
        <f t="shared" si="25"/>
        <v>0</v>
      </c>
      <c r="C260" s="248">
        <f t="shared" si="26"/>
        <v>0</v>
      </c>
      <c r="D260" s="248">
        <f t="shared" si="27"/>
        <v>0</v>
      </c>
      <c r="E260" s="248">
        <f t="shared" si="28"/>
        <v>0</v>
      </c>
      <c r="F260" s="247"/>
      <c r="G260" s="249">
        <v>197</v>
      </c>
      <c r="H260" s="248">
        <f t="shared" si="29"/>
        <v>0</v>
      </c>
      <c r="I260" s="248">
        <f t="shared" si="30"/>
        <v>0</v>
      </c>
      <c r="J260" s="248">
        <f t="shared" si="31"/>
        <v>0</v>
      </c>
      <c r="K260" s="248">
        <f t="shared" si="32"/>
        <v>0</v>
      </c>
      <c r="L260" s="247"/>
    </row>
    <row r="261" spans="1:12">
      <c r="A261" s="249">
        <v>198</v>
      </c>
      <c r="B261" s="248">
        <f t="shared" si="25"/>
        <v>0</v>
      </c>
      <c r="C261" s="248">
        <f t="shared" si="26"/>
        <v>0</v>
      </c>
      <c r="D261" s="248">
        <f t="shared" si="27"/>
        <v>0</v>
      </c>
      <c r="E261" s="248">
        <f t="shared" si="28"/>
        <v>0</v>
      </c>
      <c r="F261" s="247"/>
      <c r="G261" s="249">
        <v>198</v>
      </c>
      <c r="H261" s="248">
        <f t="shared" si="29"/>
        <v>0</v>
      </c>
      <c r="I261" s="248">
        <f t="shared" si="30"/>
        <v>0</v>
      </c>
      <c r="J261" s="248">
        <f t="shared" si="31"/>
        <v>0</v>
      </c>
      <c r="K261" s="248">
        <f t="shared" si="32"/>
        <v>0</v>
      </c>
      <c r="L261" s="247"/>
    </row>
    <row r="262" spans="1:12">
      <c r="A262" s="249">
        <v>199</v>
      </c>
      <c r="B262" s="248">
        <f t="shared" si="25"/>
        <v>0</v>
      </c>
      <c r="C262" s="248">
        <f t="shared" si="26"/>
        <v>0</v>
      </c>
      <c r="D262" s="248">
        <f t="shared" si="27"/>
        <v>0</v>
      </c>
      <c r="E262" s="248">
        <f t="shared" si="28"/>
        <v>0</v>
      </c>
      <c r="F262" s="247"/>
      <c r="G262" s="249">
        <v>199</v>
      </c>
      <c r="H262" s="248">
        <f t="shared" si="29"/>
        <v>0</v>
      </c>
      <c r="I262" s="248">
        <f t="shared" si="30"/>
        <v>0</v>
      </c>
      <c r="J262" s="248">
        <f t="shared" si="31"/>
        <v>0</v>
      </c>
      <c r="K262" s="248">
        <f t="shared" si="32"/>
        <v>0</v>
      </c>
      <c r="L262" s="247"/>
    </row>
    <row r="263" spans="1:12">
      <c r="A263" s="249">
        <v>200</v>
      </c>
      <c r="B263" s="248">
        <f t="shared" si="25"/>
        <v>0</v>
      </c>
      <c r="C263" s="248">
        <f t="shared" si="26"/>
        <v>0</v>
      </c>
      <c r="D263" s="248">
        <f t="shared" si="27"/>
        <v>0</v>
      </c>
      <c r="E263" s="248">
        <f t="shared" si="28"/>
        <v>0</v>
      </c>
      <c r="F263" s="247"/>
      <c r="G263" s="249">
        <v>200</v>
      </c>
      <c r="H263" s="248">
        <f t="shared" si="29"/>
        <v>0</v>
      </c>
      <c r="I263" s="248">
        <f t="shared" si="30"/>
        <v>0</v>
      </c>
      <c r="J263" s="248">
        <f t="shared" si="31"/>
        <v>0</v>
      </c>
      <c r="K263" s="248">
        <f t="shared" si="32"/>
        <v>0</v>
      </c>
      <c r="L263" s="247"/>
    </row>
    <row r="264" spans="1:12">
      <c r="A264" s="249">
        <v>201</v>
      </c>
      <c r="B264" s="248">
        <f t="shared" si="25"/>
        <v>0</v>
      </c>
      <c r="C264" s="248">
        <f t="shared" si="26"/>
        <v>0</v>
      </c>
      <c r="D264" s="248">
        <f t="shared" si="27"/>
        <v>0</v>
      </c>
      <c r="E264" s="248">
        <f t="shared" si="28"/>
        <v>0</v>
      </c>
      <c r="F264" s="247"/>
      <c r="G264" s="249">
        <v>201</v>
      </c>
      <c r="H264" s="248">
        <f t="shared" si="29"/>
        <v>0</v>
      </c>
      <c r="I264" s="248">
        <f t="shared" si="30"/>
        <v>0</v>
      </c>
      <c r="J264" s="248">
        <f t="shared" si="31"/>
        <v>0</v>
      </c>
      <c r="K264" s="248">
        <f t="shared" si="32"/>
        <v>0</v>
      </c>
      <c r="L264" s="247"/>
    </row>
    <row r="265" spans="1:12">
      <c r="A265" s="249">
        <v>202</v>
      </c>
      <c r="B265" s="248">
        <f t="shared" si="25"/>
        <v>0</v>
      </c>
      <c r="C265" s="248">
        <f t="shared" si="26"/>
        <v>0</v>
      </c>
      <c r="D265" s="248">
        <f t="shared" si="27"/>
        <v>0</v>
      </c>
      <c r="E265" s="248">
        <f t="shared" si="28"/>
        <v>0</v>
      </c>
      <c r="F265" s="247"/>
      <c r="G265" s="249">
        <v>202</v>
      </c>
      <c r="H265" s="248">
        <f t="shared" si="29"/>
        <v>0</v>
      </c>
      <c r="I265" s="248">
        <f t="shared" si="30"/>
        <v>0</v>
      </c>
      <c r="J265" s="248">
        <f t="shared" si="31"/>
        <v>0</v>
      </c>
      <c r="K265" s="248">
        <f t="shared" si="32"/>
        <v>0</v>
      </c>
      <c r="L265" s="247"/>
    </row>
    <row r="266" spans="1:12">
      <c r="A266" s="249">
        <v>203</v>
      </c>
      <c r="B266" s="248">
        <f t="shared" si="25"/>
        <v>0</v>
      </c>
      <c r="C266" s="248">
        <f t="shared" si="26"/>
        <v>0</v>
      </c>
      <c r="D266" s="248">
        <f t="shared" si="27"/>
        <v>0</v>
      </c>
      <c r="E266" s="248">
        <f t="shared" si="28"/>
        <v>0</v>
      </c>
      <c r="F266" s="247"/>
      <c r="G266" s="249">
        <v>203</v>
      </c>
      <c r="H266" s="248">
        <f t="shared" si="29"/>
        <v>0</v>
      </c>
      <c r="I266" s="248">
        <f t="shared" si="30"/>
        <v>0</v>
      </c>
      <c r="J266" s="248">
        <f t="shared" si="31"/>
        <v>0</v>
      </c>
      <c r="K266" s="248">
        <f t="shared" si="32"/>
        <v>0</v>
      </c>
      <c r="L266" s="247"/>
    </row>
    <row r="267" spans="1:12">
      <c r="A267" s="249">
        <v>204</v>
      </c>
      <c r="B267" s="248">
        <f t="shared" si="25"/>
        <v>0</v>
      </c>
      <c r="C267" s="248">
        <f t="shared" si="26"/>
        <v>0</v>
      </c>
      <c r="D267" s="248">
        <f t="shared" si="27"/>
        <v>0</v>
      </c>
      <c r="E267" s="248">
        <f t="shared" si="28"/>
        <v>0</v>
      </c>
      <c r="F267" s="247">
        <v>17</v>
      </c>
      <c r="G267" s="249">
        <v>204</v>
      </c>
      <c r="H267" s="248">
        <f t="shared" si="29"/>
        <v>0</v>
      </c>
      <c r="I267" s="248">
        <f t="shared" si="30"/>
        <v>0</v>
      </c>
      <c r="J267" s="248">
        <f t="shared" si="31"/>
        <v>0</v>
      </c>
      <c r="K267" s="248">
        <f t="shared" si="32"/>
        <v>0</v>
      </c>
      <c r="L267" s="247">
        <v>17</v>
      </c>
    </row>
    <row r="268" spans="1:12">
      <c r="A268" s="249">
        <v>205</v>
      </c>
      <c r="B268" s="248">
        <f t="shared" si="25"/>
        <v>0</v>
      </c>
      <c r="C268" s="248">
        <f t="shared" si="26"/>
        <v>0</v>
      </c>
      <c r="D268" s="248">
        <f t="shared" si="27"/>
        <v>0</v>
      </c>
      <c r="E268" s="248">
        <f t="shared" si="28"/>
        <v>0</v>
      </c>
      <c r="F268" s="247"/>
      <c r="G268" s="249">
        <v>205</v>
      </c>
      <c r="H268" s="248">
        <f t="shared" si="29"/>
        <v>0</v>
      </c>
      <c r="I268" s="248">
        <f t="shared" si="30"/>
        <v>0</v>
      </c>
      <c r="J268" s="248">
        <f t="shared" si="31"/>
        <v>0</v>
      </c>
      <c r="K268" s="248">
        <f t="shared" si="32"/>
        <v>0</v>
      </c>
      <c r="L268" s="247"/>
    </row>
    <row r="269" spans="1:12">
      <c r="A269" s="249">
        <v>206</v>
      </c>
      <c r="B269" s="248">
        <f t="shared" si="25"/>
        <v>0</v>
      </c>
      <c r="C269" s="248">
        <f t="shared" si="26"/>
        <v>0</v>
      </c>
      <c r="D269" s="248">
        <f t="shared" si="27"/>
        <v>0</v>
      </c>
      <c r="E269" s="248">
        <f t="shared" si="28"/>
        <v>0</v>
      </c>
      <c r="F269" s="247"/>
      <c r="G269" s="249">
        <v>206</v>
      </c>
      <c r="H269" s="248">
        <f t="shared" si="29"/>
        <v>0</v>
      </c>
      <c r="I269" s="248">
        <f t="shared" si="30"/>
        <v>0</v>
      </c>
      <c r="J269" s="248">
        <f t="shared" si="31"/>
        <v>0</v>
      </c>
      <c r="K269" s="248">
        <f t="shared" si="32"/>
        <v>0</v>
      </c>
      <c r="L269" s="247"/>
    </row>
    <row r="270" spans="1:12">
      <c r="A270" s="249">
        <v>207</v>
      </c>
      <c r="B270" s="248">
        <f t="shared" si="25"/>
        <v>0</v>
      </c>
      <c r="C270" s="248">
        <f t="shared" si="26"/>
        <v>0</v>
      </c>
      <c r="D270" s="248">
        <f t="shared" si="27"/>
        <v>0</v>
      </c>
      <c r="E270" s="248">
        <f t="shared" si="28"/>
        <v>0</v>
      </c>
      <c r="F270" s="247"/>
      <c r="G270" s="249">
        <v>207</v>
      </c>
      <c r="H270" s="248">
        <f t="shared" si="29"/>
        <v>0</v>
      </c>
      <c r="I270" s="248">
        <f t="shared" si="30"/>
        <v>0</v>
      </c>
      <c r="J270" s="248">
        <f t="shared" si="31"/>
        <v>0</v>
      </c>
      <c r="K270" s="248">
        <f t="shared" si="32"/>
        <v>0</v>
      </c>
      <c r="L270" s="247"/>
    </row>
    <row r="271" spans="1:12">
      <c r="A271" s="249">
        <v>208</v>
      </c>
      <c r="B271" s="248">
        <f t="shared" si="25"/>
        <v>0</v>
      </c>
      <c r="C271" s="248">
        <f t="shared" si="26"/>
        <v>0</v>
      </c>
      <c r="D271" s="248">
        <f t="shared" si="27"/>
        <v>0</v>
      </c>
      <c r="E271" s="248">
        <f t="shared" si="28"/>
        <v>0</v>
      </c>
      <c r="F271" s="247"/>
      <c r="G271" s="249">
        <v>208</v>
      </c>
      <c r="H271" s="248">
        <f t="shared" si="29"/>
        <v>0</v>
      </c>
      <c r="I271" s="248">
        <f t="shared" si="30"/>
        <v>0</v>
      </c>
      <c r="J271" s="248">
        <f t="shared" si="31"/>
        <v>0</v>
      </c>
      <c r="K271" s="248">
        <f t="shared" si="32"/>
        <v>0</v>
      </c>
      <c r="L271" s="247"/>
    </row>
    <row r="272" spans="1:12">
      <c r="A272" s="249">
        <v>209</v>
      </c>
      <c r="B272" s="248">
        <f t="shared" si="25"/>
        <v>0</v>
      </c>
      <c r="C272" s="248">
        <f t="shared" si="26"/>
        <v>0</v>
      </c>
      <c r="D272" s="248">
        <f t="shared" si="27"/>
        <v>0</v>
      </c>
      <c r="E272" s="248">
        <f t="shared" si="28"/>
        <v>0</v>
      </c>
      <c r="F272" s="247"/>
      <c r="G272" s="249">
        <v>209</v>
      </c>
      <c r="H272" s="248">
        <f t="shared" si="29"/>
        <v>0</v>
      </c>
      <c r="I272" s="248">
        <f t="shared" si="30"/>
        <v>0</v>
      </c>
      <c r="J272" s="248">
        <f t="shared" si="31"/>
        <v>0</v>
      </c>
      <c r="K272" s="248">
        <f t="shared" si="32"/>
        <v>0</v>
      </c>
      <c r="L272" s="247"/>
    </row>
    <row r="273" spans="1:12">
      <c r="A273" s="249">
        <v>210</v>
      </c>
      <c r="B273" s="248">
        <f t="shared" si="25"/>
        <v>0</v>
      </c>
      <c r="C273" s="248">
        <f t="shared" si="26"/>
        <v>0</v>
      </c>
      <c r="D273" s="248">
        <f t="shared" si="27"/>
        <v>0</v>
      </c>
      <c r="E273" s="248">
        <f t="shared" si="28"/>
        <v>0</v>
      </c>
      <c r="F273" s="247"/>
      <c r="G273" s="249">
        <v>210</v>
      </c>
      <c r="H273" s="248">
        <f t="shared" si="29"/>
        <v>0</v>
      </c>
      <c r="I273" s="248">
        <f t="shared" si="30"/>
        <v>0</v>
      </c>
      <c r="J273" s="248">
        <f t="shared" si="31"/>
        <v>0</v>
      </c>
      <c r="K273" s="248">
        <f t="shared" si="32"/>
        <v>0</v>
      </c>
      <c r="L273" s="247"/>
    </row>
    <row r="274" spans="1:12">
      <c r="A274" s="249">
        <v>211</v>
      </c>
      <c r="B274" s="248">
        <f t="shared" si="25"/>
        <v>0</v>
      </c>
      <c r="C274" s="248">
        <f t="shared" si="26"/>
        <v>0</v>
      </c>
      <c r="D274" s="248">
        <f t="shared" si="27"/>
        <v>0</v>
      </c>
      <c r="E274" s="248">
        <f t="shared" si="28"/>
        <v>0</v>
      </c>
      <c r="F274" s="247"/>
      <c r="G274" s="249">
        <v>211</v>
      </c>
      <c r="H274" s="248">
        <f t="shared" si="29"/>
        <v>0</v>
      </c>
      <c r="I274" s="248">
        <f t="shared" si="30"/>
        <v>0</v>
      </c>
      <c r="J274" s="248">
        <f t="shared" si="31"/>
        <v>0</v>
      </c>
      <c r="K274" s="248">
        <f t="shared" si="32"/>
        <v>0</v>
      </c>
      <c r="L274" s="247"/>
    </row>
    <row r="275" spans="1:12">
      <c r="A275" s="249">
        <v>212</v>
      </c>
      <c r="B275" s="248">
        <f t="shared" si="25"/>
        <v>0</v>
      </c>
      <c r="C275" s="248">
        <f t="shared" si="26"/>
        <v>0</v>
      </c>
      <c r="D275" s="248">
        <f t="shared" si="27"/>
        <v>0</v>
      </c>
      <c r="E275" s="248">
        <f t="shared" si="28"/>
        <v>0</v>
      </c>
      <c r="F275" s="247"/>
      <c r="G275" s="249">
        <v>212</v>
      </c>
      <c r="H275" s="248">
        <f t="shared" si="29"/>
        <v>0</v>
      </c>
      <c r="I275" s="248">
        <f t="shared" si="30"/>
        <v>0</v>
      </c>
      <c r="J275" s="248">
        <f t="shared" si="31"/>
        <v>0</v>
      </c>
      <c r="K275" s="248">
        <f t="shared" si="32"/>
        <v>0</v>
      </c>
      <c r="L275" s="247"/>
    </row>
    <row r="276" spans="1:12">
      <c r="A276" s="249">
        <v>213</v>
      </c>
      <c r="B276" s="248">
        <f t="shared" si="25"/>
        <v>0</v>
      </c>
      <c r="C276" s="248">
        <f t="shared" si="26"/>
        <v>0</v>
      </c>
      <c r="D276" s="248">
        <f t="shared" si="27"/>
        <v>0</v>
      </c>
      <c r="E276" s="248">
        <f t="shared" si="28"/>
        <v>0</v>
      </c>
      <c r="F276" s="247"/>
      <c r="G276" s="249">
        <v>213</v>
      </c>
      <c r="H276" s="248">
        <f t="shared" si="29"/>
        <v>0</v>
      </c>
      <c r="I276" s="248">
        <f t="shared" si="30"/>
        <v>0</v>
      </c>
      <c r="J276" s="248">
        <f t="shared" si="31"/>
        <v>0</v>
      </c>
      <c r="K276" s="248">
        <f t="shared" si="32"/>
        <v>0</v>
      </c>
      <c r="L276" s="247"/>
    </row>
    <row r="277" spans="1:12">
      <c r="A277" s="249">
        <v>214</v>
      </c>
      <c r="B277" s="248">
        <f t="shared" si="25"/>
        <v>0</v>
      </c>
      <c r="C277" s="248">
        <f t="shared" si="26"/>
        <v>0</v>
      </c>
      <c r="D277" s="248">
        <f t="shared" si="27"/>
        <v>0</v>
      </c>
      <c r="E277" s="248">
        <f t="shared" si="28"/>
        <v>0</v>
      </c>
      <c r="F277" s="247"/>
      <c r="G277" s="249">
        <v>214</v>
      </c>
      <c r="H277" s="248">
        <f t="shared" si="29"/>
        <v>0</v>
      </c>
      <c r="I277" s="248">
        <f t="shared" si="30"/>
        <v>0</v>
      </c>
      <c r="J277" s="248">
        <f t="shared" si="31"/>
        <v>0</v>
      </c>
      <c r="K277" s="248">
        <f t="shared" si="32"/>
        <v>0</v>
      </c>
      <c r="L277" s="247"/>
    </row>
    <row r="278" spans="1:12">
      <c r="A278" s="249">
        <v>215</v>
      </c>
      <c r="B278" s="248">
        <f t="shared" si="25"/>
        <v>0</v>
      </c>
      <c r="C278" s="248">
        <f t="shared" si="26"/>
        <v>0</v>
      </c>
      <c r="D278" s="248">
        <f t="shared" si="27"/>
        <v>0</v>
      </c>
      <c r="E278" s="248">
        <f t="shared" si="28"/>
        <v>0</v>
      </c>
      <c r="F278" s="247"/>
      <c r="G278" s="249">
        <v>215</v>
      </c>
      <c r="H278" s="248">
        <f t="shared" si="29"/>
        <v>0</v>
      </c>
      <c r="I278" s="248">
        <f t="shared" si="30"/>
        <v>0</v>
      </c>
      <c r="J278" s="248">
        <f t="shared" si="31"/>
        <v>0</v>
      </c>
      <c r="K278" s="248">
        <f t="shared" si="32"/>
        <v>0</v>
      </c>
      <c r="L278" s="247"/>
    </row>
    <row r="279" spans="1:12">
      <c r="A279" s="249">
        <v>216</v>
      </c>
      <c r="B279" s="248">
        <f t="shared" si="25"/>
        <v>0</v>
      </c>
      <c r="C279" s="248">
        <f t="shared" si="26"/>
        <v>0</v>
      </c>
      <c r="D279" s="248">
        <f t="shared" si="27"/>
        <v>0</v>
      </c>
      <c r="E279" s="248">
        <f t="shared" si="28"/>
        <v>0</v>
      </c>
      <c r="F279" s="247">
        <v>18</v>
      </c>
      <c r="G279" s="249">
        <v>216</v>
      </c>
      <c r="H279" s="248">
        <f t="shared" si="29"/>
        <v>0</v>
      </c>
      <c r="I279" s="248">
        <f t="shared" si="30"/>
        <v>0</v>
      </c>
      <c r="J279" s="248">
        <f t="shared" si="31"/>
        <v>0</v>
      </c>
      <c r="K279" s="248">
        <f t="shared" si="32"/>
        <v>0</v>
      </c>
      <c r="L279" s="247">
        <v>18</v>
      </c>
    </row>
    <row r="280" spans="1:12">
      <c r="A280" s="249">
        <v>217</v>
      </c>
      <c r="B280" s="248">
        <f t="shared" si="25"/>
        <v>0</v>
      </c>
      <c r="C280" s="248">
        <f t="shared" si="26"/>
        <v>0</v>
      </c>
      <c r="D280" s="248">
        <f t="shared" si="27"/>
        <v>0</v>
      </c>
      <c r="E280" s="248">
        <f t="shared" si="28"/>
        <v>0</v>
      </c>
      <c r="F280" s="247"/>
      <c r="G280" s="249">
        <v>217</v>
      </c>
      <c r="H280" s="248">
        <f t="shared" si="29"/>
        <v>0</v>
      </c>
      <c r="I280" s="248">
        <f t="shared" si="30"/>
        <v>0</v>
      </c>
      <c r="J280" s="248">
        <f t="shared" si="31"/>
        <v>0</v>
      </c>
      <c r="K280" s="248">
        <f t="shared" si="32"/>
        <v>0</v>
      </c>
      <c r="L280" s="247"/>
    </row>
    <row r="281" spans="1:12">
      <c r="A281" s="249">
        <v>218</v>
      </c>
      <c r="B281" s="248">
        <f t="shared" si="25"/>
        <v>0</v>
      </c>
      <c r="C281" s="248">
        <f t="shared" si="26"/>
        <v>0</v>
      </c>
      <c r="D281" s="248">
        <f t="shared" si="27"/>
        <v>0</v>
      </c>
      <c r="E281" s="248">
        <f t="shared" si="28"/>
        <v>0</v>
      </c>
      <c r="F281" s="247"/>
      <c r="G281" s="249">
        <v>218</v>
      </c>
      <c r="H281" s="248">
        <f t="shared" si="29"/>
        <v>0</v>
      </c>
      <c r="I281" s="248">
        <f t="shared" si="30"/>
        <v>0</v>
      </c>
      <c r="J281" s="248">
        <f t="shared" si="31"/>
        <v>0</v>
      </c>
      <c r="K281" s="248">
        <f t="shared" si="32"/>
        <v>0</v>
      </c>
      <c r="L281" s="247"/>
    </row>
    <row r="282" spans="1:12">
      <c r="A282" s="249">
        <v>219</v>
      </c>
      <c r="B282" s="248">
        <f t="shared" si="25"/>
        <v>0</v>
      </c>
      <c r="C282" s="248">
        <f t="shared" si="26"/>
        <v>0</v>
      </c>
      <c r="D282" s="248">
        <f t="shared" si="27"/>
        <v>0</v>
      </c>
      <c r="E282" s="248">
        <f t="shared" si="28"/>
        <v>0</v>
      </c>
      <c r="F282" s="247"/>
      <c r="G282" s="249">
        <v>219</v>
      </c>
      <c r="H282" s="248">
        <f t="shared" si="29"/>
        <v>0</v>
      </c>
      <c r="I282" s="248">
        <f t="shared" si="30"/>
        <v>0</v>
      </c>
      <c r="J282" s="248">
        <f t="shared" si="31"/>
        <v>0</v>
      </c>
      <c r="K282" s="248">
        <f t="shared" si="32"/>
        <v>0</v>
      </c>
      <c r="L282" s="247"/>
    </row>
    <row r="283" spans="1:12">
      <c r="A283" s="249">
        <v>220</v>
      </c>
      <c r="B283" s="248">
        <f t="shared" si="25"/>
        <v>0</v>
      </c>
      <c r="C283" s="248">
        <f t="shared" si="26"/>
        <v>0</v>
      </c>
      <c r="D283" s="248">
        <f t="shared" si="27"/>
        <v>0</v>
      </c>
      <c r="E283" s="248">
        <f t="shared" si="28"/>
        <v>0</v>
      </c>
      <c r="F283" s="247"/>
      <c r="G283" s="249">
        <v>220</v>
      </c>
      <c r="H283" s="248">
        <f t="shared" si="29"/>
        <v>0</v>
      </c>
      <c r="I283" s="248">
        <f t="shared" si="30"/>
        <v>0</v>
      </c>
      <c r="J283" s="248">
        <f t="shared" si="31"/>
        <v>0</v>
      </c>
      <c r="K283" s="248">
        <f t="shared" si="32"/>
        <v>0</v>
      </c>
      <c r="L283" s="247"/>
    </row>
    <row r="284" spans="1:12">
      <c r="A284" s="249">
        <v>221</v>
      </c>
      <c r="B284" s="248">
        <f t="shared" si="25"/>
        <v>0</v>
      </c>
      <c r="C284" s="248">
        <f t="shared" si="26"/>
        <v>0</v>
      </c>
      <c r="D284" s="248">
        <f t="shared" si="27"/>
        <v>0</v>
      </c>
      <c r="E284" s="248">
        <f t="shared" si="28"/>
        <v>0</v>
      </c>
      <c r="F284" s="247"/>
      <c r="G284" s="249">
        <v>221</v>
      </c>
      <c r="H284" s="248">
        <f t="shared" si="29"/>
        <v>0</v>
      </c>
      <c r="I284" s="248">
        <f t="shared" si="30"/>
        <v>0</v>
      </c>
      <c r="J284" s="248">
        <f t="shared" si="31"/>
        <v>0</v>
      </c>
      <c r="K284" s="248">
        <f t="shared" si="32"/>
        <v>0</v>
      </c>
      <c r="L284" s="247"/>
    </row>
    <row r="285" spans="1:12">
      <c r="A285" s="249">
        <v>222</v>
      </c>
      <c r="B285" s="248">
        <f t="shared" si="25"/>
        <v>0</v>
      </c>
      <c r="C285" s="248">
        <f t="shared" si="26"/>
        <v>0</v>
      </c>
      <c r="D285" s="248">
        <f t="shared" si="27"/>
        <v>0</v>
      </c>
      <c r="E285" s="248">
        <f t="shared" si="28"/>
        <v>0</v>
      </c>
      <c r="F285" s="247"/>
      <c r="G285" s="249">
        <v>222</v>
      </c>
      <c r="H285" s="248">
        <f t="shared" si="29"/>
        <v>0</v>
      </c>
      <c r="I285" s="248">
        <f t="shared" si="30"/>
        <v>0</v>
      </c>
      <c r="J285" s="248">
        <f t="shared" si="31"/>
        <v>0</v>
      </c>
      <c r="K285" s="248">
        <f t="shared" si="32"/>
        <v>0</v>
      </c>
      <c r="L285" s="247"/>
    </row>
    <row r="286" spans="1:12">
      <c r="A286" s="249">
        <v>223</v>
      </c>
      <c r="B286" s="248">
        <f t="shared" si="25"/>
        <v>0</v>
      </c>
      <c r="C286" s="248">
        <f t="shared" si="26"/>
        <v>0</v>
      </c>
      <c r="D286" s="248">
        <f t="shared" si="27"/>
        <v>0</v>
      </c>
      <c r="E286" s="248">
        <f t="shared" si="28"/>
        <v>0</v>
      </c>
      <c r="F286" s="247"/>
      <c r="G286" s="249">
        <v>223</v>
      </c>
      <c r="H286" s="248">
        <f t="shared" si="29"/>
        <v>0</v>
      </c>
      <c r="I286" s="248">
        <f t="shared" si="30"/>
        <v>0</v>
      </c>
      <c r="J286" s="248">
        <f t="shared" si="31"/>
        <v>0</v>
      </c>
      <c r="K286" s="248">
        <f t="shared" si="32"/>
        <v>0</v>
      </c>
      <c r="L286" s="247"/>
    </row>
    <row r="287" spans="1:12">
      <c r="A287" s="249">
        <v>224</v>
      </c>
      <c r="B287" s="248">
        <f t="shared" si="25"/>
        <v>0</v>
      </c>
      <c r="C287" s="248">
        <f t="shared" si="26"/>
        <v>0</v>
      </c>
      <c r="D287" s="248">
        <f t="shared" si="27"/>
        <v>0</v>
      </c>
      <c r="E287" s="248">
        <f t="shared" si="28"/>
        <v>0</v>
      </c>
      <c r="F287" s="247"/>
      <c r="G287" s="249">
        <v>224</v>
      </c>
      <c r="H287" s="248">
        <f t="shared" si="29"/>
        <v>0</v>
      </c>
      <c r="I287" s="248">
        <f t="shared" si="30"/>
        <v>0</v>
      </c>
      <c r="J287" s="248">
        <f t="shared" si="31"/>
        <v>0</v>
      </c>
      <c r="K287" s="248">
        <f t="shared" si="32"/>
        <v>0</v>
      </c>
      <c r="L287" s="247"/>
    </row>
    <row r="288" spans="1:12">
      <c r="A288" s="249">
        <v>225</v>
      </c>
      <c r="B288" s="248">
        <f t="shared" si="25"/>
        <v>0</v>
      </c>
      <c r="C288" s="248">
        <f t="shared" si="26"/>
        <v>0</v>
      </c>
      <c r="D288" s="248">
        <f t="shared" si="27"/>
        <v>0</v>
      </c>
      <c r="E288" s="248">
        <f t="shared" si="28"/>
        <v>0</v>
      </c>
      <c r="F288" s="247"/>
      <c r="G288" s="249">
        <v>225</v>
      </c>
      <c r="H288" s="248">
        <f t="shared" si="29"/>
        <v>0</v>
      </c>
      <c r="I288" s="248">
        <f t="shared" si="30"/>
        <v>0</v>
      </c>
      <c r="J288" s="248">
        <f t="shared" si="31"/>
        <v>0</v>
      </c>
      <c r="K288" s="248">
        <f t="shared" si="32"/>
        <v>0</v>
      </c>
      <c r="L288" s="247"/>
    </row>
    <row r="289" spans="1:12">
      <c r="A289" s="249">
        <v>226</v>
      </c>
      <c r="B289" s="248">
        <f t="shared" si="25"/>
        <v>0</v>
      </c>
      <c r="C289" s="248">
        <f t="shared" si="26"/>
        <v>0</v>
      </c>
      <c r="D289" s="248">
        <f t="shared" si="27"/>
        <v>0</v>
      </c>
      <c r="E289" s="248">
        <f t="shared" si="28"/>
        <v>0</v>
      </c>
      <c r="F289" s="247"/>
      <c r="G289" s="249">
        <v>226</v>
      </c>
      <c r="H289" s="248">
        <f t="shared" si="29"/>
        <v>0</v>
      </c>
      <c r="I289" s="248">
        <f t="shared" si="30"/>
        <v>0</v>
      </c>
      <c r="J289" s="248">
        <f t="shared" si="31"/>
        <v>0</v>
      </c>
      <c r="K289" s="248">
        <f t="shared" si="32"/>
        <v>0</v>
      </c>
      <c r="L289" s="247"/>
    </row>
    <row r="290" spans="1:12">
      <c r="A290" s="249">
        <v>227</v>
      </c>
      <c r="B290" s="248">
        <f t="shared" si="25"/>
        <v>0</v>
      </c>
      <c r="C290" s="248">
        <f t="shared" si="26"/>
        <v>0</v>
      </c>
      <c r="D290" s="248">
        <f t="shared" si="27"/>
        <v>0</v>
      </c>
      <c r="E290" s="248">
        <f t="shared" si="28"/>
        <v>0</v>
      </c>
      <c r="F290" s="247"/>
      <c r="G290" s="249">
        <v>227</v>
      </c>
      <c r="H290" s="248">
        <f t="shared" si="29"/>
        <v>0</v>
      </c>
      <c r="I290" s="248">
        <f t="shared" si="30"/>
        <v>0</v>
      </c>
      <c r="J290" s="248">
        <f t="shared" si="31"/>
        <v>0</v>
      </c>
      <c r="K290" s="248">
        <f t="shared" si="32"/>
        <v>0</v>
      </c>
      <c r="L290" s="247"/>
    </row>
    <row r="291" spans="1:12">
      <c r="A291" s="249">
        <v>228</v>
      </c>
      <c r="B291" s="248">
        <f t="shared" si="25"/>
        <v>0</v>
      </c>
      <c r="C291" s="248">
        <f t="shared" si="26"/>
        <v>0</v>
      </c>
      <c r="D291" s="248">
        <f t="shared" si="27"/>
        <v>0</v>
      </c>
      <c r="E291" s="248">
        <f t="shared" si="28"/>
        <v>0</v>
      </c>
      <c r="F291" s="247">
        <v>19</v>
      </c>
      <c r="G291" s="249">
        <v>228</v>
      </c>
      <c r="H291" s="248">
        <f t="shared" si="29"/>
        <v>0</v>
      </c>
      <c r="I291" s="248">
        <f t="shared" si="30"/>
        <v>0</v>
      </c>
      <c r="J291" s="248">
        <f t="shared" si="31"/>
        <v>0</v>
      </c>
      <c r="K291" s="248">
        <f t="shared" si="32"/>
        <v>0</v>
      </c>
      <c r="L291" s="247">
        <v>19</v>
      </c>
    </row>
    <row r="292" spans="1:12">
      <c r="A292" s="249">
        <v>229</v>
      </c>
      <c r="B292" s="248">
        <f t="shared" si="25"/>
        <v>0</v>
      </c>
      <c r="C292" s="248">
        <f t="shared" si="26"/>
        <v>0</v>
      </c>
      <c r="D292" s="248">
        <f t="shared" si="27"/>
        <v>0</v>
      </c>
      <c r="E292" s="248">
        <f t="shared" si="28"/>
        <v>0</v>
      </c>
      <c r="F292" s="247"/>
      <c r="G292" s="249">
        <v>229</v>
      </c>
      <c r="H292" s="248">
        <f t="shared" si="29"/>
        <v>0</v>
      </c>
      <c r="I292" s="248">
        <f t="shared" si="30"/>
        <v>0</v>
      </c>
      <c r="J292" s="248">
        <f t="shared" si="31"/>
        <v>0</v>
      </c>
      <c r="K292" s="248">
        <f t="shared" si="32"/>
        <v>0</v>
      </c>
      <c r="L292" s="247"/>
    </row>
    <row r="293" spans="1:12">
      <c r="A293" s="249">
        <v>230</v>
      </c>
      <c r="B293" s="248">
        <f t="shared" si="25"/>
        <v>0</v>
      </c>
      <c r="C293" s="248">
        <f t="shared" si="26"/>
        <v>0</v>
      </c>
      <c r="D293" s="248">
        <f t="shared" si="27"/>
        <v>0</v>
      </c>
      <c r="E293" s="248">
        <f t="shared" si="28"/>
        <v>0</v>
      </c>
      <c r="F293" s="247"/>
      <c r="G293" s="249">
        <v>230</v>
      </c>
      <c r="H293" s="248">
        <f t="shared" si="29"/>
        <v>0</v>
      </c>
      <c r="I293" s="248">
        <f t="shared" si="30"/>
        <v>0</v>
      </c>
      <c r="J293" s="248">
        <f t="shared" si="31"/>
        <v>0</v>
      </c>
      <c r="K293" s="248">
        <f t="shared" si="32"/>
        <v>0</v>
      </c>
      <c r="L293" s="247"/>
    </row>
    <row r="294" spans="1:12">
      <c r="A294" s="249">
        <v>231</v>
      </c>
      <c r="B294" s="248">
        <f t="shared" si="25"/>
        <v>0</v>
      </c>
      <c r="C294" s="248">
        <f t="shared" si="26"/>
        <v>0</v>
      </c>
      <c r="D294" s="248">
        <f t="shared" si="27"/>
        <v>0</v>
      </c>
      <c r="E294" s="248">
        <f t="shared" si="28"/>
        <v>0</v>
      </c>
      <c r="F294" s="247"/>
      <c r="G294" s="249">
        <v>231</v>
      </c>
      <c r="H294" s="248">
        <f t="shared" si="29"/>
        <v>0</v>
      </c>
      <c r="I294" s="248">
        <f t="shared" si="30"/>
        <v>0</v>
      </c>
      <c r="J294" s="248">
        <f t="shared" si="31"/>
        <v>0</v>
      </c>
      <c r="K294" s="248">
        <f t="shared" si="32"/>
        <v>0</v>
      </c>
      <c r="L294" s="247"/>
    </row>
    <row r="295" spans="1:12">
      <c r="A295" s="249">
        <v>232</v>
      </c>
      <c r="B295" s="248">
        <f t="shared" si="25"/>
        <v>0</v>
      </c>
      <c r="C295" s="248">
        <f t="shared" si="26"/>
        <v>0</v>
      </c>
      <c r="D295" s="248">
        <f t="shared" si="27"/>
        <v>0</v>
      </c>
      <c r="E295" s="248">
        <f t="shared" si="28"/>
        <v>0</v>
      </c>
      <c r="F295" s="247"/>
      <c r="G295" s="249">
        <v>232</v>
      </c>
      <c r="H295" s="248">
        <f t="shared" si="29"/>
        <v>0</v>
      </c>
      <c r="I295" s="248">
        <f t="shared" si="30"/>
        <v>0</v>
      </c>
      <c r="J295" s="248">
        <f t="shared" si="31"/>
        <v>0</v>
      </c>
      <c r="K295" s="248">
        <f t="shared" si="32"/>
        <v>0</v>
      </c>
      <c r="L295" s="247"/>
    </row>
    <row r="296" spans="1:12">
      <c r="A296" s="249">
        <v>233</v>
      </c>
      <c r="B296" s="248">
        <f t="shared" si="25"/>
        <v>0</v>
      </c>
      <c r="C296" s="248">
        <f t="shared" si="26"/>
        <v>0</v>
      </c>
      <c r="D296" s="248">
        <f t="shared" si="27"/>
        <v>0</v>
      </c>
      <c r="E296" s="248">
        <f t="shared" si="28"/>
        <v>0</v>
      </c>
      <c r="F296" s="247"/>
      <c r="G296" s="249">
        <v>233</v>
      </c>
      <c r="H296" s="248">
        <f t="shared" si="29"/>
        <v>0</v>
      </c>
      <c r="I296" s="248">
        <f t="shared" si="30"/>
        <v>0</v>
      </c>
      <c r="J296" s="248">
        <f t="shared" si="31"/>
        <v>0</v>
      </c>
      <c r="K296" s="248">
        <f t="shared" si="32"/>
        <v>0</v>
      </c>
      <c r="L296" s="247"/>
    </row>
    <row r="297" spans="1:12">
      <c r="A297" s="249">
        <v>234</v>
      </c>
      <c r="B297" s="248">
        <f t="shared" si="25"/>
        <v>0</v>
      </c>
      <c r="C297" s="248">
        <f t="shared" si="26"/>
        <v>0</v>
      </c>
      <c r="D297" s="248">
        <f t="shared" si="27"/>
        <v>0</v>
      </c>
      <c r="E297" s="248">
        <f t="shared" si="28"/>
        <v>0</v>
      </c>
      <c r="F297" s="247"/>
      <c r="G297" s="249">
        <v>234</v>
      </c>
      <c r="H297" s="248">
        <f t="shared" si="29"/>
        <v>0</v>
      </c>
      <c r="I297" s="248">
        <f t="shared" si="30"/>
        <v>0</v>
      </c>
      <c r="J297" s="248">
        <f t="shared" si="31"/>
        <v>0</v>
      </c>
      <c r="K297" s="248">
        <f t="shared" si="32"/>
        <v>0</v>
      </c>
      <c r="L297" s="247"/>
    </row>
    <row r="298" spans="1:12">
      <c r="A298" s="249">
        <v>235</v>
      </c>
      <c r="B298" s="248">
        <f t="shared" si="25"/>
        <v>0</v>
      </c>
      <c r="C298" s="248">
        <f t="shared" si="26"/>
        <v>0</v>
      </c>
      <c r="D298" s="248">
        <f t="shared" si="27"/>
        <v>0</v>
      </c>
      <c r="E298" s="248">
        <f t="shared" si="28"/>
        <v>0</v>
      </c>
      <c r="F298" s="247"/>
      <c r="G298" s="249">
        <v>235</v>
      </c>
      <c r="H298" s="248">
        <f t="shared" si="29"/>
        <v>0</v>
      </c>
      <c r="I298" s="248">
        <f t="shared" si="30"/>
        <v>0</v>
      </c>
      <c r="J298" s="248">
        <f t="shared" si="31"/>
        <v>0</v>
      </c>
      <c r="K298" s="248">
        <f t="shared" si="32"/>
        <v>0</v>
      </c>
      <c r="L298" s="247"/>
    </row>
    <row r="299" spans="1:12">
      <c r="A299" s="249">
        <v>236</v>
      </c>
      <c r="B299" s="248">
        <f t="shared" si="25"/>
        <v>0</v>
      </c>
      <c r="C299" s="248">
        <f t="shared" si="26"/>
        <v>0</v>
      </c>
      <c r="D299" s="248">
        <f t="shared" si="27"/>
        <v>0</v>
      </c>
      <c r="E299" s="248">
        <f t="shared" si="28"/>
        <v>0</v>
      </c>
      <c r="F299" s="247"/>
      <c r="G299" s="249">
        <v>236</v>
      </c>
      <c r="H299" s="248">
        <f t="shared" si="29"/>
        <v>0</v>
      </c>
      <c r="I299" s="248">
        <f t="shared" si="30"/>
        <v>0</v>
      </c>
      <c r="J299" s="248">
        <f t="shared" si="31"/>
        <v>0</v>
      </c>
      <c r="K299" s="248">
        <f t="shared" si="32"/>
        <v>0</v>
      </c>
      <c r="L299" s="247"/>
    </row>
    <row r="300" spans="1:12">
      <c r="A300" s="249">
        <v>237</v>
      </c>
      <c r="B300" s="248">
        <f t="shared" si="25"/>
        <v>0</v>
      </c>
      <c r="C300" s="248">
        <f t="shared" si="26"/>
        <v>0</v>
      </c>
      <c r="D300" s="248">
        <f t="shared" si="27"/>
        <v>0</v>
      </c>
      <c r="E300" s="248">
        <f t="shared" si="28"/>
        <v>0</v>
      </c>
      <c r="F300" s="247"/>
      <c r="G300" s="249">
        <v>237</v>
      </c>
      <c r="H300" s="248">
        <f t="shared" si="29"/>
        <v>0</v>
      </c>
      <c r="I300" s="248">
        <f t="shared" si="30"/>
        <v>0</v>
      </c>
      <c r="J300" s="248">
        <f t="shared" si="31"/>
        <v>0</v>
      </c>
      <c r="K300" s="248">
        <f t="shared" si="32"/>
        <v>0</v>
      </c>
      <c r="L300" s="247"/>
    </row>
    <row r="301" spans="1:12">
      <c r="A301" s="249">
        <v>238</v>
      </c>
      <c r="B301" s="248">
        <f t="shared" si="25"/>
        <v>0</v>
      </c>
      <c r="C301" s="248">
        <f t="shared" si="26"/>
        <v>0</v>
      </c>
      <c r="D301" s="248">
        <f t="shared" si="27"/>
        <v>0</v>
      </c>
      <c r="E301" s="248">
        <f t="shared" si="28"/>
        <v>0</v>
      </c>
      <c r="F301" s="247"/>
      <c r="G301" s="249">
        <v>238</v>
      </c>
      <c r="H301" s="248">
        <f t="shared" si="29"/>
        <v>0</v>
      </c>
      <c r="I301" s="248">
        <f t="shared" si="30"/>
        <v>0</v>
      </c>
      <c r="J301" s="248">
        <f t="shared" si="31"/>
        <v>0</v>
      </c>
      <c r="K301" s="248">
        <f t="shared" si="32"/>
        <v>0</v>
      </c>
      <c r="L301" s="247"/>
    </row>
    <row r="302" spans="1:12">
      <c r="A302" s="249">
        <v>239</v>
      </c>
      <c r="B302" s="248">
        <f t="shared" si="25"/>
        <v>0</v>
      </c>
      <c r="C302" s="248">
        <f t="shared" si="26"/>
        <v>0</v>
      </c>
      <c r="D302" s="248">
        <f t="shared" si="27"/>
        <v>0</v>
      </c>
      <c r="E302" s="248">
        <f t="shared" si="28"/>
        <v>0</v>
      </c>
      <c r="F302" s="247"/>
      <c r="G302" s="249">
        <v>239</v>
      </c>
      <c r="H302" s="248">
        <f t="shared" si="29"/>
        <v>0</v>
      </c>
      <c r="I302" s="248">
        <f t="shared" si="30"/>
        <v>0</v>
      </c>
      <c r="J302" s="248">
        <f t="shared" si="31"/>
        <v>0</v>
      </c>
      <c r="K302" s="248">
        <f t="shared" si="32"/>
        <v>0</v>
      </c>
      <c r="L302" s="247"/>
    </row>
    <row r="303" spans="1:12">
      <c r="A303" s="249">
        <v>240</v>
      </c>
      <c r="B303" s="248">
        <f t="shared" si="25"/>
        <v>0</v>
      </c>
      <c r="C303" s="248">
        <f t="shared" si="26"/>
        <v>0</v>
      </c>
      <c r="D303" s="248">
        <f t="shared" si="27"/>
        <v>0</v>
      </c>
      <c r="E303" s="248">
        <f t="shared" si="28"/>
        <v>0</v>
      </c>
      <c r="F303" s="247">
        <v>20</v>
      </c>
      <c r="G303" s="249">
        <v>240</v>
      </c>
      <c r="H303" s="248">
        <f t="shared" si="29"/>
        <v>0</v>
      </c>
      <c r="I303" s="248">
        <f t="shared" si="30"/>
        <v>0</v>
      </c>
      <c r="J303" s="248">
        <f t="shared" si="31"/>
        <v>0</v>
      </c>
      <c r="K303" s="248">
        <f t="shared" si="32"/>
        <v>0</v>
      </c>
      <c r="L303" s="247">
        <v>20</v>
      </c>
    </row>
    <row r="304" spans="1:12">
      <c r="A304" s="249">
        <v>241</v>
      </c>
      <c r="B304" s="248">
        <f t="shared" si="25"/>
        <v>0</v>
      </c>
      <c r="C304" s="248">
        <f t="shared" si="26"/>
        <v>0</v>
      </c>
      <c r="D304" s="248">
        <f t="shared" si="27"/>
        <v>0</v>
      </c>
      <c r="E304" s="248">
        <f t="shared" si="28"/>
        <v>0</v>
      </c>
      <c r="F304" s="247"/>
      <c r="G304" s="249">
        <v>241</v>
      </c>
      <c r="H304" s="248">
        <f t="shared" si="29"/>
        <v>0</v>
      </c>
      <c r="I304" s="248">
        <f t="shared" si="30"/>
        <v>0</v>
      </c>
      <c r="J304" s="248">
        <f t="shared" si="31"/>
        <v>0</v>
      </c>
      <c r="K304" s="248">
        <f t="shared" si="32"/>
        <v>0</v>
      </c>
      <c r="L304" s="247"/>
    </row>
    <row r="305" spans="1:12">
      <c r="A305" s="249">
        <v>242</v>
      </c>
      <c r="B305" s="248">
        <f t="shared" si="25"/>
        <v>0</v>
      </c>
      <c r="C305" s="248">
        <f t="shared" si="26"/>
        <v>0</v>
      </c>
      <c r="D305" s="248">
        <f t="shared" si="27"/>
        <v>0</v>
      </c>
      <c r="E305" s="248">
        <f t="shared" si="28"/>
        <v>0</v>
      </c>
      <c r="F305" s="247"/>
      <c r="G305" s="249">
        <v>242</v>
      </c>
      <c r="H305" s="248">
        <f t="shared" si="29"/>
        <v>0</v>
      </c>
      <c r="I305" s="248">
        <f t="shared" si="30"/>
        <v>0</v>
      </c>
      <c r="J305" s="248">
        <f t="shared" si="31"/>
        <v>0</v>
      </c>
      <c r="K305" s="248">
        <f t="shared" si="32"/>
        <v>0</v>
      </c>
      <c r="L305" s="247"/>
    </row>
    <row r="306" spans="1:12">
      <c r="A306" s="249">
        <v>243</v>
      </c>
      <c r="B306" s="248">
        <f t="shared" si="25"/>
        <v>0</v>
      </c>
      <c r="C306" s="248">
        <f t="shared" si="26"/>
        <v>0</v>
      </c>
      <c r="D306" s="248">
        <f t="shared" si="27"/>
        <v>0</v>
      </c>
      <c r="E306" s="248">
        <f t="shared" si="28"/>
        <v>0</v>
      </c>
      <c r="F306" s="247"/>
      <c r="G306" s="249">
        <v>243</v>
      </c>
      <c r="H306" s="248">
        <f t="shared" si="29"/>
        <v>0</v>
      </c>
      <c r="I306" s="248">
        <f t="shared" si="30"/>
        <v>0</v>
      </c>
      <c r="J306" s="248">
        <f t="shared" si="31"/>
        <v>0</v>
      </c>
      <c r="K306" s="248">
        <f t="shared" si="32"/>
        <v>0</v>
      </c>
      <c r="L306" s="247"/>
    </row>
    <row r="307" spans="1:12">
      <c r="A307" s="249">
        <v>244</v>
      </c>
      <c r="B307" s="248">
        <f t="shared" si="25"/>
        <v>0</v>
      </c>
      <c r="C307" s="248">
        <f t="shared" si="26"/>
        <v>0</v>
      </c>
      <c r="D307" s="248">
        <f t="shared" si="27"/>
        <v>0</v>
      </c>
      <c r="E307" s="248">
        <f t="shared" si="28"/>
        <v>0</v>
      </c>
      <c r="F307" s="247"/>
      <c r="G307" s="249">
        <v>244</v>
      </c>
      <c r="H307" s="248">
        <f t="shared" si="29"/>
        <v>0</v>
      </c>
      <c r="I307" s="248">
        <f t="shared" si="30"/>
        <v>0</v>
      </c>
      <c r="J307" s="248">
        <f t="shared" si="31"/>
        <v>0</v>
      </c>
      <c r="K307" s="248">
        <f t="shared" si="32"/>
        <v>0</v>
      </c>
      <c r="L307" s="247"/>
    </row>
    <row r="308" spans="1:12">
      <c r="A308" s="249">
        <v>245</v>
      </c>
      <c r="B308" s="248">
        <f t="shared" si="25"/>
        <v>0</v>
      </c>
      <c r="C308" s="248">
        <f t="shared" si="26"/>
        <v>0</v>
      </c>
      <c r="D308" s="248">
        <f t="shared" si="27"/>
        <v>0</v>
      </c>
      <c r="E308" s="248">
        <f t="shared" si="28"/>
        <v>0</v>
      </c>
      <c r="F308" s="247"/>
      <c r="G308" s="249">
        <v>245</v>
      </c>
      <c r="H308" s="248">
        <f t="shared" si="29"/>
        <v>0</v>
      </c>
      <c r="I308" s="248">
        <f t="shared" si="30"/>
        <v>0</v>
      </c>
      <c r="J308" s="248">
        <f t="shared" si="31"/>
        <v>0</v>
      </c>
      <c r="K308" s="248">
        <f t="shared" si="32"/>
        <v>0</v>
      </c>
      <c r="L308" s="247"/>
    </row>
    <row r="309" spans="1:12">
      <c r="A309" s="249">
        <v>246</v>
      </c>
      <c r="B309" s="248">
        <f t="shared" si="25"/>
        <v>0</v>
      </c>
      <c r="C309" s="248">
        <f t="shared" si="26"/>
        <v>0</v>
      </c>
      <c r="D309" s="248">
        <f t="shared" si="27"/>
        <v>0</v>
      </c>
      <c r="E309" s="248">
        <f t="shared" si="28"/>
        <v>0</v>
      </c>
      <c r="F309" s="247"/>
      <c r="G309" s="249">
        <v>246</v>
      </c>
      <c r="H309" s="248">
        <f t="shared" si="29"/>
        <v>0</v>
      </c>
      <c r="I309" s="248">
        <f t="shared" si="30"/>
        <v>0</v>
      </c>
      <c r="J309" s="248">
        <f t="shared" si="31"/>
        <v>0</v>
      </c>
      <c r="K309" s="248">
        <f t="shared" si="32"/>
        <v>0</v>
      </c>
      <c r="L309" s="247"/>
    </row>
    <row r="310" spans="1:12">
      <c r="A310" s="249">
        <v>247</v>
      </c>
      <c r="B310" s="248">
        <f t="shared" si="25"/>
        <v>0</v>
      </c>
      <c r="C310" s="248">
        <f t="shared" si="26"/>
        <v>0</v>
      </c>
      <c r="D310" s="248">
        <f t="shared" si="27"/>
        <v>0</v>
      </c>
      <c r="E310" s="248">
        <f t="shared" si="28"/>
        <v>0</v>
      </c>
      <c r="F310" s="247"/>
      <c r="G310" s="249">
        <v>247</v>
      </c>
      <c r="H310" s="248">
        <f t="shared" si="29"/>
        <v>0</v>
      </c>
      <c r="I310" s="248">
        <f t="shared" si="30"/>
        <v>0</v>
      </c>
      <c r="J310" s="248">
        <f t="shared" si="31"/>
        <v>0</v>
      </c>
      <c r="K310" s="248">
        <f t="shared" si="32"/>
        <v>0</v>
      </c>
      <c r="L310" s="247"/>
    </row>
    <row r="311" spans="1:12">
      <c r="A311" s="249">
        <v>248</v>
      </c>
      <c r="B311" s="248">
        <f t="shared" si="25"/>
        <v>0</v>
      </c>
      <c r="C311" s="248">
        <f t="shared" si="26"/>
        <v>0</v>
      </c>
      <c r="D311" s="248">
        <f t="shared" si="27"/>
        <v>0</v>
      </c>
      <c r="E311" s="248">
        <f t="shared" si="28"/>
        <v>0</v>
      </c>
      <c r="F311" s="247"/>
      <c r="G311" s="249">
        <v>248</v>
      </c>
      <c r="H311" s="248">
        <f t="shared" si="29"/>
        <v>0</v>
      </c>
      <c r="I311" s="248">
        <f t="shared" si="30"/>
        <v>0</v>
      </c>
      <c r="J311" s="248">
        <f t="shared" si="31"/>
        <v>0</v>
      </c>
      <c r="K311" s="248">
        <f t="shared" si="32"/>
        <v>0</v>
      </c>
      <c r="L311" s="247"/>
    </row>
    <row r="312" spans="1:12">
      <c r="A312" s="249">
        <v>249</v>
      </c>
      <c r="B312" s="248">
        <f t="shared" si="25"/>
        <v>0</v>
      </c>
      <c r="C312" s="248">
        <f t="shared" si="26"/>
        <v>0</v>
      </c>
      <c r="D312" s="248">
        <f t="shared" si="27"/>
        <v>0</v>
      </c>
      <c r="E312" s="248">
        <f t="shared" si="28"/>
        <v>0</v>
      </c>
      <c r="F312" s="247"/>
      <c r="G312" s="249">
        <v>249</v>
      </c>
      <c r="H312" s="248">
        <f t="shared" si="29"/>
        <v>0</v>
      </c>
      <c r="I312" s="248">
        <f t="shared" si="30"/>
        <v>0</v>
      </c>
      <c r="J312" s="248">
        <f t="shared" si="31"/>
        <v>0</v>
      </c>
      <c r="K312" s="248">
        <f t="shared" si="32"/>
        <v>0</v>
      </c>
      <c r="L312" s="247"/>
    </row>
    <row r="313" spans="1:12">
      <c r="A313" s="249">
        <v>250</v>
      </c>
      <c r="B313" s="248">
        <f t="shared" si="25"/>
        <v>0</v>
      </c>
      <c r="C313" s="248">
        <f t="shared" si="26"/>
        <v>0</v>
      </c>
      <c r="D313" s="248">
        <f t="shared" si="27"/>
        <v>0</v>
      </c>
      <c r="E313" s="248">
        <f t="shared" si="28"/>
        <v>0</v>
      </c>
      <c r="F313" s="247"/>
      <c r="G313" s="249">
        <v>250</v>
      </c>
      <c r="H313" s="248">
        <f t="shared" si="29"/>
        <v>0</v>
      </c>
      <c r="I313" s="248">
        <f t="shared" si="30"/>
        <v>0</v>
      </c>
      <c r="J313" s="248">
        <f t="shared" si="31"/>
        <v>0</v>
      </c>
      <c r="K313" s="248">
        <f t="shared" si="32"/>
        <v>0</v>
      </c>
      <c r="L313" s="247"/>
    </row>
    <row r="314" spans="1:12">
      <c r="A314" s="249">
        <v>251</v>
      </c>
      <c r="B314" s="248">
        <f t="shared" si="25"/>
        <v>0</v>
      </c>
      <c r="C314" s="248">
        <f t="shared" si="26"/>
        <v>0</v>
      </c>
      <c r="D314" s="248">
        <f t="shared" si="27"/>
        <v>0</v>
      </c>
      <c r="E314" s="248">
        <f t="shared" si="28"/>
        <v>0</v>
      </c>
      <c r="F314" s="247"/>
      <c r="G314" s="249">
        <v>251</v>
      </c>
      <c r="H314" s="248">
        <f t="shared" si="29"/>
        <v>0</v>
      </c>
      <c r="I314" s="248">
        <f t="shared" si="30"/>
        <v>0</v>
      </c>
      <c r="J314" s="248">
        <f t="shared" si="31"/>
        <v>0</v>
      </c>
      <c r="K314" s="248">
        <f t="shared" si="32"/>
        <v>0</v>
      </c>
      <c r="L314" s="247"/>
    </row>
    <row r="315" spans="1:12">
      <c r="A315" s="249">
        <v>252</v>
      </c>
      <c r="B315" s="248">
        <f t="shared" si="25"/>
        <v>0</v>
      </c>
      <c r="C315" s="248">
        <f t="shared" si="26"/>
        <v>0</v>
      </c>
      <c r="D315" s="248">
        <f t="shared" si="27"/>
        <v>0</v>
      </c>
      <c r="E315" s="248">
        <f t="shared" si="28"/>
        <v>0</v>
      </c>
      <c r="F315" s="247">
        <v>21</v>
      </c>
      <c r="G315" s="249">
        <v>252</v>
      </c>
      <c r="H315" s="248">
        <f t="shared" si="29"/>
        <v>0</v>
      </c>
      <c r="I315" s="248">
        <f t="shared" si="30"/>
        <v>0</v>
      </c>
      <c r="J315" s="248">
        <f t="shared" si="31"/>
        <v>0</v>
      </c>
      <c r="K315" s="248">
        <f t="shared" si="32"/>
        <v>0</v>
      </c>
      <c r="L315" s="247">
        <v>21</v>
      </c>
    </row>
    <row r="316" spans="1:12">
      <c r="A316" s="249">
        <v>253</v>
      </c>
      <c r="B316" s="248">
        <f t="shared" si="25"/>
        <v>0</v>
      </c>
      <c r="C316" s="248">
        <f t="shared" si="26"/>
        <v>0</v>
      </c>
      <c r="D316" s="248">
        <f t="shared" si="27"/>
        <v>0</v>
      </c>
      <c r="E316" s="248">
        <f t="shared" si="28"/>
        <v>0</v>
      </c>
      <c r="F316" s="247"/>
      <c r="G316" s="249">
        <v>253</v>
      </c>
      <c r="H316" s="248">
        <f t="shared" si="29"/>
        <v>0</v>
      </c>
      <c r="I316" s="248">
        <f t="shared" si="30"/>
        <v>0</v>
      </c>
      <c r="J316" s="248">
        <f t="shared" si="31"/>
        <v>0</v>
      </c>
      <c r="K316" s="248">
        <f t="shared" si="32"/>
        <v>0</v>
      </c>
      <c r="L316" s="247"/>
    </row>
    <row r="317" spans="1:12">
      <c r="A317" s="249">
        <v>254</v>
      </c>
      <c r="B317" s="248">
        <f t="shared" si="25"/>
        <v>0</v>
      </c>
      <c r="C317" s="248">
        <f t="shared" si="26"/>
        <v>0</v>
      </c>
      <c r="D317" s="248">
        <f t="shared" si="27"/>
        <v>0</v>
      </c>
      <c r="E317" s="248">
        <f t="shared" si="28"/>
        <v>0</v>
      </c>
      <c r="F317" s="247"/>
      <c r="G317" s="249">
        <v>254</v>
      </c>
      <c r="H317" s="248">
        <f t="shared" si="29"/>
        <v>0</v>
      </c>
      <c r="I317" s="248">
        <f t="shared" si="30"/>
        <v>0</v>
      </c>
      <c r="J317" s="248">
        <f t="shared" si="31"/>
        <v>0</v>
      </c>
      <c r="K317" s="248">
        <f t="shared" si="32"/>
        <v>0</v>
      </c>
      <c r="L317" s="247"/>
    </row>
    <row r="318" spans="1:12">
      <c r="A318" s="249">
        <v>255</v>
      </c>
      <c r="B318" s="248">
        <f t="shared" si="25"/>
        <v>0</v>
      </c>
      <c r="C318" s="248">
        <f t="shared" si="26"/>
        <v>0</v>
      </c>
      <c r="D318" s="248">
        <f t="shared" si="27"/>
        <v>0</v>
      </c>
      <c r="E318" s="248">
        <f t="shared" si="28"/>
        <v>0</v>
      </c>
      <c r="F318" s="247"/>
      <c r="G318" s="249">
        <v>255</v>
      </c>
      <c r="H318" s="248">
        <f t="shared" si="29"/>
        <v>0</v>
      </c>
      <c r="I318" s="248">
        <f t="shared" si="30"/>
        <v>0</v>
      </c>
      <c r="J318" s="248">
        <f t="shared" si="31"/>
        <v>0</v>
      </c>
      <c r="K318" s="248">
        <f t="shared" si="32"/>
        <v>0</v>
      </c>
      <c r="L318" s="247"/>
    </row>
    <row r="319" spans="1:12">
      <c r="A319" s="249">
        <v>256</v>
      </c>
      <c r="B319" s="248">
        <f t="shared" si="25"/>
        <v>0</v>
      </c>
      <c r="C319" s="248">
        <f t="shared" si="26"/>
        <v>0</v>
      </c>
      <c r="D319" s="248">
        <f t="shared" si="27"/>
        <v>0</v>
      </c>
      <c r="E319" s="248">
        <f t="shared" si="28"/>
        <v>0</v>
      </c>
      <c r="F319" s="247"/>
      <c r="G319" s="249">
        <v>256</v>
      </c>
      <c r="H319" s="248">
        <f t="shared" si="29"/>
        <v>0</v>
      </c>
      <c r="I319" s="248">
        <f t="shared" si="30"/>
        <v>0</v>
      </c>
      <c r="J319" s="248">
        <f t="shared" si="31"/>
        <v>0</v>
      </c>
      <c r="K319" s="248">
        <f t="shared" si="32"/>
        <v>0</v>
      </c>
      <c r="L319" s="247"/>
    </row>
    <row r="320" spans="1:12">
      <c r="A320" s="249">
        <v>257</v>
      </c>
      <c r="B320" s="248">
        <f t="shared" ref="B320:B383" si="33">IF(A320&gt;12*$C$9,0,IF($C$5&gt;1500000,$D$12,$C$12))</f>
        <v>0</v>
      </c>
      <c r="C320" s="248">
        <f t="shared" ref="C320:C383" si="34">IF(A320&gt;12*$C$9,0,E319*$C$7/12)</f>
        <v>0</v>
      </c>
      <c r="D320" s="248">
        <f t="shared" ref="D320:D383" si="35">IF(A320&gt;12*$C$9,0,B320-C320)</f>
        <v>0</v>
      </c>
      <c r="E320" s="248">
        <f t="shared" ref="E320:E383" si="36">IF(A320&gt;12*$C$9,0,E319-D320)</f>
        <v>0</v>
      </c>
      <c r="F320" s="247"/>
      <c r="G320" s="249">
        <v>257</v>
      </c>
      <c r="H320" s="248">
        <f t="shared" ref="H320:H383" si="37">IF(G320&gt;12*$C$9,0,IF($C$5&gt;1500000,$E$12,0))</f>
        <v>0</v>
      </c>
      <c r="I320" s="248">
        <f t="shared" ref="I320:I383" si="38">IF(G320&gt;12*$C$9,0,K319*$C$7/12)</f>
        <v>0</v>
      </c>
      <c r="J320" s="248">
        <f t="shared" ref="J320:J383" si="39">IF(G320&gt;12*$C$9,0,H320-I320)</f>
        <v>0</v>
      </c>
      <c r="K320" s="248">
        <f t="shared" ref="K320:K383" si="40">IF(G320&gt;12*$C$9,0,K319-J320)</f>
        <v>0</v>
      </c>
      <c r="L320" s="247"/>
    </row>
    <row r="321" spans="1:12">
      <c r="A321" s="249">
        <v>258</v>
      </c>
      <c r="B321" s="248">
        <f t="shared" si="33"/>
        <v>0</v>
      </c>
      <c r="C321" s="248">
        <f t="shared" si="34"/>
        <v>0</v>
      </c>
      <c r="D321" s="248">
        <f t="shared" si="35"/>
        <v>0</v>
      </c>
      <c r="E321" s="248">
        <f t="shared" si="36"/>
        <v>0</v>
      </c>
      <c r="F321" s="247"/>
      <c r="G321" s="249">
        <v>258</v>
      </c>
      <c r="H321" s="248">
        <f t="shared" si="37"/>
        <v>0</v>
      </c>
      <c r="I321" s="248">
        <f t="shared" si="38"/>
        <v>0</v>
      </c>
      <c r="J321" s="248">
        <f t="shared" si="39"/>
        <v>0</v>
      </c>
      <c r="K321" s="248">
        <f t="shared" si="40"/>
        <v>0</v>
      </c>
      <c r="L321" s="247"/>
    </row>
    <row r="322" spans="1:12">
      <c r="A322" s="249">
        <v>259</v>
      </c>
      <c r="B322" s="248">
        <f t="shared" si="33"/>
        <v>0</v>
      </c>
      <c r="C322" s="248">
        <f t="shared" si="34"/>
        <v>0</v>
      </c>
      <c r="D322" s="248">
        <f t="shared" si="35"/>
        <v>0</v>
      </c>
      <c r="E322" s="248">
        <f t="shared" si="36"/>
        <v>0</v>
      </c>
      <c r="F322" s="247"/>
      <c r="G322" s="249">
        <v>259</v>
      </c>
      <c r="H322" s="248">
        <f t="shared" si="37"/>
        <v>0</v>
      </c>
      <c r="I322" s="248">
        <f t="shared" si="38"/>
        <v>0</v>
      </c>
      <c r="J322" s="248">
        <f t="shared" si="39"/>
        <v>0</v>
      </c>
      <c r="K322" s="248">
        <f t="shared" si="40"/>
        <v>0</v>
      </c>
      <c r="L322" s="247"/>
    </row>
    <row r="323" spans="1:12">
      <c r="A323" s="249">
        <v>260</v>
      </c>
      <c r="B323" s="248">
        <f t="shared" si="33"/>
        <v>0</v>
      </c>
      <c r="C323" s="248">
        <f t="shared" si="34"/>
        <v>0</v>
      </c>
      <c r="D323" s="248">
        <f t="shared" si="35"/>
        <v>0</v>
      </c>
      <c r="E323" s="248">
        <f t="shared" si="36"/>
        <v>0</v>
      </c>
      <c r="F323" s="247"/>
      <c r="G323" s="249">
        <v>260</v>
      </c>
      <c r="H323" s="248">
        <f t="shared" si="37"/>
        <v>0</v>
      </c>
      <c r="I323" s="248">
        <f t="shared" si="38"/>
        <v>0</v>
      </c>
      <c r="J323" s="248">
        <f t="shared" si="39"/>
        <v>0</v>
      </c>
      <c r="K323" s="248">
        <f t="shared" si="40"/>
        <v>0</v>
      </c>
      <c r="L323" s="247"/>
    </row>
    <row r="324" spans="1:12">
      <c r="A324" s="249">
        <v>261</v>
      </c>
      <c r="B324" s="248">
        <f t="shared" si="33"/>
        <v>0</v>
      </c>
      <c r="C324" s="248">
        <f t="shared" si="34"/>
        <v>0</v>
      </c>
      <c r="D324" s="248">
        <f t="shared" si="35"/>
        <v>0</v>
      </c>
      <c r="E324" s="248">
        <f t="shared" si="36"/>
        <v>0</v>
      </c>
      <c r="F324" s="247"/>
      <c r="G324" s="249">
        <v>261</v>
      </c>
      <c r="H324" s="248">
        <f t="shared" si="37"/>
        <v>0</v>
      </c>
      <c r="I324" s="248">
        <f t="shared" si="38"/>
        <v>0</v>
      </c>
      <c r="J324" s="248">
        <f t="shared" si="39"/>
        <v>0</v>
      </c>
      <c r="K324" s="248">
        <f t="shared" si="40"/>
        <v>0</v>
      </c>
      <c r="L324" s="247"/>
    </row>
    <row r="325" spans="1:12">
      <c r="A325" s="249">
        <v>262</v>
      </c>
      <c r="B325" s="248">
        <f t="shared" si="33"/>
        <v>0</v>
      </c>
      <c r="C325" s="248">
        <f t="shared" si="34"/>
        <v>0</v>
      </c>
      <c r="D325" s="248">
        <f t="shared" si="35"/>
        <v>0</v>
      </c>
      <c r="E325" s="248">
        <f t="shared" si="36"/>
        <v>0</v>
      </c>
      <c r="F325" s="247"/>
      <c r="G325" s="249">
        <v>262</v>
      </c>
      <c r="H325" s="248">
        <f t="shared" si="37"/>
        <v>0</v>
      </c>
      <c r="I325" s="248">
        <f t="shared" si="38"/>
        <v>0</v>
      </c>
      <c r="J325" s="248">
        <f t="shared" si="39"/>
        <v>0</v>
      </c>
      <c r="K325" s="248">
        <f t="shared" si="40"/>
        <v>0</v>
      </c>
      <c r="L325" s="247"/>
    </row>
    <row r="326" spans="1:12">
      <c r="A326" s="249">
        <v>263</v>
      </c>
      <c r="B326" s="248">
        <f t="shared" si="33"/>
        <v>0</v>
      </c>
      <c r="C326" s="248">
        <f t="shared" si="34"/>
        <v>0</v>
      </c>
      <c r="D326" s="248">
        <f t="shared" si="35"/>
        <v>0</v>
      </c>
      <c r="E326" s="248">
        <f t="shared" si="36"/>
        <v>0</v>
      </c>
      <c r="F326" s="247"/>
      <c r="G326" s="249">
        <v>263</v>
      </c>
      <c r="H326" s="248">
        <f t="shared" si="37"/>
        <v>0</v>
      </c>
      <c r="I326" s="248">
        <f t="shared" si="38"/>
        <v>0</v>
      </c>
      <c r="J326" s="248">
        <f t="shared" si="39"/>
        <v>0</v>
      </c>
      <c r="K326" s="248">
        <f t="shared" si="40"/>
        <v>0</v>
      </c>
      <c r="L326" s="247"/>
    </row>
    <row r="327" spans="1:12">
      <c r="A327" s="249">
        <v>264</v>
      </c>
      <c r="B327" s="248">
        <f t="shared" si="33"/>
        <v>0</v>
      </c>
      <c r="C327" s="248">
        <f t="shared" si="34"/>
        <v>0</v>
      </c>
      <c r="D327" s="248">
        <f t="shared" si="35"/>
        <v>0</v>
      </c>
      <c r="E327" s="248">
        <f t="shared" si="36"/>
        <v>0</v>
      </c>
      <c r="F327" s="247">
        <v>22</v>
      </c>
      <c r="G327" s="249">
        <v>264</v>
      </c>
      <c r="H327" s="248">
        <f t="shared" si="37"/>
        <v>0</v>
      </c>
      <c r="I327" s="248">
        <f t="shared" si="38"/>
        <v>0</v>
      </c>
      <c r="J327" s="248">
        <f t="shared" si="39"/>
        <v>0</v>
      </c>
      <c r="K327" s="248">
        <f t="shared" si="40"/>
        <v>0</v>
      </c>
      <c r="L327" s="247">
        <v>22</v>
      </c>
    </row>
    <row r="328" spans="1:12">
      <c r="A328" s="249">
        <v>265</v>
      </c>
      <c r="B328" s="248">
        <f t="shared" si="33"/>
        <v>0</v>
      </c>
      <c r="C328" s="248">
        <f t="shared" si="34"/>
        <v>0</v>
      </c>
      <c r="D328" s="248">
        <f t="shared" si="35"/>
        <v>0</v>
      </c>
      <c r="E328" s="248">
        <f t="shared" si="36"/>
        <v>0</v>
      </c>
      <c r="F328" s="247"/>
      <c r="G328" s="249">
        <v>265</v>
      </c>
      <c r="H328" s="248">
        <f t="shared" si="37"/>
        <v>0</v>
      </c>
      <c r="I328" s="248">
        <f t="shared" si="38"/>
        <v>0</v>
      </c>
      <c r="J328" s="248">
        <f t="shared" si="39"/>
        <v>0</v>
      </c>
      <c r="K328" s="248">
        <f t="shared" si="40"/>
        <v>0</v>
      </c>
      <c r="L328" s="247"/>
    </row>
    <row r="329" spans="1:12">
      <c r="A329" s="249">
        <v>266</v>
      </c>
      <c r="B329" s="248">
        <f t="shared" si="33"/>
        <v>0</v>
      </c>
      <c r="C329" s="248">
        <f t="shared" si="34"/>
        <v>0</v>
      </c>
      <c r="D329" s="248">
        <f t="shared" si="35"/>
        <v>0</v>
      </c>
      <c r="E329" s="248">
        <f t="shared" si="36"/>
        <v>0</v>
      </c>
      <c r="F329" s="247"/>
      <c r="G329" s="249">
        <v>266</v>
      </c>
      <c r="H329" s="248">
        <f t="shared" si="37"/>
        <v>0</v>
      </c>
      <c r="I329" s="248">
        <f t="shared" si="38"/>
        <v>0</v>
      </c>
      <c r="J329" s="248">
        <f t="shared" si="39"/>
        <v>0</v>
      </c>
      <c r="K329" s="248">
        <f t="shared" si="40"/>
        <v>0</v>
      </c>
      <c r="L329" s="247"/>
    </row>
    <row r="330" spans="1:12">
      <c r="A330" s="249">
        <v>267</v>
      </c>
      <c r="B330" s="248">
        <f t="shared" si="33"/>
        <v>0</v>
      </c>
      <c r="C330" s="248">
        <f t="shared" si="34"/>
        <v>0</v>
      </c>
      <c r="D330" s="248">
        <f t="shared" si="35"/>
        <v>0</v>
      </c>
      <c r="E330" s="248">
        <f t="shared" si="36"/>
        <v>0</v>
      </c>
      <c r="F330" s="247"/>
      <c r="G330" s="249">
        <v>267</v>
      </c>
      <c r="H330" s="248">
        <f t="shared" si="37"/>
        <v>0</v>
      </c>
      <c r="I330" s="248">
        <f t="shared" si="38"/>
        <v>0</v>
      </c>
      <c r="J330" s="248">
        <f t="shared" si="39"/>
        <v>0</v>
      </c>
      <c r="K330" s="248">
        <f t="shared" si="40"/>
        <v>0</v>
      </c>
      <c r="L330" s="247"/>
    </row>
    <row r="331" spans="1:12">
      <c r="A331" s="249">
        <v>268</v>
      </c>
      <c r="B331" s="248">
        <f t="shared" si="33"/>
        <v>0</v>
      </c>
      <c r="C331" s="248">
        <f t="shared" si="34"/>
        <v>0</v>
      </c>
      <c r="D331" s="248">
        <f t="shared" si="35"/>
        <v>0</v>
      </c>
      <c r="E331" s="248">
        <f t="shared" si="36"/>
        <v>0</v>
      </c>
      <c r="F331" s="247"/>
      <c r="G331" s="249">
        <v>268</v>
      </c>
      <c r="H331" s="248">
        <f t="shared" si="37"/>
        <v>0</v>
      </c>
      <c r="I331" s="248">
        <f t="shared" si="38"/>
        <v>0</v>
      </c>
      <c r="J331" s="248">
        <f t="shared" si="39"/>
        <v>0</v>
      </c>
      <c r="K331" s="248">
        <f t="shared" si="40"/>
        <v>0</v>
      </c>
      <c r="L331" s="247"/>
    </row>
    <row r="332" spans="1:12">
      <c r="A332" s="249">
        <v>269</v>
      </c>
      <c r="B332" s="248">
        <f t="shared" si="33"/>
        <v>0</v>
      </c>
      <c r="C332" s="248">
        <f t="shared" si="34"/>
        <v>0</v>
      </c>
      <c r="D332" s="248">
        <f t="shared" si="35"/>
        <v>0</v>
      </c>
      <c r="E332" s="248">
        <f t="shared" si="36"/>
        <v>0</v>
      </c>
      <c r="F332" s="247"/>
      <c r="G332" s="249">
        <v>269</v>
      </c>
      <c r="H332" s="248">
        <f t="shared" si="37"/>
        <v>0</v>
      </c>
      <c r="I332" s="248">
        <f t="shared" si="38"/>
        <v>0</v>
      </c>
      <c r="J332" s="248">
        <f t="shared" si="39"/>
        <v>0</v>
      </c>
      <c r="K332" s="248">
        <f t="shared" si="40"/>
        <v>0</v>
      </c>
      <c r="L332" s="247"/>
    </row>
    <row r="333" spans="1:12">
      <c r="A333" s="249">
        <v>270</v>
      </c>
      <c r="B333" s="248">
        <f t="shared" si="33"/>
        <v>0</v>
      </c>
      <c r="C333" s="248">
        <f t="shared" si="34"/>
        <v>0</v>
      </c>
      <c r="D333" s="248">
        <f t="shared" si="35"/>
        <v>0</v>
      </c>
      <c r="E333" s="248">
        <f t="shared" si="36"/>
        <v>0</v>
      </c>
      <c r="F333" s="247"/>
      <c r="G333" s="249">
        <v>270</v>
      </c>
      <c r="H333" s="248">
        <f t="shared" si="37"/>
        <v>0</v>
      </c>
      <c r="I333" s="248">
        <f t="shared" si="38"/>
        <v>0</v>
      </c>
      <c r="J333" s="248">
        <f t="shared" si="39"/>
        <v>0</v>
      </c>
      <c r="K333" s="248">
        <f t="shared" si="40"/>
        <v>0</v>
      </c>
      <c r="L333" s="247"/>
    </row>
    <row r="334" spans="1:12">
      <c r="A334" s="249">
        <v>271</v>
      </c>
      <c r="B334" s="248">
        <f t="shared" si="33"/>
        <v>0</v>
      </c>
      <c r="C334" s="248">
        <f t="shared" si="34"/>
        <v>0</v>
      </c>
      <c r="D334" s="248">
        <f t="shared" si="35"/>
        <v>0</v>
      </c>
      <c r="E334" s="248">
        <f t="shared" si="36"/>
        <v>0</v>
      </c>
      <c r="F334" s="247"/>
      <c r="G334" s="249">
        <v>271</v>
      </c>
      <c r="H334" s="248">
        <f t="shared" si="37"/>
        <v>0</v>
      </c>
      <c r="I334" s="248">
        <f t="shared" si="38"/>
        <v>0</v>
      </c>
      <c r="J334" s="248">
        <f t="shared" si="39"/>
        <v>0</v>
      </c>
      <c r="K334" s="248">
        <f t="shared" si="40"/>
        <v>0</v>
      </c>
      <c r="L334" s="247"/>
    </row>
    <row r="335" spans="1:12">
      <c r="A335" s="249">
        <v>272</v>
      </c>
      <c r="B335" s="248">
        <f t="shared" si="33"/>
        <v>0</v>
      </c>
      <c r="C335" s="248">
        <f t="shared" si="34"/>
        <v>0</v>
      </c>
      <c r="D335" s="248">
        <f t="shared" si="35"/>
        <v>0</v>
      </c>
      <c r="E335" s="248">
        <f t="shared" si="36"/>
        <v>0</v>
      </c>
      <c r="F335" s="247"/>
      <c r="G335" s="249">
        <v>272</v>
      </c>
      <c r="H335" s="248">
        <f t="shared" si="37"/>
        <v>0</v>
      </c>
      <c r="I335" s="248">
        <f t="shared" si="38"/>
        <v>0</v>
      </c>
      <c r="J335" s="248">
        <f t="shared" si="39"/>
        <v>0</v>
      </c>
      <c r="K335" s="248">
        <f t="shared" si="40"/>
        <v>0</v>
      </c>
      <c r="L335" s="247"/>
    </row>
    <row r="336" spans="1:12">
      <c r="A336" s="249">
        <v>273</v>
      </c>
      <c r="B336" s="248">
        <f t="shared" si="33"/>
        <v>0</v>
      </c>
      <c r="C336" s="248">
        <f t="shared" si="34"/>
        <v>0</v>
      </c>
      <c r="D336" s="248">
        <f t="shared" si="35"/>
        <v>0</v>
      </c>
      <c r="E336" s="248">
        <f t="shared" si="36"/>
        <v>0</v>
      </c>
      <c r="F336" s="247"/>
      <c r="G336" s="249">
        <v>273</v>
      </c>
      <c r="H336" s="248">
        <f t="shared" si="37"/>
        <v>0</v>
      </c>
      <c r="I336" s="248">
        <f t="shared" si="38"/>
        <v>0</v>
      </c>
      <c r="J336" s="248">
        <f t="shared" si="39"/>
        <v>0</v>
      </c>
      <c r="K336" s="248">
        <f t="shared" si="40"/>
        <v>0</v>
      </c>
      <c r="L336" s="247"/>
    </row>
    <row r="337" spans="1:12">
      <c r="A337" s="249">
        <v>274</v>
      </c>
      <c r="B337" s="248">
        <f t="shared" si="33"/>
        <v>0</v>
      </c>
      <c r="C337" s="248">
        <f t="shared" si="34"/>
        <v>0</v>
      </c>
      <c r="D337" s="248">
        <f t="shared" si="35"/>
        <v>0</v>
      </c>
      <c r="E337" s="248">
        <f t="shared" si="36"/>
        <v>0</v>
      </c>
      <c r="F337" s="247"/>
      <c r="G337" s="249">
        <v>274</v>
      </c>
      <c r="H337" s="248">
        <f t="shared" si="37"/>
        <v>0</v>
      </c>
      <c r="I337" s="248">
        <f t="shared" si="38"/>
        <v>0</v>
      </c>
      <c r="J337" s="248">
        <f t="shared" si="39"/>
        <v>0</v>
      </c>
      <c r="K337" s="248">
        <f t="shared" si="40"/>
        <v>0</v>
      </c>
      <c r="L337" s="247"/>
    </row>
    <row r="338" spans="1:12">
      <c r="A338" s="249">
        <v>275</v>
      </c>
      <c r="B338" s="248">
        <f t="shared" si="33"/>
        <v>0</v>
      </c>
      <c r="C338" s="248">
        <f t="shared" si="34"/>
        <v>0</v>
      </c>
      <c r="D338" s="248">
        <f t="shared" si="35"/>
        <v>0</v>
      </c>
      <c r="E338" s="248">
        <f t="shared" si="36"/>
        <v>0</v>
      </c>
      <c r="F338" s="247"/>
      <c r="G338" s="249">
        <v>275</v>
      </c>
      <c r="H338" s="248">
        <f t="shared" si="37"/>
        <v>0</v>
      </c>
      <c r="I338" s="248">
        <f t="shared" si="38"/>
        <v>0</v>
      </c>
      <c r="J338" s="248">
        <f t="shared" si="39"/>
        <v>0</v>
      </c>
      <c r="K338" s="248">
        <f t="shared" si="40"/>
        <v>0</v>
      </c>
      <c r="L338" s="247"/>
    </row>
    <row r="339" spans="1:12">
      <c r="A339" s="249">
        <v>276</v>
      </c>
      <c r="B339" s="248">
        <f t="shared" si="33"/>
        <v>0</v>
      </c>
      <c r="C339" s="248">
        <f t="shared" si="34"/>
        <v>0</v>
      </c>
      <c r="D339" s="248">
        <f t="shared" si="35"/>
        <v>0</v>
      </c>
      <c r="E339" s="248">
        <f t="shared" si="36"/>
        <v>0</v>
      </c>
      <c r="F339" s="247">
        <v>23</v>
      </c>
      <c r="G339" s="249">
        <v>276</v>
      </c>
      <c r="H339" s="248">
        <f t="shared" si="37"/>
        <v>0</v>
      </c>
      <c r="I339" s="248">
        <f t="shared" si="38"/>
        <v>0</v>
      </c>
      <c r="J339" s="248">
        <f t="shared" si="39"/>
        <v>0</v>
      </c>
      <c r="K339" s="248">
        <f t="shared" si="40"/>
        <v>0</v>
      </c>
      <c r="L339" s="247">
        <v>23</v>
      </c>
    </row>
    <row r="340" spans="1:12">
      <c r="A340" s="249">
        <v>277</v>
      </c>
      <c r="B340" s="248">
        <f t="shared" si="33"/>
        <v>0</v>
      </c>
      <c r="C340" s="248">
        <f t="shared" si="34"/>
        <v>0</v>
      </c>
      <c r="D340" s="248">
        <f t="shared" si="35"/>
        <v>0</v>
      </c>
      <c r="E340" s="248">
        <f t="shared" si="36"/>
        <v>0</v>
      </c>
      <c r="F340" s="247"/>
      <c r="G340" s="249">
        <v>277</v>
      </c>
      <c r="H340" s="248">
        <f t="shared" si="37"/>
        <v>0</v>
      </c>
      <c r="I340" s="248">
        <f t="shared" si="38"/>
        <v>0</v>
      </c>
      <c r="J340" s="248">
        <f t="shared" si="39"/>
        <v>0</v>
      </c>
      <c r="K340" s="248">
        <f t="shared" si="40"/>
        <v>0</v>
      </c>
      <c r="L340" s="247"/>
    </row>
    <row r="341" spans="1:12">
      <c r="A341" s="249">
        <v>278</v>
      </c>
      <c r="B341" s="248">
        <f t="shared" si="33"/>
        <v>0</v>
      </c>
      <c r="C341" s="248">
        <f t="shared" si="34"/>
        <v>0</v>
      </c>
      <c r="D341" s="248">
        <f t="shared" si="35"/>
        <v>0</v>
      </c>
      <c r="E341" s="248">
        <f t="shared" si="36"/>
        <v>0</v>
      </c>
      <c r="F341" s="247"/>
      <c r="G341" s="249">
        <v>278</v>
      </c>
      <c r="H341" s="248">
        <f t="shared" si="37"/>
        <v>0</v>
      </c>
      <c r="I341" s="248">
        <f t="shared" si="38"/>
        <v>0</v>
      </c>
      <c r="J341" s="248">
        <f t="shared" si="39"/>
        <v>0</v>
      </c>
      <c r="K341" s="248">
        <f t="shared" si="40"/>
        <v>0</v>
      </c>
      <c r="L341" s="247"/>
    </row>
    <row r="342" spans="1:12">
      <c r="A342" s="249">
        <v>279</v>
      </c>
      <c r="B342" s="248">
        <f t="shared" si="33"/>
        <v>0</v>
      </c>
      <c r="C342" s="248">
        <f t="shared" si="34"/>
        <v>0</v>
      </c>
      <c r="D342" s="248">
        <f t="shared" si="35"/>
        <v>0</v>
      </c>
      <c r="E342" s="248">
        <f t="shared" si="36"/>
        <v>0</v>
      </c>
      <c r="F342" s="247"/>
      <c r="G342" s="249">
        <v>279</v>
      </c>
      <c r="H342" s="248">
        <f t="shared" si="37"/>
        <v>0</v>
      </c>
      <c r="I342" s="248">
        <f t="shared" si="38"/>
        <v>0</v>
      </c>
      <c r="J342" s="248">
        <f t="shared" si="39"/>
        <v>0</v>
      </c>
      <c r="K342" s="248">
        <f t="shared" si="40"/>
        <v>0</v>
      </c>
      <c r="L342" s="247"/>
    </row>
    <row r="343" spans="1:12">
      <c r="A343" s="249">
        <v>280</v>
      </c>
      <c r="B343" s="248">
        <f t="shared" si="33"/>
        <v>0</v>
      </c>
      <c r="C343" s="248">
        <f t="shared" si="34"/>
        <v>0</v>
      </c>
      <c r="D343" s="248">
        <f t="shared" si="35"/>
        <v>0</v>
      </c>
      <c r="E343" s="248">
        <f t="shared" si="36"/>
        <v>0</v>
      </c>
      <c r="F343" s="247"/>
      <c r="G343" s="249">
        <v>280</v>
      </c>
      <c r="H343" s="248">
        <f t="shared" si="37"/>
        <v>0</v>
      </c>
      <c r="I343" s="248">
        <f t="shared" si="38"/>
        <v>0</v>
      </c>
      <c r="J343" s="248">
        <f t="shared" si="39"/>
        <v>0</v>
      </c>
      <c r="K343" s="248">
        <f t="shared" si="40"/>
        <v>0</v>
      </c>
      <c r="L343" s="247"/>
    </row>
    <row r="344" spans="1:12">
      <c r="A344" s="249">
        <v>281</v>
      </c>
      <c r="B344" s="248">
        <f t="shared" si="33"/>
        <v>0</v>
      </c>
      <c r="C344" s="248">
        <f t="shared" si="34"/>
        <v>0</v>
      </c>
      <c r="D344" s="248">
        <f t="shared" si="35"/>
        <v>0</v>
      </c>
      <c r="E344" s="248">
        <f t="shared" si="36"/>
        <v>0</v>
      </c>
      <c r="F344" s="247"/>
      <c r="G344" s="249">
        <v>281</v>
      </c>
      <c r="H344" s="248">
        <f t="shared" si="37"/>
        <v>0</v>
      </c>
      <c r="I344" s="248">
        <f t="shared" si="38"/>
        <v>0</v>
      </c>
      <c r="J344" s="248">
        <f t="shared" si="39"/>
        <v>0</v>
      </c>
      <c r="K344" s="248">
        <f t="shared" si="40"/>
        <v>0</v>
      </c>
      <c r="L344" s="247"/>
    </row>
    <row r="345" spans="1:12">
      <c r="A345" s="249">
        <v>282</v>
      </c>
      <c r="B345" s="248">
        <f t="shared" si="33"/>
        <v>0</v>
      </c>
      <c r="C345" s="248">
        <f t="shared" si="34"/>
        <v>0</v>
      </c>
      <c r="D345" s="248">
        <f t="shared" si="35"/>
        <v>0</v>
      </c>
      <c r="E345" s="248">
        <f t="shared" si="36"/>
        <v>0</v>
      </c>
      <c r="F345" s="247"/>
      <c r="G345" s="249">
        <v>282</v>
      </c>
      <c r="H345" s="248">
        <f t="shared" si="37"/>
        <v>0</v>
      </c>
      <c r="I345" s="248">
        <f t="shared" si="38"/>
        <v>0</v>
      </c>
      <c r="J345" s="248">
        <f t="shared" si="39"/>
        <v>0</v>
      </c>
      <c r="K345" s="248">
        <f t="shared" si="40"/>
        <v>0</v>
      </c>
      <c r="L345" s="247"/>
    </row>
    <row r="346" spans="1:12">
      <c r="A346" s="249">
        <v>283</v>
      </c>
      <c r="B346" s="248">
        <f t="shared" si="33"/>
        <v>0</v>
      </c>
      <c r="C346" s="248">
        <f t="shared" si="34"/>
        <v>0</v>
      </c>
      <c r="D346" s="248">
        <f t="shared" si="35"/>
        <v>0</v>
      </c>
      <c r="E346" s="248">
        <f t="shared" si="36"/>
        <v>0</v>
      </c>
      <c r="F346" s="247"/>
      <c r="G346" s="249">
        <v>283</v>
      </c>
      <c r="H346" s="248">
        <f t="shared" si="37"/>
        <v>0</v>
      </c>
      <c r="I346" s="248">
        <f t="shared" si="38"/>
        <v>0</v>
      </c>
      <c r="J346" s="248">
        <f t="shared" si="39"/>
        <v>0</v>
      </c>
      <c r="K346" s="248">
        <f t="shared" si="40"/>
        <v>0</v>
      </c>
      <c r="L346" s="247"/>
    </row>
    <row r="347" spans="1:12">
      <c r="A347" s="249">
        <v>284</v>
      </c>
      <c r="B347" s="248">
        <f t="shared" si="33"/>
        <v>0</v>
      </c>
      <c r="C347" s="248">
        <f t="shared" si="34"/>
        <v>0</v>
      </c>
      <c r="D347" s="248">
        <f t="shared" si="35"/>
        <v>0</v>
      </c>
      <c r="E347" s="248">
        <f t="shared" si="36"/>
        <v>0</v>
      </c>
      <c r="F347" s="247"/>
      <c r="G347" s="249">
        <v>284</v>
      </c>
      <c r="H347" s="248">
        <f t="shared" si="37"/>
        <v>0</v>
      </c>
      <c r="I347" s="248">
        <f t="shared" si="38"/>
        <v>0</v>
      </c>
      <c r="J347" s="248">
        <f t="shared" si="39"/>
        <v>0</v>
      </c>
      <c r="K347" s="248">
        <f t="shared" si="40"/>
        <v>0</v>
      </c>
      <c r="L347" s="247"/>
    </row>
    <row r="348" spans="1:12">
      <c r="A348" s="249">
        <v>285</v>
      </c>
      <c r="B348" s="248">
        <f t="shared" si="33"/>
        <v>0</v>
      </c>
      <c r="C348" s="248">
        <f t="shared" si="34"/>
        <v>0</v>
      </c>
      <c r="D348" s="248">
        <f t="shared" si="35"/>
        <v>0</v>
      </c>
      <c r="E348" s="248">
        <f t="shared" si="36"/>
        <v>0</v>
      </c>
      <c r="F348" s="247"/>
      <c r="G348" s="249">
        <v>285</v>
      </c>
      <c r="H348" s="248">
        <f t="shared" si="37"/>
        <v>0</v>
      </c>
      <c r="I348" s="248">
        <f t="shared" si="38"/>
        <v>0</v>
      </c>
      <c r="J348" s="248">
        <f t="shared" si="39"/>
        <v>0</v>
      </c>
      <c r="K348" s="248">
        <f t="shared" si="40"/>
        <v>0</v>
      </c>
      <c r="L348" s="247"/>
    </row>
    <row r="349" spans="1:12">
      <c r="A349" s="249">
        <v>286</v>
      </c>
      <c r="B349" s="248">
        <f t="shared" si="33"/>
        <v>0</v>
      </c>
      <c r="C349" s="248">
        <f t="shared" si="34"/>
        <v>0</v>
      </c>
      <c r="D349" s="248">
        <f t="shared" si="35"/>
        <v>0</v>
      </c>
      <c r="E349" s="248">
        <f t="shared" si="36"/>
        <v>0</v>
      </c>
      <c r="F349" s="247"/>
      <c r="G349" s="249">
        <v>286</v>
      </c>
      <c r="H349" s="248">
        <f t="shared" si="37"/>
        <v>0</v>
      </c>
      <c r="I349" s="248">
        <f t="shared" si="38"/>
        <v>0</v>
      </c>
      <c r="J349" s="248">
        <f t="shared" si="39"/>
        <v>0</v>
      </c>
      <c r="K349" s="248">
        <f t="shared" si="40"/>
        <v>0</v>
      </c>
      <c r="L349" s="247"/>
    </row>
    <row r="350" spans="1:12">
      <c r="A350" s="249">
        <v>287</v>
      </c>
      <c r="B350" s="248">
        <f t="shared" si="33"/>
        <v>0</v>
      </c>
      <c r="C350" s="248">
        <f t="shared" si="34"/>
        <v>0</v>
      </c>
      <c r="D350" s="248">
        <f t="shared" si="35"/>
        <v>0</v>
      </c>
      <c r="E350" s="248">
        <f t="shared" si="36"/>
        <v>0</v>
      </c>
      <c r="F350" s="247"/>
      <c r="G350" s="249">
        <v>287</v>
      </c>
      <c r="H350" s="248">
        <f t="shared" si="37"/>
        <v>0</v>
      </c>
      <c r="I350" s="248">
        <f t="shared" si="38"/>
        <v>0</v>
      </c>
      <c r="J350" s="248">
        <f t="shared" si="39"/>
        <v>0</v>
      </c>
      <c r="K350" s="248">
        <f t="shared" si="40"/>
        <v>0</v>
      </c>
      <c r="L350" s="247"/>
    </row>
    <row r="351" spans="1:12">
      <c r="A351" s="249">
        <v>288</v>
      </c>
      <c r="B351" s="248">
        <f t="shared" si="33"/>
        <v>0</v>
      </c>
      <c r="C351" s="248">
        <f t="shared" si="34"/>
        <v>0</v>
      </c>
      <c r="D351" s="248">
        <f t="shared" si="35"/>
        <v>0</v>
      </c>
      <c r="E351" s="248">
        <f t="shared" si="36"/>
        <v>0</v>
      </c>
      <c r="F351" s="247">
        <v>24</v>
      </c>
      <c r="G351" s="249">
        <v>288</v>
      </c>
      <c r="H351" s="248">
        <f t="shared" si="37"/>
        <v>0</v>
      </c>
      <c r="I351" s="248">
        <f t="shared" si="38"/>
        <v>0</v>
      </c>
      <c r="J351" s="248">
        <f t="shared" si="39"/>
        <v>0</v>
      </c>
      <c r="K351" s="248">
        <f t="shared" si="40"/>
        <v>0</v>
      </c>
      <c r="L351" s="247">
        <v>24</v>
      </c>
    </row>
    <row r="352" spans="1:12">
      <c r="A352" s="249">
        <v>289</v>
      </c>
      <c r="B352" s="248">
        <f t="shared" si="33"/>
        <v>0</v>
      </c>
      <c r="C352" s="248">
        <f t="shared" si="34"/>
        <v>0</v>
      </c>
      <c r="D352" s="248">
        <f t="shared" si="35"/>
        <v>0</v>
      </c>
      <c r="E352" s="248">
        <f t="shared" si="36"/>
        <v>0</v>
      </c>
      <c r="F352" s="247"/>
      <c r="G352" s="249">
        <v>289</v>
      </c>
      <c r="H352" s="248">
        <f t="shared" si="37"/>
        <v>0</v>
      </c>
      <c r="I352" s="248">
        <f t="shared" si="38"/>
        <v>0</v>
      </c>
      <c r="J352" s="248">
        <f t="shared" si="39"/>
        <v>0</v>
      </c>
      <c r="K352" s="248">
        <f t="shared" si="40"/>
        <v>0</v>
      </c>
      <c r="L352" s="247"/>
    </row>
    <row r="353" spans="1:12">
      <c r="A353" s="249">
        <v>290</v>
      </c>
      <c r="B353" s="248">
        <f t="shared" si="33"/>
        <v>0</v>
      </c>
      <c r="C353" s="248">
        <f t="shared" si="34"/>
        <v>0</v>
      </c>
      <c r="D353" s="248">
        <f t="shared" si="35"/>
        <v>0</v>
      </c>
      <c r="E353" s="248">
        <f t="shared" si="36"/>
        <v>0</v>
      </c>
      <c r="F353" s="247"/>
      <c r="G353" s="249">
        <v>290</v>
      </c>
      <c r="H353" s="248">
        <f t="shared" si="37"/>
        <v>0</v>
      </c>
      <c r="I353" s="248">
        <f t="shared" si="38"/>
        <v>0</v>
      </c>
      <c r="J353" s="248">
        <f t="shared" si="39"/>
        <v>0</v>
      </c>
      <c r="K353" s="248">
        <f t="shared" si="40"/>
        <v>0</v>
      </c>
      <c r="L353" s="247"/>
    </row>
    <row r="354" spans="1:12">
      <c r="A354" s="249">
        <v>291</v>
      </c>
      <c r="B354" s="248">
        <f t="shared" si="33"/>
        <v>0</v>
      </c>
      <c r="C354" s="248">
        <f t="shared" si="34"/>
        <v>0</v>
      </c>
      <c r="D354" s="248">
        <f t="shared" si="35"/>
        <v>0</v>
      </c>
      <c r="E354" s="248">
        <f t="shared" si="36"/>
        <v>0</v>
      </c>
      <c r="F354" s="247"/>
      <c r="G354" s="249">
        <v>291</v>
      </c>
      <c r="H354" s="248">
        <f t="shared" si="37"/>
        <v>0</v>
      </c>
      <c r="I354" s="248">
        <f t="shared" si="38"/>
        <v>0</v>
      </c>
      <c r="J354" s="248">
        <f t="shared" si="39"/>
        <v>0</v>
      </c>
      <c r="K354" s="248">
        <f t="shared" si="40"/>
        <v>0</v>
      </c>
      <c r="L354" s="247"/>
    </row>
    <row r="355" spans="1:12">
      <c r="A355" s="249">
        <v>292</v>
      </c>
      <c r="B355" s="248">
        <f t="shared" si="33"/>
        <v>0</v>
      </c>
      <c r="C355" s="248">
        <f t="shared" si="34"/>
        <v>0</v>
      </c>
      <c r="D355" s="248">
        <f t="shared" si="35"/>
        <v>0</v>
      </c>
      <c r="E355" s="248">
        <f t="shared" si="36"/>
        <v>0</v>
      </c>
      <c r="F355" s="247"/>
      <c r="G355" s="249">
        <v>292</v>
      </c>
      <c r="H355" s="248">
        <f t="shared" si="37"/>
        <v>0</v>
      </c>
      <c r="I355" s="248">
        <f t="shared" si="38"/>
        <v>0</v>
      </c>
      <c r="J355" s="248">
        <f t="shared" si="39"/>
        <v>0</v>
      </c>
      <c r="K355" s="248">
        <f t="shared" si="40"/>
        <v>0</v>
      </c>
      <c r="L355" s="247"/>
    </row>
    <row r="356" spans="1:12">
      <c r="A356" s="249">
        <v>293</v>
      </c>
      <c r="B356" s="248">
        <f t="shared" si="33"/>
        <v>0</v>
      </c>
      <c r="C356" s="248">
        <f t="shared" si="34"/>
        <v>0</v>
      </c>
      <c r="D356" s="248">
        <f t="shared" si="35"/>
        <v>0</v>
      </c>
      <c r="E356" s="248">
        <f t="shared" si="36"/>
        <v>0</v>
      </c>
      <c r="F356" s="247"/>
      <c r="G356" s="249">
        <v>293</v>
      </c>
      <c r="H356" s="248">
        <f t="shared" si="37"/>
        <v>0</v>
      </c>
      <c r="I356" s="248">
        <f t="shared" si="38"/>
        <v>0</v>
      </c>
      <c r="J356" s="248">
        <f t="shared" si="39"/>
        <v>0</v>
      </c>
      <c r="K356" s="248">
        <f t="shared" si="40"/>
        <v>0</v>
      </c>
      <c r="L356" s="247"/>
    </row>
    <row r="357" spans="1:12">
      <c r="A357" s="249">
        <v>294</v>
      </c>
      <c r="B357" s="248">
        <f t="shared" si="33"/>
        <v>0</v>
      </c>
      <c r="C357" s="248">
        <f t="shared" si="34"/>
        <v>0</v>
      </c>
      <c r="D357" s="248">
        <f t="shared" si="35"/>
        <v>0</v>
      </c>
      <c r="E357" s="248">
        <f t="shared" si="36"/>
        <v>0</v>
      </c>
      <c r="F357" s="247"/>
      <c r="G357" s="249">
        <v>294</v>
      </c>
      <c r="H357" s="248">
        <f t="shared" si="37"/>
        <v>0</v>
      </c>
      <c r="I357" s="248">
        <f t="shared" si="38"/>
        <v>0</v>
      </c>
      <c r="J357" s="248">
        <f t="shared" si="39"/>
        <v>0</v>
      </c>
      <c r="K357" s="248">
        <f t="shared" si="40"/>
        <v>0</v>
      </c>
      <c r="L357" s="247"/>
    </row>
    <row r="358" spans="1:12">
      <c r="A358" s="249">
        <v>295</v>
      </c>
      <c r="B358" s="248">
        <f t="shared" si="33"/>
        <v>0</v>
      </c>
      <c r="C358" s="248">
        <f t="shared" si="34"/>
        <v>0</v>
      </c>
      <c r="D358" s="248">
        <f t="shared" si="35"/>
        <v>0</v>
      </c>
      <c r="E358" s="248">
        <f t="shared" si="36"/>
        <v>0</v>
      </c>
      <c r="F358" s="247"/>
      <c r="G358" s="249">
        <v>295</v>
      </c>
      <c r="H358" s="248">
        <f t="shared" si="37"/>
        <v>0</v>
      </c>
      <c r="I358" s="248">
        <f t="shared" si="38"/>
        <v>0</v>
      </c>
      <c r="J358" s="248">
        <f t="shared" si="39"/>
        <v>0</v>
      </c>
      <c r="K358" s="248">
        <f t="shared" si="40"/>
        <v>0</v>
      </c>
      <c r="L358" s="247"/>
    </row>
    <row r="359" spans="1:12">
      <c r="A359" s="249">
        <v>296</v>
      </c>
      <c r="B359" s="248">
        <f t="shared" si="33"/>
        <v>0</v>
      </c>
      <c r="C359" s="248">
        <f t="shared" si="34"/>
        <v>0</v>
      </c>
      <c r="D359" s="248">
        <f t="shared" si="35"/>
        <v>0</v>
      </c>
      <c r="E359" s="248">
        <f t="shared" si="36"/>
        <v>0</v>
      </c>
      <c r="F359" s="247"/>
      <c r="G359" s="249">
        <v>296</v>
      </c>
      <c r="H359" s="248">
        <f t="shared" si="37"/>
        <v>0</v>
      </c>
      <c r="I359" s="248">
        <f t="shared" si="38"/>
        <v>0</v>
      </c>
      <c r="J359" s="248">
        <f t="shared" si="39"/>
        <v>0</v>
      </c>
      <c r="K359" s="248">
        <f t="shared" si="40"/>
        <v>0</v>
      </c>
      <c r="L359" s="247"/>
    </row>
    <row r="360" spans="1:12">
      <c r="A360" s="249">
        <v>297</v>
      </c>
      <c r="B360" s="248">
        <f t="shared" si="33"/>
        <v>0</v>
      </c>
      <c r="C360" s="248">
        <f t="shared" si="34"/>
        <v>0</v>
      </c>
      <c r="D360" s="248">
        <f t="shared" si="35"/>
        <v>0</v>
      </c>
      <c r="E360" s="248">
        <f t="shared" si="36"/>
        <v>0</v>
      </c>
      <c r="F360" s="247"/>
      <c r="G360" s="249">
        <v>297</v>
      </c>
      <c r="H360" s="248">
        <f t="shared" si="37"/>
        <v>0</v>
      </c>
      <c r="I360" s="248">
        <f t="shared" si="38"/>
        <v>0</v>
      </c>
      <c r="J360" s="248">
        <f t="shared" si="39"/>
        <v>0</v>
      </c>
      <c r="K360" s="248">
        <f t="shared" si="40"/>
        <v>0</v>
      </c>
      <c r="L360" s="247"/>
    </row>
    <row r="361" spans="1:12">
      <c r="A361" s="249">
        <v>298</v>
      </c>
      <c r="B361" s="248">
        <f t="shared" si="33"/>
        <v>0</v>
      </c>
      <c r="C361" s="248">
        <f t="shared" si="34"/>
        <v>0</v>
      </c>
      <c r="D361" s="248">
        <f t="shared" si="35"/>
        <v>0</v>
      </c>
      <c r="E361" s="248">
        <f t="shared" si="36"/>
        <v>0</v>
      </c>
      <c r="F361" s="247"/>
      <c r="G361" s="249">
        <v>298</v>
      </c>
      <c r="H361" s="248">
        <f t="shared" si="37"/>
        <v>0</v>
      </c>
      <c r="I361" s="248">
        <f t="shared" si="38"/>
        <v>0</v>
      </c>
      <c r="J361" s="248">
        <f t="shared" si="39"/>
        <v>0</v>
      </c>
      <c r="K361" s="248">
        <f t="shared" si="40"/>
        <v>0</v>
      </c>
      <c r="L361" s="247"/>
    </row>
    <row r="362" spans="1:12">
      <c r="A362" s="249">
        <v>299</v>
      </c>
      <c r="B362" s="248">
        <f t="shared" si="33"/>
        <v>0</v>
      </c>
      <c r="C362" s="248">
        <f t="shared" si="34"/>
        <v>0</v>
      </c>
      <c r="D362" s="248">
        <f t="shared" si="35"/>
        <v>0</v>
      </c>
      <c r="E362" s="248">
        <f t="shared" si="36"/>
        <v>0</v>
      </c>
      <c r="F362" s="247"/>
      <c r="G362" s="249">
        <v>299</v>
      </c>
      <c r="H362" s="248">
        <f t="shared" si="37"/>
        <v>0</v>
      </c>
      <c r="I362" s="248">
        <f t="shared" si="38"/>
        <v>0</v>
      </c>
      <c r="J362" s="248">
        <f t="shared" si="39"/>
        <v>0</v>
      </c>
      <c r="K362" s="248">
        <f t="shared" si="40"/>
        <v>0</v>
      </c>
      <c r="L362" s="247"/>
    </row>
    <row r="363" spans="1:12">
      <c r="A363" s="249">
        <v>300</v>
      </c>
      <c r="B363" s="248">
        <f t="shared" si="33"/>
        <v>0</v>
      </c>
      <c r="C363" s="248">
        <f t="shared" si="34"/>
        <v>0</v>
      </c>
      <c r="D363" s="248">
        <f t="shared" si="35"/>
        <v>0</v>
      </c>
      <c r="E363" s="248">
        <f t="shared" si="36"/>
        <v>0</v>
      </c>
      <c r="F363" s="247">
        <v>25</v>
      </c>
      <c r="G363" s="249">
        <v>300</v>
      </c>
      <c r="H363" s="248">
        <f t="shared" si="37"/>
        <v>0</v>
      </c>
      <c r="I363" s="248">
        <f t="shared" si="38"/>
        <v>0</v>
      </c>
      <c r="J363" s="248">
        <f t="shared" si="39"/>
        <v>0</v>
      </c>
      <c r="K363" s="248">
        <f t="shared" si="40"/>
        <v>0</v>
      </c>
      <c r="L363" s="247">
        <v>25</v>
      </c>
    </row>
    <row r="364" spans="1:12">
      <c r="A364" s="249">
        <v>301</v>
      </c>
      <c r="B364" s="248">
        <f t="shared" si="33"/>
        <v>0</v>
      </c>
      <c r="C364" s="248">
        <f t="shared" si="34"/>
        <v>0</v>
      </c>
      <c r="D364" s="248">
        <f t="shared" si="35"/>
        <v>0</v>
      </c>
      <c r="E364" s="248">
        <f t="shared" si="36"/>
        <v>0</v>
      </c>
      <c r="F364" s="247"/>
      <c r="G364" s="249">
        <v>301</v>
      </c>
      <c r="H364" s="248">
        <f t="shared" si="37"/>
        <v>0</v>
      </c>
      <c r="I364" s="248">
        <f t="shared" si="38"/>
        <v>0</v>
      </c>
      <c r="J364" s="248">
        <f t="shared" si="39"/>
        <v>0</v>
      </c>
      <c r="K364" s="248">
        <f t="shared" si="40"/>
        <v>0</v>
      </c>
      <c r="L364" s="247"/>
    </row>
    <row r="365" spans="1:12">
      <c r="A365" s="249">
        <v>302</v>
      </c>
      <c r="B365" s="248">
        <f t="shared" si="33"/>
        <v>0</v>
      </c>
      <c r="C365" s="248">
        <f t="shared" si="34"/>
        <v>0</v>
      </c>
      <c r="D365" s="248">
        <f t="shared" si="35"/>
        <v>0</v>
      </c>
      <c r="E365" s="248">
        <f t="shared" si="36"/>
        <v>0</v>
      </c>
      <c r="F365" s="247"/>
      <c r="G365" s="249">
        <v>302</v>
      </c>
      <c r="H365" s="248">
        <f t="shared" si="37"/>
        <v>0</v>
      </c>
      <c r="I365" s="248">
        <f t="shared" si="38"/>
        <v>0</v>
      </c>
      <c r="J365" s="248">
        <f t="shared" si="39"/>
        <v>0</v>
      </c>
      <c r="K365" s="248">
        <f t="shared" si="40"/>
        <v>0</v>
      </c>
      <c r="L365" s="247"/>
    </row>
    <row r="366" spans="1:12">
      <c r="A366" s="249">
        <v>303</v>
      </c>
      <c r="B366" s="248">
        <f t="shared" si="33"/>
        <v>0</v>
      </c>
      <c r="C366" s="248">
        <f t="shared" si="34"/>
        <v>0</v>
      </c>
      <c r="D366" s="248">
        <f t="shared" si="35"/>
        <v>0</v>
      </c>
      <c r="E366" s="248">
        <f t="shared" si="36"/>
        <v>0</v>
      </c>
      <c r="F366" s="247"/>
      <c r="G366" s="249">
        <v>303</v>
      </c>
      <c r="H366" s="248">
        <f t="shared" si="37"/>
        <v>0</v>
      </c>
      <c r="I366" s="248">
        <f t="shared" si="38"/>
        <v>0</v>
      </c>
      <c r="J366" s="248">
        <f t="shared" si="39"/>
        <v>0</v>
      </c>
      <c r="K366" s="248">
        <f t="shared" si="40"/>
        <v>0</v>
      </c>
      <c r="L366" s="247"/>
    </row>
    <row r="367" spans="1:12">
      <c r="A367" s="249">
        <v>304</v>
      </c>
      <c r="B367" s="248">
        <f t="shared" si="33"/>
        <v>0</v>
      </c>
      <c r="C367" s="248">
        <f t="shared" si="34"/>
        <v>0</v>
      </c>
      <c r="D367" s="248">
        <f t="shared" si="35"/>
        <v>0</v>
      </c>
      <c r="E367" s="248">
        <f t="shared" si="36"/>
        <v>0</v>
      </c>
      <c r="F367" s="247"/>
      <c r="G367" s="249">
        <v>304</v>
      </c>
      <c r="H367" s="248">
        <f t="shared" si="37"/>
        <v>0</v>
      </c>
      <c r="I367" s="248">
        <f t="shared" si="38"/>
        <v>0</v>
      </c>
      <c r="J367" s="248">
        <f t="shared" si="39"/>
        <v>0</v>
      </c>
      <c r="K367" s="248">
        <f t="shared" si="40"/>
        <v>0</v>
      </c>
      <c r="L367" s="247"/>
    </row>
    <row r="368" spans="1:12">
      <c r="A368" s="249">
        <v>305</v>
      </c>
      <c r="B368" s="248">
        <f t="shared" si="33"/>
        <v>0</v>
      </c>
      <c r="C368" s="248">
        <f t="shared" si="34"/>
        <v>0</v>
      </c>
      <c r="D368" s="248">
        <f t="shared" si="35"/>
        <v>0</v>
      </c>
      <c r="E368" s="248">
        <f t="shared" si="36"/>
        <v>0</v>
      </c>
      <c r="F368" s="247"/>
      <c r="G368" s="249">
        <v>305</v>
      </c>
      <c r="H368" s="248">
        <f t="shared" si="37"/>
        <v>0</v>
      </c>
      <c r="I368" s="248">
        <f t="shared" si="38"/>
        <v>0</v>
      </c>
      <c r="J368" s="248">
        <f t="shared" si="39"/>
        <v>0</v>
      </c>
      <c r="K368" s="248">
        <f t="shared" si="40"/>
        <v>0</v>
      </c>
      <c r="L368" s="247"/>
    </row>
    <row r="369" spans="1:12">
      <c r="A369" s="249">
        <v>306</v>
      </c>
      <c r="B369" s="248">
        <f t="shared" si="33"/>
        <v>0</v>
      </c>
      <c r="C369" s="248">
        <f t="shared" si="34"/>
        <v>0</v>
      </c>
      <c r="D369" s="248">
        <f t="shared" si="35"/>
        <v>0</v>
      </c>
      <c r="E369" s="248">
        <f t="shared" si="36"/>
        <v>0</v>
      </c>
      <c r="F369" s="247"/>
      <c r="G369" s="249">
        <v>306</v>
      </c>
      <c r="H369" s="248">
        <f t="shared" si="37"/>
        <v>0</v>
      </c>
      <c r="I369" s="248">
        <f t="shared" si="38"/>
        <v>0</v>
      </c>
      <c r="J369" s="248">
        <f t="shared" si="39"/>
        <v>0</v>
      </c>
      <c r="K369" s="248">
        <f t="shared" si="40"/>
        <v>0</v>
      </c>
      <c r="L369" s="247"/>
    </row>
    <row r="370" spans="1:12">
      <c r="A370" s="249">
        <v>307</v>
      </c>
      <c r="B370" s="248">
        <f t="shared" si="33"/>
        <v>0</v>
      </c>
      <c r="C370" s="248">
        <f t="shared" si="34"/>
        <v>0</v>
      </c>
      <c r="D370" s="248">
        <f t="shared" si="35"/>
        <v>0</v>
      </c>
      <c r="E370" s="248">
        <f t="shared" si="36"/>
        <v>0</v>
      </c>
      <c r="F370" s="247"/>
      <c r="G370" s="249">
        <v>307</v>
      </c>
      <c r="H370" s="248">
        <f t="shared" si="37"/>
        <v>0</v>
      </c>
      <c r="I370" s="248">
        <f t="shared" si="38"/>
        <v>0</v>
      </c>
      <c r="J370" s="248">
        <f t="shared" si="39"/>
        <v>0</v>
      </c>
      <c r="K370" s="248">
        <f t="shared" si="40"/>
        <v>0</v>
      </c>
      <c r="L370" s="247"/>
    </row>
    <row r="371" spans="1:12">
      <c r="A371" s="249">
        <v>308</v>
      </c>
      <c r="B371" s="248">
        <f t="shared" si="33"/>
        <v>0</v>
      </c>
      <c r="C371" s="248">
        <f t="shared" si="34"/>
        <v>0</v>
      </c>
      <c r="D371" s="248">
        <f t="shared" si="35"/>
        <v>0</v>
      </c>
      <c r="E371" s="248">
        <f t="shared" si="36"/>
        <v>0</v>
      </c>
      <c r="F371" s="247"/>
      <c r="G371" s="249">
        <v>308</v>
      </c>
      <c r="H371" s="248">
        <f t="shared" si="37"/>
        <v>0</v>
      </c>
      <c r="I371" s="248">
        <f t="shared" si="38"/>
        <v>0</v>
      </c>
      <c r="J371" s="248">
        <f t="shared" si="39"/>
        <v>0</v>
      </c>
      <c r="K371" s="248">
        <f t="shared" si="40"/>
        <v>0</v>
      </c>
      <c r="L371" s="247"/>
    </row>
    <row r="372" spans="1:12">
      <c r="A372" s="249">
        <v>309</v>
      </c>
      <c r="B372" s="248">
        <f t="shared" si="33"/>
        <v>0</v>
      </c>
      <c r="C372" s="248">
        <f t="shared" si="34"/>
        <v>0</v>
      </c>
      <c r="D372" s="248">
        <f t="shared" si="35"/>
        <v>0</v>
      </c>
      <c r="E372" s="248">
        <f t="shared" si="36"/>
        <v>0</v>
      </c>
      <c r="F372" s="247"/>
      <c r="G372" s="249">
        <v>309</v>
      </c>
      <c r="H372" s="248">
        <f t="shared" si="37"/>
        <v>0</v>
      </c>
      <c r="I372" s="248">
        <f t="shared" si="38"/>
        <v>0</v>
      </c>
      <c r="J372" s="248">
        <f t="shared" si="39"/>
        <v>0</v>
      </c>
      <c r="K372" s="248">
        <f t="shared" si="40"/>
        <v>0</v>
      </c>
      <c r="L372" s="247"/>
    </row>
    <row r="373" spans="1:12">
      <c r="A373" s="249">
        <v>310</v>
      </c>
      <c r="B373" s="248">
        <f t="shared" si="33"/>
        <v>0</v>
      </c>
      <c r="C373" s="248">
        <f t="shared" si="34"/>
        <v>0</v>
      </c>
      <c r="D373" s="248">
        <f t="shared" si="35"/>
        <v>0</v>
      </c>
      <c r="E373" s="248">
        <f t="shared" si="36"/>
        <v>0</v>
      </c>
      <c r="F373" s="247"/>
      <c r="G373" s="249">
        <v>310</v>
      </c>
      <c r="H373" s="248">
        <f t="shared" si="37"/>
        <v>0</v>
      </c>
      <c r="I373" s="248">
        <f t="shared" si="38"/>
        <v>0</v>
      </c>
      <c r="J373" s="248">
        <f t="shared" si="39"/>
        <v>0</v>
      </c>
      <c r="K373" s="248">
        <f t="shared" si="40"/>
        <v>0</v>
      </c>
      <c r="L373" s="247"/>
    </row>
    <row r="374" spans="1:12">
      <c r="A374" s="249">
        <v>311</v>
      </c>
      <c r="B374" s="248">
        <f t="shared" si="33"/>
        <v>0</v>
      </c>
      <c r="C374" s="248">
        <f t="shared" si="34"/>
        <v>0</v>
      </c>
      <c r="D374" s="248">
        <f t="shared" si="35"/>
        <v>0</v>
      </c>
      <c r="E374" s="248">
        <f t="shared" si="36"/>
        <v>0</v>
      </c>
      <c r="F374" s="247"/>
      <c r="G374" s="249">
        <v>311</v>
      </c>
      <c r="H374" s="248">
        <f t="shared" si="37"/>
        <v>0</v>
      </c>
      <c r="I374" s="248">
        <f t="shared" si="38"/>
        <v>0</v>
      </c>
      <c r="J374" s="248">
        <f t="shared" si="39"/>
        <v>0</v>
      </c>
      <c r="K374" s="248">
        <f t="shared" si="40"/>
        <v>0</v>
      </c>
      <c r="L374" s="247"/>
    </row>
    <row r="375" spans="1:12">
      <c r="A375" s="249">
        <v>312</v>
      </c>
      <c r="B375" s="248">
        <f t="shared" si="33"/>
        <v>0</v>
      </c>
      <c r="C375" s="248">
        <f t="shared" si="34"/>
        <v>0</v>
      </c>
      <c r="D375" s="248">
        <f t="shared" si="35"/>
        <v>0</v>
      </c>
      <c r="E375" s="248">
        <f t="shared" si="36"/>
        <v>0</v>
      </c>
      <c r="F375" s="247">
        <v>26</v>
      </c>
      <c r="G375" s="249">
        <v>312</v>
      </c>
      <c r="H375" s="248">
        <f t="shared" si="37"/>
        <v>0</v>
      </c>
      <c r="I375" s="248">
        <f t="shared" si="38"/>
        <v>0</v>
      </c>
      <c r="J375" s="248">
        <f t="shared" si="39"/>
        <v>0</v>
      </c>
      <c r="K375" s="248">
        <f t="shared" si="40"/>
        <v>0</v>
      </c>
      <c r="L375" s="247">
        <v>26</v>
      </c>
    </row>
    <row r="376" spans="1:12">
      <c r="A376" s="249">
        <v>313</v>
      </c>
      <c r="B376" s="248">
        <f t="shared" si="33"/>
        <v>0</v>
      </c>
      <c r="C376" s="248">
        <f t="shared" si="34"/>
        <v>0</v>
      </c>
      <c r="D376" s="248">
        <f t="shared" si="35"/>
        <v>0</v>
      </c>
      <c r="E376" s="248">
        <f t="shared" si="36"/>
        <v>0</v>
      </c>
      <c r="F376" s="247"/>
      <c r="G376" s="249">
        <v>313</v>
      </c>
      <c r="H376" s="248">
        <f t="shared" si="37"/>
        <v>0</v>
      </c>
      <c r="I376" s="248">
        <f t="shared" si="38"/>
        <v>0</v>
      </c>
      <c r="J376" s="248">
        <f t="shared" si="39"/>
        <v>0</v>
      </c>
      <c r="K376" s="248">
        <f t="shared" si="40"/>
        <v>0</v>
      </c>
      <c r="L376" s="247"/>
    </row>
    <row r="377" spans="1:12">
      <c r="A377" s="249">
        <v>314</v>
      </c>
      <c r="B377" s="248">
        <f t="shared" si="33"/>
        <v>0</v>
      </c>
      <c r="C377" s="248">
        <f t="shared" si="34"/>
        <v>0</v>
      </c>
      <c r="D377" s="248">
        <f t="shared" si="35"/>
        <v>0</v>
      </c>
      <c r="E377" s="248">
        <f t="shared" si="36"/>
        <v>0</v>
      </c>
      <c r="F377" s="247"/>
      <c r="G377" s="249">
        <v>314</v>
      </c>
      <c r="H377" s="248">
        <f t="shared" si="37"/>
        <v>0</v>
      </c>
      <c r="I377" s="248">
        <f t="shared" si="38"/>
        <v>0</v>
      </c>
      <c r="J377" s="248">
        <f t="shared" si="39"/>
        <v>0</v>
      </c>
      <c r="K377" s="248">
        <f t="shared" si="40"/>
        <v>0</v>
      </c>
      <c r="L377" s="247"/>
    </row>
    <row r="378" spans="1:12">
      <c r="A378" s="249">
        <v>315</v>
      </c>
      <c r="B378" s="248">
        <f t="shared" si="33"/>
        <v>0</v>
      </c>
      <c r="C378" s="248">
        <f t="shared" si="34"/>
        <v>0</v>
      </c>
      <c r="D378" s="248">
        <f t="shared" si="35"/>
        <v>0</v>
      </c>
      <c r="E378" s="248">
        <f t="shared" si="36"/>
        <v>0</v>
      </c>
      <c r="F378" s="247"/>
      <c r="G378" s="249">
        <v>315</v>
      </c>
      <c r="H378" s="248">
        <f t="shared" si="37"/>
        <v>0</v>
      </c>
      <c r="I378" s="248">
        <f t="shared" si="38"/>
        <v>0</v>
      </c>
      <c r="J378" s="248">
        <f t="shared" si="39"/>
        <v>0</v>
      </c>
      <c r="K378" s="248">
        <f t="shared" si="40"/>
        <v>0</v>
      </c>
      <c r="L378" s="247"/>
    </row>
    <row r="379" spans="1:12">
      <c r="A379" s="249">
        <v>316</v>
      </c>
      <c r="B379" s="248">
        <f t="shared" si="33"/>
        <v>0</v>
      </c>
      <c r="C379" s="248">
        <f t="shared" si="34"/>
        <v>0</v>
      </c>
      <c r="D379" s="248">
        <f t="shared" si="35"/>
        <v>0</v>
      </c>
      <c r="E379" s="248">
        <f t="shared" si="36"/>
        <v>0</v>
      </c>
      <c r="F379" s="247"/>
      <c r="G379" s="249">
        <v>316</v>
      </c>
      <c r="H379" s="248">
        <f t="shared" si="37"/>
        <v>0</v>
      </c>
      <c r="I379" s="248">
        <f t="shared" si="38"/>
        <v>0</v>
      </c>
      <c r="J379" s="248">
        <f t="shared" si="39"/>
        <v>0</v>
      </c>
      <c r="K379" s="248">
        <f t="shared" si="40"/>
        <v>0</v>
      </c>
      <c r="L379" s="247"/>
    </row>
    <row r="380" spans="1:12">
      <c r="A380" s="249">
        <v>317</v>
      </c>
      <c r="B380" s="248">
        <f t="shared" si="33"/>
        <v>0</v>
      </c>
      <c r="C380" s="248">
        <f t="shared" si="34"/>
        <v>0</v>
      </c>
      <c r="D380" s="248">
        <f t="shared" si="35"/>
        <v>0</v>
      </c>
      <c r="E380" s="248">
        <f t="shared" si="36"/>
        <v>0</v>
      </c>
      <c r="F380" s="247"/>
      <c r="G380" s="249">
        <v>317</v>
      </c>
      <c r="H380" s="248">
        <f t="shared" si="37"/>
        <v>0</v>
      </c>
      <c r="I380" s="248">
        <f t="shared" si="38"/>
        <v>0</v>
      </c>
      <c r="J380" s="248">
        <f t="shared" si="39"/>
        <v>0</v>
      </c>
      <c r="K380" s="248">
        <f t="shared" si="40"/>
        <v>0</v>
      </c>
      <c r="L380" s="247"/>
    </row>
    <row r="381" spans="1:12">
      <c r="A381" s="249">
        <v>318</v>
      </c>
      <c r="B381" s="248">
        <f t="shared" si="33"/>
        <v>0</v>
      </c>
      <c r="C381" s="248">
        <f t="shared" si="34"/>
        <v>0</v>
      </c>
      <c r="D381" s="248">
        <f t="shared" si="35"/>
        <v>0</v>
      </c>
      <c r="E381" s="248">
        <f t="shared" si="36"/>
        <v>0</v>
      </c>
      <c r="F381" s="247"/>
      <c r="G381" s="249">
        <v>318</v>
      </c>
      <c r="H381" s="248">
        <f t="shared" si="37"/>
        <v>0</v>
      </c>
      <c r="I381" s="248">
        <f t="shared" si="38"/>
        <v>0</v>
      </c>
      <c r="J381" s="248">
        <f t="shared" si="39"/>
        <v>0</v>
      </c>
      <c r="K381" s="248">
        <f t="shared" si="40"/>
        <v>0</v>
      </c>
      <c r="L381" s="247"/>
    </row>
    <row r="382" spans="1:12">
      <c r="A382" s="249">
        <v>319</v>
      </c>
      <c r="B382" s="248">
        <f t="shared" si="33"/>
        <v>0</v>
      </c>
      <c r="C382" s="248">
        <f t="shared" si="34"/>
        <v>0</v>
      </c>
      <c r="D382" s="248">
        <f t="shared" si="35"/>
        <v>0</v>
      </c>
      <c r="E382" s="248">
        <f t="shared" si="36"/>
        <v>0</v>
      </c>
      <c r="F382" s="247"/>
      <c r="G382" s="249">
        <v>319</v>
      </c>
      <c r="H382" s="248">
        <f t="shared" si="37"/>
        <v>0</v>
      </c>
      <c r="I382" s="248">
        <f t="shared" si="38"/>
        <v>0</v>
      </c>
      <c r="J382" s="248">
        <f t="shared" si="39"/>
        <v>0</v>
      </c>
      <c r="K382" s="248">
        <f t="shared" si="40"/>
        <v>0</v>
      </c>
      <c r="L382" s="247"/>
    </row>
    <row r="383" spans="1:12">
      <c r="A383" s="249">
        <v>320</v>
      </c>
      <c r="B383" s="248">
        <f t="shared" si="33"/>
        <v>0</v>
      </c>
      <c r="C383" s="248">
        <f t="shared" si="34"/>
        <v>0</v>
      </c>
      <c r="D383" s="248">
        <f t="shared" si="35"/>
        <v>0</v>
      </c>
      <c r="E383" s="248">
        <f t="shared" si="36"/>
        <v>0</v>
      </c>
      <c r="F383" s="247"/>
      <c r="G383" s="249">
        <v>320</v>
      </c>
      <c r="H383" s="248">
        <f t="shared" si="37"/>
        <v>0</v>
      </c>
      <c r="I383" s="248">
        <f t="shared" si="38"/>
        <v>0</v>
      </c>
      <c r="J383" s="248">
        <f t="shared" si="39"/>
        <v>0</v>
      </c>
      <c r="K383" s="248">
        <f t="shared" si="40"/>
        <v>0</v>
      </c>
      <c r="L383" s="247"/>
    </row>
    <row r="384" spans="1:12">
      <c r="A384" s="249">
        <v>321</v>
      </c>
      <c r="B384" s="248">
        <f t="shared" ref="B384:B447" si="41">IF(A384&gt;12*$C$9,0,IF($C$5&gt;1500000,$D$12,$C$12))</f>
        <v>0</v>
      </c>
      <c r="C384" s="248">
        <f t="shared" ref="C384:C447" si="42">IF(A384&gt;12*$C$9,0,E383*$C$7/12)</f>
        <v>0</v>
      </c>
      <c r="D384" s="248">
        <f t="shared" ref="D384:D447" si="43">IF(A384&gt;12*$C$9,0,B384-C384)</f>
        <v>0</v>
      </c>
      <c r="E384" s="248">
        <f t="shared" ref="E384:E447" si="44">IF(A384&gt;12*$C$9,0,E383-D384)</f>
        <v>0</v>
      </c>
      <c r="F384" s="247"/>
      <c r="G384" s="249">
        <v>321</v>
      </c>
      <c r="H384" s="248">
        <f t="shared" ref="H384:H447" si="45">IF(G384&gt;12*$C$9,0,IF($C$5&gt;1500000,$E$12,0))</f>
        <v>0</v>
      </c>
      <c r="I384" s="248">
        <f t="shared" ref="I384:I447" si="46">IF(G384&gt;12*$C$9,0,K383*$C$7/12)</f>
        <v>0</v>
      </c>
      <c r="J384" s="248">
        <f t="shared" ref="J384:J447" si="47">IF(G384&gt;12*$C$9,0,H384-I384)</f>
        <v>0</v>
      </c>
      <c r="K384" s="248">
        <f t="shared" ref="K384:K447" si="48">IF(G384&gt;12*$C$9,0,K383-J384)</f>
        <v>0</v>
      </c>
      <c r="L384" s="247"/>
    </row>
    <row r="385" spans="1:12">
      <c r="A385" s="249">
        <v>322</v>
      </c>
      <c r="B385" s="248">
        <f t="shared" si="41"/>
        <v>0</v>
      </c>
      <c r="C385" s="248">
        <f t="shared" si="42"/>
        <v>0</v>
      </c>
      <c r="D385" s="248">
        <f t="shared" si="43"/>
        <v>0</v>
      </c>
      <c r="E385" s="248">
        <f t="shared" si="44"/>
        <v>0</v>
      </c>
      <c r="F385" s="247"/>
      <c r="G385" s="249">
        <v>322</v>
      </c>
      <c r="H385" s="248">
        <f t="shared" si="45"/>
        <v>0</v>
      </c>
      <c r="I385" s="248">
        <f t="shared" si="46"/>
        <v>0</v>
      </c>
      <c r="J385" s="248">
        <f t="shared" si="47"/>
        <v>0</v>
      </c>
      <c r="K385" s="248">
        <f t="shared" si="48"/>
        <v>0</v>
      </c>
      <c r="L385" s="247"/>
    </row>
    <row r="386" spans="1:12">
      <c r="A386" s="249">
        <v>323</v>
      </c>
      <c r="B386" s="248">
        <f t="shared" si="41"/>
        <v>0</v>
      </c>
      <c r="C386" s="248">
        <f t="shared" si="42"/>
        <v>0</v>
      </c>
      <c r="D386" s="248">
        <f t="shared" si="43"/>
        <v>0</v>
      </c>
      <c r="E386" s="248">
        <f t="shared" si="44"/>
        <v>0</v>
      </c>
      <c r="F386" s="247"/>
      <c r="G386" s="249">
        <v>323</v>
      </c>
      <c r="H386" s="248">
        <f t="shared" si="45"/>
        <v>0</v>
      </c>
      <c r="I386" s="248">
        <f t="shared" si="46"/>
        <v>0</v>
      </c>
      <c r="J386" s="248">
        <f t="shared" si="47"/>
        <v>0</v>
      </c>
      <c r="K386" s="248">
        <f t="shared" si="48"/>
        <v>0</v>
      </c>
      <c r="L386" s="247"/>
    </row>
    <row r="387" spans="1:12">
      <c r="A387" s="249">
        <v>324</v>
      </c>
      <c r="B387" s="248">
        <f t="shared" si="41"/>
        <v>0</v>
      </c>
      <c r="C387" s="248">
        <f t="shared" si="42"/>
        <v>0</v>
      </c>
      <c r="D387" s="248">
        <f t="shared" si="43"/>
        <v>0</v>
      </c>
      <c r="E387" s="248">
        <f t="shared" si="44"/>
        <v>0</v>
      </c>
      <c r="F387" s="247">
        <v>27</v>
      </c>
      <c r="G387" s="249">
        <v>324</v>
      </c>
      <c r="H387" s="248">
        <f t="shared" si="45"/>
        <v>0</v>
      </c>
      <c r="I387" s="248">
        <f t="shared" si="46"/>
        <v>0</v>
      </c>
      <c r="J387" s="248">
        <f t="shared" si="47"/>
        <v>0</v>
      </c>
      <c r="K387" s="248">
        <f t="shared" si="48"/>
        <v>0</v>
      </c>
      <c r="L387" s="247">
        <v>27</v>
      </c>
    </row>
    <row r="388" spans="1:12">
      <c r="A388" s="249">
        <v>325</v>
      </c>
      <c r="B388" s="248">
        <f t="shared" si="41"/>
        <v>0</v>
      </c>
      <c r="C388" s="248">
        <f t="shared" si="42"/>
        <v>0</v>
      </c>
      <c r="D388" s="248">
        <f t="shared" si="43"/>
        <v>0</v>
      </c>
      <c r="E388" s="248">
        <f t="shared" si="44"/>
        <v>0</v>
      </c>
      <c r="F388" s="247"/>
      <c r="G388" s="249">
        <v>325</v>
      </c>
      <c r="H388" s="248">
        <f t="shared" si="45"/>
        <v>0</v>
      </c>
      <c r="I388" s="248">
        <f t="shared" si="46"/>
        <v>0</v>
      </c>
      <c r="J388" s="248">
        <f t="shared" si="47"/>
        <v>0</v>
      </c>
      <c r="K388" s="248">
        <f t="shared" si="48"/>
        <v>0</v>
      </c>
      <c r="L388" s="247"/>
    </row>
    <row r="389" spans="1:12">
      <c r="A389" s="249">
        <v>326</v>
      </c>
      <c r="B389" s="248">
        <f t="shared" si="41"/>
        <v>0</v>
      </c>
      <c r="C389" s="248">
        <f t="shared" si="42"/>
        <v>0</v>
      </c>
      <c r="D389" s="248">
        <f t="shared" si="43"/>
        <v>0</v>
      </c>
      <c r="E389" s="248">
        <f t="shared" si="44"/>
        <v>0</v>
      </c>
      <c r="F389" s="247"/>
      <c r="G389" s="249">
        <v>326</v>
      </c>
      <c r="H389" s="248">
        <f t="shared" si="45"/>
        <v>0</v>
      </c>
      <c r="I389" s="248">
        <f t="shared" si="46"/>
        <v>0</v>
      </c>
      <c r="J389" s="248">
        <f t="shared" si="47"/>
        <v>0</v>
      </c>
      <c r="K389" s="248">
        <f t="shared" si="48"/>
        <v>0</v>
      </c>
      <c r="L389" s="247"/>
    </row>
    <row r="390" spans="1:12">
      <c r="A390" s="249">
        <v>327</v>
      </c>
      <c r="B390" s="248">
        <f t="shared" si="41"/>
        <v>0</v>
      </c>
      <c r="C390" s="248">
        <f t="shared" si="42"/>
        <v>0</v>
      </c>
      <c r="D390" s="248">
        <f t="shared" si="43"/>
        <v>0</v>
      </c>
      <c r="E390" s="248">
        <f t="shared" si="44"/>
        <v>0</v>
      </c>
      <c r="F390" s="247"/>
      <c r="G390" s="249">
        <v>327</v>
      </c>
      <c r="H390" s="248">
        <f t="shared" si="45"/>
        <v>0</v>
      </c>
      <c r="I390" s="248">
        <f t="shared" si="46"/>
        <v>0</v>
      </c>
      <c r="J390" s="248">
        <f t="shared" si="47"/>
        <v>0</v>
      </c>
      <c r="K390" s="248">
        <f t="shared" si="48"/>
        <v>0</v>
      </c>
      <c r="L390" s="247"/>
    </row>
    <row r="391" spans="1:12">
      <c r="A391" s="249">
        <v>328</v>
      </c>
      <c r="B391" s="248">
        <f t="shared" si="41"/>
        <v>0</v>
      </c>
      <c r="C391" s="248">
        <f t="shared" si="42"/>
        <v>0</v>
      </c>
      <c r="D391" s="248">
        <f t="shared" si="43"/>
        <v>0</v>
      </c>
      <c r="E391" s="248">
        <f t="shared" si="44"/>
        <v>0</v>
      </c>
      <c r="F391" s="247"/>
      <c r="G391" s="249">
        <v>328</v>
      </c>
      <c r="H391" s="248">
        <f t="shared" si="45"/>
        <v>0</v>
      </c>
      <c r="I391" s="248">
        <f t="shared" si="46"/>
        <v>0</v>
      </c>
      <c r="J391" s="248">
        <f t="shared" si="47"/>
        <v>0</v>
      </c>
      <c r="K391" s="248">
        <f t="shared" si="48"/>
        <v>0</v>
      </c>
      <c r="L391" s="247"/>
    </row>
    <row r="392" spans="1:12">
      <c r="A392" s="249">
        <v>329</v>
      </c>
      <c r="B392" s="248">
        <f t="shared" si="41"/>
        <v>0</v>
      </c>
      <c r="C392" s="248">
        <f t="shared" si="42"/>
        <v>0</v>
      </c>
      <c r="D392" s="248">
        <f t="shared" si="43"/>
        <v>0</v>
      </c>
      <c r="E392" s="248">
        <f t="shared" si="44"/>
        <v>0</v>
      </c>
      <c r="F392" s="247"/>
      <c r="G392" s="249">
        <v>329</v>
      </c>
      <c r="H392" s="248">
        <f t="shared" si="45"/>
        <v>0</v>
      </c>
      <c r="I392" s="248">
        <f t="shared" si="46"/>
        <v>0</v>
      </c>
      <c r="J392" s="248">
        <f t="shared" si="47"/>
        <v>0</v>
      </c>
      <c r="K392" s="248">
        <f t="shared" si="48"/>
        <v>0</v>
      </c>
      <c r="L392" s="247"/>
    </row>
    <row r="393" spans="1:12">
      <c r="A393" s="249">
        <v>330</v>
      </c>
      <c r="B393" s="248">
        <f t="shared" si="41"/>
        <v>0</v>
      </c>
      <c r="C393" s="248">
        <f t="shared" si="42"/>
        <v>0</v>
      </c>
      <c r="D393" s="248">
        <f t="shared" si="43"/>
        <v>0</v>
      </c>
      <c r="E393" s="248">
        <f t="shared" si="44"/>
        <v>0</v>
      </c>
      <c r="F393" s="247"/>
      <c r="G393" s="249">
        <v>330</v>
      </c>
      <c r="H393" s="248">
        <f t="shared" si="45"/>
        <v>0</v>
      </c>
      <c r="I393" s="248">
        <f t="shared" si="46"/>
        <v>0</v>
      </c>
      <c r="J393" s="248">
        <f t="shared" si="47"/>
        <v>0</v>
      </c>
      <c r="K393" s="248">
        <f t="shared" si="48"/>
        <v>0</v>
      </c>
      <c r="L393" s="247"/>
    </row>
    <row r="394" spans="1:12">
      <c r="A394" s="249">
        <v>331</v>
      </c>
      <c r="B394" s="248">
        <f t="shared" si="41"/>
        <v>0</v>
      </c>
      <c r="C394" s="248">
        <f t="shared" si="42"/>
        <v>0</v>
      </c>
      <c r="D394" s="248">
        <f t="shared" si="43"/>
        <v>0</v>
      </c>
      <c r="E394" s="248">
        <f t="shared" si="44"/>
        <v>0</v>
      </c>
      <c r="F394" s="247"/>
      <c r="G394" s="249">
        <v>331</v>
      </c>
      <c r="H394" s="248">
        <f t="shared" si="45"/>
        <v>0</v>
      </c>
      <c r="I394" s="248">
        <f t="shared" si="46"/>
        <v>0</v>
      </c>
      <c r="J394" s="248">
        <f t="shared" si="47"/>
        <v>0</v>
      </c>
      <c r="K394" s="248">
        <f t="shared" si="48"/>
        <v>0</v>
      </c>
      <c r="L394" s="247"/>
    </row>
    <row r="395" spans="1:12">
      <c r="A395" s="249">
        <v>332</v>
      </c>
      <c r="B395" s="248">
        <f t="shared" si="41"/>
        <v>0</v>
      </c>
      <c r="C395" s="248">
        <f t="shared" si="42"/>
        <v>0</v>
      </c>
      <c r="D395" s="248">
        <f t="shared" si="43"/>
        <v>0</v>
      </c>
      <c r="E395" s="248">
        <f t="shared" si="44"/>
        <v>0</v>
      </c>
      <c r="F395" s="247"/>
      <c r="G395" s="249">
        <v>332</v>
      </c>
      <c r="H395" s="248">
        <f t="shared" si="45"/>
        <v>0</v>
      </c>
      <c r="I395" s="248">
        <f t="shared" si="46"/>
        <v>0</v>
      </c>
      <c r="J395" s="248">
        <f t="shared" si="47"/>
        <v>0</v>
      </c>
      <c r="K395" s="248">
        <f t="shared" si="48"/>
        <v>0</v>
      </c>
      <c r="L395" s="247"/>
    </row>
    <row r="396" spans="1:12">
      <c r="A396" s="249">
        <v>333</v>
      </c>
      <c r="B396" s="248">
        <f t="shared" si="41"/>
        <v>0</v>
      </c>
      <c r="C396" s="248">
        <f t="shared" si="42"/>
        <v>0</v>
      </c>
      <c r="D396" s="248">
        <f t="shared" si="43"/>
        <v>0</v>
      </c>
      <c r="E396" s="248">
        <f t="shared" si="44"/>
        <v>0</v>
      </c>
      <c r="F396" s="247"/>
      <c r="G396" s="249">
        <v>333</v>
      </c>
      <c r="H396" s="248">
        <f t="shared" si="45"/>
        <v>0</v>
      </c>
      <c r="I396" s="248">
        <f t="shared" si="46"/>
        <v>0</v>
      </c>
      <c r="J396" s="248">
        <f t="shared" si="47"/>
        <v>0</v>
      </c>
      <c r="K396" s="248">
        <f t="shared" si="48"/>
        <v>0</v>
      </c>
      <c r="L396" s="247"/>
    </row>
    <row r="397" spans="1:12">
      <c r="A397" s="249">
        <v>334</v>
      </c>
      <c r="B397" s="248">
        <f t="shared" si="41"/>
        <v>0</v>
      </c>
      <c r="C397" s="248">
        <f t="shared" si="42"/>
        <v>0</v>
      </c>
      <c r="D397" s="248">
        <f t="shared" si="43"/>
        <v>0</v>
      </c>
      <c r="E397" s="248">
        <f t="shared" si="44"/>
        <v>0</v>
      </c>
      <c r="F397" s="247"/>
      <c r="G397" s="249">
        <v>334</v>
      </c>
      <c r="H397" s="248">
        <f t="shared" si="45"/>
        <v>0</v>
      </c>
      <c r="I397" s="248">
        <f t="shared" si="46"/>
        <v>0</v>
      </c>
      <c r="J397" s="248">
        <f t="shared" si="47"/>
        <v>0</v>
      </c>
      <c r="K397" s="248">
        <f t="shared" si="48"/>
        <v>0</v>
      </c>
      <c r="L397" s="247"/>
    </row>
    <row r="398" spans="1:12">
      <c r="A398" s="249">
        <v>335</v>
      </c>
      <c r="B398" s="248">
        <f t="shared" si="41"/>
        <v>0</v>
      </c>
      <c r="C398" s="248">
        <f t="shared" si="42"/>
        <v>0</v>
      </c>
      <c r="D398" s="248">
        <f t="shared" si="43"/>
        <v>0</v>
      </c>
      <c r="E398" s="248">
        <f t="shared" si="44"/>
        <v>0</v>
      </c>
      <c r="F398" s="247"/>
      <c r="G398" s="249">
        <v>335</v>
      </c>
      <c r="H398" s="248">
        <f t="shared" si="45"/>
        <v>0</v>
      </c>
      <c r="I398" s="248">
        <f t="shared" si="46"/>
        <v>0</v>
      </c>
      <c r="J398" s="248">
        <f t="shared" si="47"/>
        <v>0</v>
      </c>
      <c r="K398" s="248">
        <f t="shared" si="48"/>
        <v>0</v>
      </c>
      <c r="L398" s="247"/>
    </row>
    <row r="399" spans="1:12">
      <c r="A399" s="249">
        <v>336</v>
      </c>
      <c r="B399" s="248">
        <f t="shared" si="41"/>
        <v>0</v>
      </c>
      <c r="C399" s="248">
        <f t="shared" si="42"/>
        <v>0</v>
      </c>
      <c r="D399" s="248">
        <f t="shared" si="43"/>
        <v>0</v>
      </c>
      <c r="E399" s="248">
        <f t="shared" si="44"/>
        <v>0</v>
      </c>
      <c r="F399" s="247">
        <v>28</v>
      </c>
      <c r="G399" s="249">
        <v>336</v>
      </c>
      <c r="H399" s="248">
        <f t="shared" si="45"/>
        <v>0</v>
      </c>
      <c r="I399" s="248">
        <f t="shared" si="46"/>
        <v>0</v>
      </c>
      <c r="J399" s="248">
        <f t="shared" si="47"/>
        <v>0</v>
      </c>
      <c r="K399" s="248">
        <f t="shared" si="48"/>
        <v>0</v>
      </c>
      <c r="L399" s="247">
        <v>28</v>
      </c>
    </row>
    <row r="400" spans="1:12">
      <c r="A400" s="249">
        <v>337</v>
      </c>
      <c r="B400" s="248">
        <f t="shared" si="41"/>
        <v>0</v>
      </c>
      <c r="C400" s="248">
        <f t="shared" si="42"/>
        <v>0</v>
      </c>
      <c r="D400" s="248">
        <f t="shared" si="43"/>
        <v>0</v>
      </c>
      <c r="E400" s="248">
        <f t="shared" si="44"/>
        <v>0</v>
      </c>
      <c r="F400" s="247"/>
      <c r="G400" s="249">
        <v>337</v>
      </c>
      <c r="H400" s="248">
        <f t="shared" si="45"/>
        <v>0</v>
      </c>
      <c r="I400" s="248">
        <f t="shared" si="46"/>
        <v>0</v>
      </c>
      <c r="J400" s="248">
        <f t="shared" si="47"/>
        <v>0</v>
      </c>
      <c r="K400" s="248">
        <f t="shared" si="48"/>
        <v>0</v>
      </c>
      <c r="L400" s="247"/>
    </row>
    <row r="401" spans="1:12">
      <c r="A401" s="249">
        <v>338</v>
      </c>
      <c r="B401" s="248">
        <f t="shared" si="41"/>
        <v>0</v>
      </c>
      <c r="C401" s="248">
        <f t="shared" si="42"/>
        <v>0</v>
      </c>
      <c r="D401" s="248">
        <f t="shared" si="43"/>
        <v>0</v>
      </c>
      <c r="E401" s="248">
        <f t="shared" si="44"/>
        <v>0</v>
      </c>
      <c r="F401" s="247"/>
      <c r="G401" s="249">
        <v>338</v>
      </c>
      <c r="H401" s="248">
        <f t="shared" si="45"/>
        <v>0</v>
      </c>
      <c r="I401" s="248">
        <f t="shared" si="46"/>
        <v>0</v>
      </c>
      <c r="J401" s="248">
        <f t="shared" si="47"/>
        <v>0</v>
      </c>
      <c r="K401" s="248">
        <f t="shared" si="48"/>
        <v>0</v>
      </c>
      <c r="L401" s="247"/>
    </row>
    <row r="402" spans="1:12">
      <c r="A402" s="249">
        <v>339</v>
      </c>
      <c r="B402" s="248">
        <f t="shared" si="41"/>
        <v>0</v>
      </c>
      <c r="C402" s="248">
        <f t="shared" si="42"/>
        <v>0</v>
      </c>
      <c r="D402" s="248">
        <f t="shared" si="43"/>
        <v>0</v>
      </c>
      <c r="E402" s="248">
        <f t="shared" si="44"/>
        <v>0</v>
      </c>
      <c r="F402" s="247"/>
      <c r="G402" s="249">
        <v>339</v>
      </c>
      <c r="H402" s="248">
        <f t="shared" si="45"/>
        <v>0</v>
      </c>
      <c r="I402" s="248">
        <f t="shared" si="46"/>
        <v>0</v>
      </c>
      <c r="J402" s="248">
        <f t="shared" si="47"/>
        <v>0</v>
      </c>
      <c r="K402" s="248">
        <f t="shared" si="48"/>
        <v>0</v>
      </c>
      <c r="L402" s="247"/>
    </row>
    <row r="403" spans="1:12">
      <c r="A403" s="249">
        <v>340</v>
      </c>
      <c r="B403" s="248">
        <f t="shared" si="41"/>
        <v>0</v>
      </c>
      <c r="C403" s="248">
        <f t="shared" si="42"/>
        <v>0</v>
      </c>
      <c r="D403" s="248">
        <f t="shared" si="43"/>
        <v>0</v>
      </c>
      <c r="E403" s="248">
        <f t="shared" si="44"/>
        <v>0</v>
      </c>
      <c r="F403" s="247"/>
      <c r="G403" s="249">
        <v>340</v>
      </c>
      <c r="H403" s="248">
        <f t="shared" si="45"/>
        <v>0</v>
      </c>
      <c r="I403" s="248">
        <f t="shared" si="46"/>
        <v>0</v>
      </c>
      <c r="J403" s="248">
        <f t="shared" si="47"/>
        <v>0</v>
      </c>
      <c r="K403" s="248">
        <f t="shared" si="48"/>
        <v>0</v>
      </c>
      <c r="L403" s="247"/>
    </row>
    <row r="404" spans="1:12">
      <c r="A404" s="249">
        <v>341</v>
      </c>
      <c r="B404" s="248">
        <f t="shared" si="41"/>
        <v>0</v>
      </c>
      <c r="C404" s="248">
        <f t="shared" si="42"/>
        <v>0</v>
      </c>
      <c r="D404" s="248">
        <f t="shared" si="43"/>
        <v>0</v>
      </c>
      <c r="E404" s="248">
        <f t="shared" si="44"/>
        <v>0</v>
      </c>
      <c r="F404" s="247"/>
      <c r="G404" s="249">
        <v>341</v>
      </c>
      <c r="H404" s="248">
        <f t="shared" si="45"/>
        <v>0</v>
      </c>
      <c r="I404" s="248">
        <f t="shared" si="46"/>
        <v>0</v>
      </c>
      <c r="J404" s="248">
        <f t="shared" si="47"/>
        <v>0</v>
      </c>
      <c r="K404" s="248">
        <f t="shared" si="48"/>
        <v>0</v>
      </c>
      <c r="L404" s="247"/>
    </row>
    <row r="405" spans="1:12">
      <c r="A405" s="249">
        <v>342</v>
      </c>
      <c r="B405" s="248">
        <f t="shared" si="41"/>
        <v>0</v>
      </c>
      <c r="C405" s="248">
        <f t="shared" si="42"/>
        <v>0</v>
      </c>
      <c r="D405" s="248">
        <f t="shared" si="43"/>
        <v>0</v>
      </c>
      <c r="E405" s="248">
        <f t="shared" si="44"/>
        <v>0</v>
      </c>
      <c r="F405" s="247"/>
      <c r="G405" s="249">
        <v>342</v>
      </c>
      <c r="H405" s="248">
        <f t="shared" si="45"/>
        <v>0</v>
      </c>
      <c r="I405" s="248">
        <f t="shared" si="46"/>
        <v>0</v>
      </c>
      <c r="J405" s="248">
        <f t="shared" si="47"/>
        <v>0</v>
      </c>
      <c r="K405" s="248">
        <f t="shared" si="48"/>
        <v>0</v>
      </c>
      <c r="L405" s="247"/>
    </row>
    <row r="406" spans="1:12">
      <c r="A406" s="249">
        <v>343</v>
      </c>
      <c r="B406" s="248">
        <f t="shared" si="41"/>
        <v>0</v>
      </c>
      <c r="C406" s="248">
        <f t="shared" si="42"/>
        <v>0</v>
      </c>
      <c r="D406" s="248">
        <f t="shared" si="43"/>
        <v>0</v>
      </c>
      <c r="E406" s="248">
        <f t="shared" si="44"/>
        <v>0</v>
      </c>
      <c r="F406" s="247"/>
      <c r="G406" s="249">
        <v>343</v>
      </c>
      <c r="H406" s="248">
        <f t="shared" si="45"/>
        <v>0</v>
      </c>
      <c r="I406" s="248">
        <f t="shared" si="46"/>
        <v>0</v>
      </c>
      <c r="J406" s="248">
        <f t="shared" si="47"/>
        <v>0</v>
      </c>
      <c r="K406" s="248">
        <f t="shared" si="48"/>
        <v>0</v>
      </c>
      <c r="L406" s="247"/>
    </row>
    <row r="407" spans="1:12">
      <c r="A407" s="249">
        <v>344</v>
      </c>
      <c r="B407" s="248">
        <f t="shared" si="41"/>
        <v>0</v>
      </c>
      <c r="C407" s="248">
        <f t="shared" si="42"/>
        <v>0</v>
      </c>
      <c r="D407" s="248">
        <f t="shared" si="43"/>
        <v>0</v>
      </c>
      <c r="E407" s="248">
        <f t="shared" si="44"/>
        <v>0</v>
      </c>
      <c r="F407" s="247"/>
      <c r="G407" s="249">
        <v>344</v>
      </c>
      <c r="H407" s="248">
        <f t="shared" si="45"/>
        <v>0</v>
      </c>
      <c r="I407" s="248">
        <f t="shared" si="46"/>
        <v>0</v>
      </c>
      <c r="J407" s="248">
        <f t="shared" si="47"/>
        <v>0</v>
      </c>
      <c r="K407" s="248">
        <f t="shared" si="48"/>
        <v>0</v>
      </c>
      <c r="L407" s="247"/>
    </row>
    <row r="408" spans="1:12">
      <c r="A408" s="249">
        <v>345</v>
      </c>
      <c r="B408" s="248">
        <f t="shared" si="41"/>
        <v>0</v>
      </c>
      <c r="C408" s="248">
        <f t="shared" si="42"/>
        <v>0</v>
      </c>
      <c r="D408" s="248">
        <f t="shared" si="43"/>
        <v>0</v>
      </c>
      <c r="E408" s="248">
        <f t="shared" si="44"/>
        <v>0</v>
      </c>
      <c r="F408" s="247"/>
      <c r="G408" s="249">
        <v>345</v>
      </c>
      <c r="H408" s="248">
        <f t="shared" si="45"/>
        <v>0</v>
      </c>
      <c r="I408" s="248">
        <f t="shared" si="46"/>
        <v>0</v>
      </c>
      <c r="J408" s="248">
        <f t="shared" si="47"/>
        <v>0</v>
      </c>
      <c r="K408" s="248">
        <f t="shared" si="48"/>
        <v>0</v>
      </c>
      <c r="L408" s="247"/>
    </row>
    <row r="409" spans="1:12">
      <c r="A409" s="249">
        <v>346</v>
      </c>
      <c r="B409" s="248">
        <f t="shared" si="41"/>
        <v>0</v>
      </c>
      <c r="C409" s="248">
        <f t="shared" si="42"/>
        <v>0</v>
      </c>
      <c r="D409" s="248">
        <f t="shared" si="43"/>
        <v>0</v>
      </c>
      <c r="E409" s="248">
        <f t="shared" si="44"/>
        <v>0</v>
      </c>
      <c r="F409" s="247"/>
      <c r="G409" s="249">
        <v>346</v>
      </c>
      <c r="H409" s="248">
        <f t="shared" si="45"/>
        <v>0</v>
      </c>
      <c r="I409" s="248">
        <f t="shared" si="46"/>
        <v>0</v>
      </c>
      <c r="J409" s="248">
        <f t="shared" si="47"/>
        <v>0</v>
      </c>
      <c r="K409" s="248">
        <f t="shared" si="48"/>
        <v>0</v>
      </c>
      <c r="L409" s="247"/>
    </row>
    <row r="410" spans="1:12">
      <c r="A410" s="249">
        <v>347</v>
      </c>
      <c r="B410" s="248">
        <f t="shared" si="41"/>
        <v>0</v>
      </c>
      <c r="C410" s="248">
        <f t="shared" si="42"/>
        <v>0</v>
      </c>
      <c r="D410" s="248">
        <f t="shared" si="43"/>
        <v>0</v>
      </c>
      <c r="E410" s="248">
        <f t="shared" si="44"/>
        <v>0</v>
      </c>
      <c r="F410" s="247"/>
      <c r="G410" s="249">
        <v>347</v>
      </c>
      <c r="H410" s="248">
        <f t="shared" si="45"/>
        <v>0</v>
      </c>
      <c r="I410" s="248">
        <f t="shared" si="46"/>
        <v>0</v>
      </c>
      <c r="J410" s="248">
        <f t="shared" si="47"/>
        <v>0</v>
      </c>
      <c r="K410" s="248">
        <f t="shared" si="48"/>
        <v>0</v>
      </c>
      <c r="L410" s="247"/>
    </row>
    <row r="411" spans="1:12">
      <c r="A411" s="249">
        <v>348</v>
      </c>
      <c r="B411" s="248">
        <f t="shared" si="41"/>
        <v>0</v>
      </c>
      <c r="C411" s="248">
        <f t="shared" si="42"/>
        <v>0</v>
      </c>
      <c r="D411" s="248">
        <f t="shared" si="43"/>
        <v>0</v>
      </c>
      <c r="E411" s="248">
        <f t="shared" si="44"/>
        <v>0</v>
      </c>
      <c r="F411" s="247">
        <v>29</v>
      </c>
      <c r="G411" s="249">
        <v>348</v>
      </c>
      <c r="H411" s="248">
        <f t="shared" si="45"/>
        <v>0</v>
      </c>
      <c r="I411" s="248">
        <f t="shared" si="46"/>
        <v>0</v>
      </c>
      <c r="J411" s="248">
        <f t="shared" si="47"/>
        <v>0</v>
      </c>
      <c r="K411" s="248">
        <f t="shared" si="48"/>
        <v>0</v>
      </c>
      <c r="L411" s="247">
        <v>29</v>
      </c>
    </row>
    <row r="412" spans="1:12">
      <c r="A412" s="249">
        <v>349</v>
      </c>
      <c r="B412" s="248">
        <f t="shared" si="41"/>
        <v>0</v>
      </c>
      <c r="C412" s="248">
        <f t="shared" si="42"/>
        <v>0</v>
      </c>
      <c r="D412" s="248">
        <f t="shared" si="43"/>
        <v>0</v>
      </c>
      <c r="E412" s="248">
        <f t="shared" si="44"/>
        <v>0</v>
      </c>
      <c r="F412" s="247"/>
      <c r="G412" s="249">
        <v>349</v>
      </c>
      <c r="H412" s="248">
        <f t="shared" si="45"/>
        <v>0</v>
      </c>
      <c r="I412" s="248">
        <f t="shared" si="46"/>
        <v>0</v>
      </c>
      <c r="J412" s="248">
        <f t="shared" si="47"/>
        <v>0</v>
      </c>
      <c r="K412" s="248">
        <f t="shared" si="48"/>
        <v>0</v>
      </c>
      <c r="L412" s="247"/>
    </row>
    <row r="413" spans="1:12">
      <c r="A413" s="249">
        <v>350</v>
      </c>
      <c r="B413" s="248">
        <f t="shared" si="41"/>
        <v>0</v>
      </c>
      <c r="C413" s="248">
        <f t="shared" si="42"/>
        <v>0</v>
      </c>
      <c r="D413" s="248">
        <f t="shared" si="43"/>
        <v>0</v>
      </c>
      <c r="E413" s="248">
        <f t="shared" si="44"/>
        <v>0</v>
      </c>
      <c r="F413" s="247"/>
      <c r="G413" s="249">
        <v>350</v>
      </c>
      <c r="H413" s="248">
        <f t="shared" si="45"/>
        <v>0</v>
      </c>
      <c r="I413" s="248">
        <f t="shared" si="46"/>
        <v>0</v>
      </c>
      <c r="J413" s="248">
        <f t="shared" si="47"/>
        <v>0</v>
      </c>
      <c r="K413" s="248">
        <f t="shared" si="48"/>
        <v>0</v>
      </c>
      <c r="L413" s="247"/>
    </row>
    <row r="414" spans="1:12">
      <c r="A414" s="249">
        <v>351</v>
      </c>
      <c r="B414" s="248">
        <f t="shared" si="41"/>
        <v>0</v>
      </c>
      <c r="C414" s="248">
        <f t="shared" si="42"/>
        <v>0</v>
      </c>
      <c r="D414" s="248">
        <f t="shared" si="43"/>
        <v>0</v>
      </c>
      <c r="E414" s="248">
        <f t="shared" si="44"/>
        <v>0</v>
      </c>
      <c r="F414" s="247"/>
      <c r="G414" s="249">
        <v>351</v>
      </c>
      <c r="H414" s="248">
        <f t="shared" si="45"/>
        <v>0</v>
      </c>
      <c r="I414" s="248">
        <f t="shared" si="46"/>
        <v>0</v>
      </c>
      <c r="J414" s="248">
        <f t="shared" si="47"/>
        <v>0</v>
      </c>
      <c r="K414" s="248">
        <f t="shared" si="48"/>
        <v>0</v>
      </c>
      <c r="L414" s="247"/>
    </row>
    <row r="415" spans="1:12">
      <c r="A415" s="249">
        <v>352</v>
      </c>
      <c r="B415" s="248">
        <f t="shared" si="41"/>
        <v>0</v>
      </c>
      <c r="C415" s="248">
        <f t="shared" si="42"/>
        <v>0</v>
      </c>
      <c r="D415" s="248">
        <f t="shared" si="43"/>
        <v>0</v>
      </c>
      <c r="E415" s="248">
        <f t="shared" si="44"/>
        <v>0</v>
      </c>
      <c r="F415" s="247"/>
      <c r="G415" s="249">
        <v>352</v>
      </c>
      <c r="H415" s="248">
        <f t="shared" si="45"/>
        <v>0</v>
      </c>
      <c r="I415" s="248">
        <f t="shared" si="46"/>
        <v>0</v>
      </c>
      <c r="J415" s="248">
        <f t="shared" si="47"/>
        <v>0</v>
      </c>
      <c r="K415" s="248">
        <f t="shared" si="48"/>
        <v>0</v>
      </c>
      <c r="L415" s="247"/>
    </row>
    <row r="416" spans="1:12">
      <c r="A416" s="249">
        <v>353</v>
      </c>
      <c r="B416" s="248">
        <f t="shared" si="41"/>
        <v>0</v>
      </c>
      <c r="C416" s="248">
        <f t="shared" si="42"/>
        <v>0</v>
      </c>
      <c r="D416" s="248">
        <f t="shared" si="43"/>
        <v>0</v>
      </c>
      <c r="E416" s="248">
        <f t="shared" si="44"/>
        <v>0</v>
      </c>
      <c r="F416" s="247"/>
      <c r="G416" s="249">
        <v>353</v>
      </c>
      <c r="H416" s="248">
        <f t="shared" si="45"/>
        <v>0</v>
      </c>
      <c r="I416" s="248">
        <f t="shared" si="46"/>
        <v>0</v>
      </c>
      <c r="J416" s="248">
        <f t="shared" si="47"/>
        <v>0</v>
      </c>
      <c r="K416" s="248">
        <f t="shared" si="48"/>
        <v>0</v>
      </c>
      <c r="L416" s="247"/>
    </row>
    <row r="417" spans="1:12">
      <c r="A417" s="249">
        <v>354</v>
      </c>
      <c r="B417" s="248">
        <f t="shared" si="41"/>
        <v>0</v>
      </c>
      <c r="C417" s="248">
        <f t="shared" si="42"/>
        <v>0</v>
      </c>
      <c r="D417" s="248">
        <f t="shared" si="43"/>
        <v>0</v>
      </c>
      <c r="E417" s="248">
        <f t="shared" si="44"/>
        <v>0</v>
      </c>
      <c r="F417" s="247"/>
      <c r="G417" s="249">
        <v>354</v>
      </c>
      <c r="H417" s="248">
        <f t="shared" si="45"/>
        <v>0</v>
      </c>
      <c r="I417" s="248">
        <f t="shared" si="46"/>
        <v>0</v>
      </c>
      <c r="J417" s="248">
        <f t="shared" si="47"/>
        <v>0</v>
      </c>
      <c r="K417" s="248">
        <f t="shared" si="48"/>
        <v>0</v>
      </c>
      <c r="L417" s="247"/>
    </row>
    <row r="418" spans="1:12">
      <c r="A418" s="249">
        <v>355</v>
      </c>
      <c r="B418" s="248">
        <f t="shared" si="41"/>
        <v>0</v>
      </c>
      <c r="C418" s="248">
        <f t="shared" si="42"/>
        <v>0</v>
      </c>
      <c r="D418" s="248">
        <f t="shared" si="43"/>
        <v>0</v>
      </c>
      <c r="E418" s="248">
        <f t="shared" si="44"/>
        <v>0</v>
      </c>
      <c r="F418" s="247"/>
      <c r="G418" s="249">
        <v>355</v>
      </c>
      <c r="H418" s="248">
        <f t="shared" si="45"/>
        <v>0</v>
      </c>
      <c r="I418" s="248">
        <f t="shared" si="46"/>
        <v>0</v>
      </c>
      <c r="J418" s="248">
        <f t="shared" si="47"/>
        <v>0</v>
      </c>
      <c r="K418" s="248">
        <f t="shared" si="48"/>
        <v>0</v>
      </c>
      <c r="L418" s="247"/>
    </row>
    <row r="419" spans="1:12">
      <c r="A419" s="249">
        <v>356</v>
      </c>
      <c r="B419" s="248">
        <f t="shared" si="41"/>
        <v>0</v>
      </c>
      <c r="C419" s="248">
        <f t="shared" si="42"/>
        <v>0</v>
      </c>
      <c r="D419" s="248">
        <f t="shared" si="43"/>
        <v>0</v>
      </c>
      <c r="E419" s="248">
        <f t="shared" si="44"/>
        <v>0</v>
      </c>
      <c r="F419" s="247"/>
      <c r="G419" s="249">
        <v>356</v>
      </c>
      <c r="H419" s="248">
        <f t="shared" si="45"/>
        <v>0</v>
      </c>
      <c r="I419" s="248">
        <f t="shared" si="46"/>
        <v>0</v>
      </c>
      <c r="J419" s="248">
        <f t="shared" si="47"/>
        <v>0</v>
      </c>
      <c r="K419" s="248">
        <f t="shared" si="48"/>
        <v>0</v>
      </c>
      <c r="L419" s="247"/>
    </row>
    <row r="420" spans="1:12">
      <c r="A420" s="249">
        <v>357</v>
      </c>
      <c r="B420" s="248">
        <f t="shared" si="41"/>
        <v>0</v>
      </c>
      <c r="C420" s="248">
        <f t="shared" si="42"/>
        <v>0</v>
      </c>
      <c r="D420" s="248">
        <f t="shared" si="43"/>
        <v>0</v>
      </c>
      <c r="E420" s="248">
        <f t="shared" si="44"/>
        <v>0</v>
      </c>
      <c r="F420" s="247"/>
      <c r="G420" s="249">
        <v>357</v>
      </c>
      <c r="H420" s="248">
        <f t="shared" si="45"/>
        <v>0</v>
      </c>
      <c r="I420" s="248">
        <f t="shared" si="46"/>
        <v>0</v>
      </c>
      <c r="J420" s="248">
        <f t="shared" si="47"/>
        <v>0</v>
      </c>
      <c r="K420" s="248">
        <f t="shared" si="48"/>
        <v>0</v>
      </c>
      <c r="L420" s="247"/>
    </row>
    <row r="421" spans="1:12">
      <c r="A421" s="249">
        <v>358</v>
      </c>
      <c r="B421" s="248">
        <f t="shared" si="41"/>
        <v>0</v>
      </c>
      <c r="C421" s="248">
        <f t="shared" si="42"/>
        <v>0</v>
      </c>
      <c r="D421" s="248">
        <f t="shared" si="43"/>
        <v>0</v>
      </c>
      <c r="E421" s="248">
        <f t="shared" si="44"/>
        <v>0</v>
      </c>
      <c r="F421" s="247"/>
      <c r="G421" s="249">
        <v>358</v>
      </c>
      <c r="H421" s="248">
        <f t="shared" si="45"/>
        <v>0</v>
      </c>
      <c r="I421" s="248">
        <f t="shared" si="46"/>
        <v>0</v>
      </c>
      <c r="J421" s="248">
        <f t="shared" si="47"/>
        <v>0</v>
      </c>
      <c r="K421" s="248">
        <f t="shared" si="48"/>
        <v>0</v>
      </c>
      <c r="L421" s="247"/>
    </row>
    <row r="422" spans="1:12">
      <c r="A422" s="249">
        <v>359</v>
      </c>
      <c r="B422" s="248">
        <f t="shared" si="41"/>
        <v>0</v>
      </c>
      <c r="C422" s="248">
        <f t="shared" si="42"/>
        <v>0</v>
      </c>
      <c r="D422" s="248">
        <f t="shared" si="43"/>
        <v>0</v>
      </c>
      <c r="E422" s="248">
        <f t="shared" si="44"/>
        <v>0</v>
      </c>
      <c r="F422" s="247"/>
      <c r="G422" s="249">
        <v>359</v>
      </c>
      <c r="H422" s="248">
        <f t="shared" si="45"/>
        <v>0</v>
      </c>
      <c r="I422" s="248">
        <f t="shared" si="46"/>
        <v>0</v>
      </c>
      <c r="J422" s="248">
        <f t="shared" si="47"/>
        <v>0</v>
      </c>
      <c r="K422" s="248">
        <f t="shared" si="48"/>
        <v>0</v>
      </c>
      <c r="L422" s="247"/>
    </row>
    <row r="423" spans="1:12">
      <c r="A423" s="249">
        <v>360</v>
      </c>
      <c r="B423" s="248">
        <f t="shared" si="41"/>
        <v>0</v>
      </c>
      <c r="C423" s="248">
        <f t="shared" si="42"/>
        <v>0</v>
      </c>
      <c r="D423" s="248">
        <f t="shared" si="43"/>
        <v>0</v>
      </c>
      <c r="E423" s="248">
        <f t="shared" si="44"/>
        <v>0</v>
      </c>
      <c r="F423" s="247">
        <v>30</v>
      </c>
      <c r="G423" s="249">
        <v>360</v>
      </c>
      <c r="H423" s="248">
        <f t="shared" si="45"/>
        <v>0</v>
      </c>
      <c r="I423" s="248">
        <f t="shared" si="46"/>
        <v>0</v>
      </c>
      <c r="J423" s="248">
        <f t="shared" si="47"/>
        <v>0</v>
      </c>
      <c r="K423" s="248">
        <f t="shared" si="48"/>
        <v>0</v>
      </c>
      <c r="L423" s="247">
        <v>30</v>
      </c>
    </row>
    <row r="424" spans="1:12">
      <c r="A424" s="249">
        <v>361</v>
      </c>
      <c r="B424" s="248">
        <f t="shared" si="41"/>
        <v>0</v>
      </c>
      <c r="C424" s="248">
        <f t="shared" si="42"/>
        <v>0</v>
      </c>
      <c r="D424" s="248">
        <f t="shared" si="43"/>
        <v>0</v>
      </c>
      <c r="E424" s="248">
        <f t="shared" si="44"/>
        <v>0</v>
      </c>
      <c r="F424" s="247"/>
      <c r="G424" s="249">
        <v>361</v>
      </c>
      <c r="H424" s="248">
        <f t="shared" si="45"/>
        <v>0</v>
      </c>
      <c r="I424" s="248">
        <f t="shared" si="46"/>
        <v>0</v>
      </c>
      <c r="J424" s="248">
        <f t="shared" si="47"/>
        <v>0</v>
      </c>
      <c r="K424" s="248">
        <f t="shared" si="48"/>
        <v>0</v>
      </c>
      <c r="L424" s="247"/>
    </row>
    <row r="425" spans="1:12">
      <c r="A425" s="249">
        <v>362</v>
      </c>
      <c r="B425" s="248">
        <f t="shared" si="41"/>
        <v>0</v>
      </c>
      <c r="C425" s="248">
        <f t="shared" si="42"/>
        <v>0</v>
      </c>
      <c r="D425" s="248">
        <f t="shared" si="43"/>
        <v>0</v>
      </c>
      <c r="E425" s="248">
        <f t="shared" si="44"/>
        <v>0</v>
      </c>
      <c r="F425" s="247"/>
      <c r="G425" s="249">
        <v>362</v>
      </c>
      <c r="H425" s="248">
        <f t="shared" si="45"/>
        <v>0</v>
      </c>
      <c r="I425" s="248">
        <f t="shared" si="46"/>
        <v>0</v>
      </c>
      <c r="J425" s="248">
        <f t="shared" si="47"/>
        <v>0</v>
      </c>
      <c r="K425" s="248">
        <f t="shared" si="48"/>
        <v>0</v>
      </c>
      <c r="L425" s="247"/>
    </row>
    <row r="426" spans="1:12">
      <c r="A426" s="249">
        <v>363</v>
      </c>
      <c r="B426" s="248">
        <f t="shared" si="41"/>
        <v>0</v>
      </c>
      <c r="C426" s="248">
        <f t="shared" si="42"/>
        <v>0</v>
      </c>
      <c r="D426" s="248">
        <f t="shared" si="43"/>
        <v>0</v>
      </c>
      <c r="E426" s="248">
        <f t="shared" si="44"/>
        <v>0</v>
      </c>
      <c r="F426" s="247"/>
      <c r="G426" s="249">
        <v>363</v>
      </c>
      <c r="H426" s="248">
        <f t="shared" si="45"/>
        <v>0</v>
      </c>
      <c r="I426" s="248">
        <f t="shared" si="46"/>
        <v>0</v>
      </c>
      <c r="J426" s="248">
        <f t="shared" si="47"/>
        <v>0</v>
      </c>
      <c r="K426" s="248">
        <f t="shared" si="48"/>
        <v>0</v>
      </c>
      <c r="L426" s="247"/>
    </row>
    <row r="427" spans="1:12">
      <c r="A427" s="249">
        <v>364</v>
      </c>
      <c r="B427" s="248">
        <f t="shared" si="41"/>
        <v>0</v>
      </c>
      <c r="C427" s="248">
        <f t="shared" si="42"/>
        <v>0</v>
      </c>
      <c r="D427" s="248">
        <f t="shared" si="43"/>
        <v>0</v>
      </c>
      <c r="E427" s="248">
        <f t="shared" si="44"/>
        <v>0</v>
      </c>
      <c r="F427" s="247"/>
      <c r="G427" s="249">
        <v>364</v>
      </c>
      <c r="H427" s="248">
        <f t="shared" si="45"/>
        <v>0</v>
      </c>
      <c r="I427" s="248">
        <f t="shared" si="46"/>
        <v>0</v>
      </c>
      <c r="J427" s="248">
        <f t="shared" si="47"/>
        <v>0</v>
      </c>
      <c r="K427" s="248">
        <f t="shared" si="48"/>
        <v>0</v>
      </c>
      <c r="L427" s="247"/>
    </row>
    <row r="428" spans="1:12">
      <c r="A428" s="249">
        <v>365</v>
      </c>
      <c r="B428" s="248">
        <f t="shared" si="41"/>
        <v>0</v>
      </c>
      <c r="C428" s="248">
        <f t="shared" si="42"/>
        <v>0</v>
      </c>
      <c r="D428" s="248">
        <f t="shared" si="43"/>
        <v>0</v>
      </c>
      <c r="E428" s="248">
        <f t="shared" si="44"/>
        <v>0</v>
      </c>
      <c r="F428" s="247"/>
      <c r="G428" s="249">
        <v>365</v>
      </c>
      <c r="H428" s="248">
        <f t="shared" si="45"/>
        <v>0</v>
      </c>
      <c r="I428" s="248">
        <f t="shared" si="46"/>
        <v>0</v>
      </c>
      <c r="J428" s="248">
        <f t="shared" si="47"/>
        <v>0</v>
      </c>
      <c r="K428" s="248">
        <f t="shared" si="48"/>
        <v>0</v>
      </c>
      <c r="L428" s="247"/>
    </row>
    <row r="429" spans="1:12">
      <c r="A429" s="249">
        <v>366</v>
      </c>
      <c r="B429" s="248">
        <f t="shared" si="41"/>
        <v>0</v>
      </c>
      <c r="C429" s="248">
        <f t="shared" si="42"/>
        <v>0</v>
      </c>
      <c r="D429" s="248">
        <f t="shared" si="43"/>
        <v>0</v>
      </c>
      <c r="E429" s="248">
        <f t="shared" si="44"/>
        <v>0</v>
      </c>
      <c r="F429" s="247"/>
      <c r="G429" s="249">
        <v>366</v>
      </c>
      <c r="H429" s="248">
        <f t="shared" si="45"/>
        <v>0</v>
      </c>
      <c r="I429" s="248">
        <f t="shared" si="46"/>
        <v>0</v>
      </c>
      <c r="J429" s="248">
        <f t="shared" si="47"/>
        <v>0</v>
      </c>
      <c r="K429" s="248">
        <f t="shared" si="48"/>
        <v>0</v>
      </c>
      <c r="L429" s="247"/>
    </row>
    <row r="430" spans="1:12">
      <c r="A430" s="249">
        <v>367</v>
      </c>
      <c r="B430" s="248">
        <f t="shared" si="41"/>
        <v>0</v>
      </c>
      <c r="C430" s="248">
        <f t="shared" si="42"/>
        <v>0</v>
      </c>
      <c r="D430" s="248">
        <f t="shared" si="43"/>
        <v>0</v>
      </c>
      <c r="E430" s="248">
        <f t="shared" si="44"/>
        <v>0</v>
      </c>
      <c r="F430" s="247"/>
      <c r="G430" s="249">
        <v>367</v>
      </c>
      <c r="H430" s="248">
        <f t="shared" si="45"/>
        <v>0</v>
      </c>
      <c r="I430" s="248">
        <f t="shared" si="46"/>
        <v>0</v>
      </c>
      <c r="J430" s="248">
        <f t="shared" si="47"/>
        <v>0</v>
      </c>
      <c r="K430" s="248">
        <f t="shared" si="48"/>
        <v>0</v>
      </c>
      <c r="L430" s="247"/>
    </row>
    <row r="431" spans="1:12">
      <c r="A431" s="249">
        <v>368</v>
      </c>
      <c r="B431" s="248">
        <f t="shared" si="41"/>
        <v>0</v>
      </c>
      <c r="C431" s="248">
        <f t="shared" si="42"/>
        <v>0</v>
      </c>
      <c r="D431" s="248">
        <f t="shared" si="43"/>
        <v>0</v>
      </c>
      <c r="E431" s="248">
        <f t="shared" si="44"/>
        <v>0</v>
      </c>
      <c r="F431" s="247"/>
      <c r="G431" s="249">
        <v>368</v>
      </c>
      <c r="H431" s="248">
        <f t="shared" si="45"/>
        <v>0</v>
      </c>
      <c r="I431" s="248">
        <f t="shared" si="46"/>
        <v>0</v>
      </c>
      <c r="J431" s="248">
        <f t="shared" si="47"/>
        <v>0</v>
      </c>
      <c r="K431" s="248">
        <f t="shared" si="48"/>
        <v>0</v>
      </c>
      <c r="L431" s="247"/>
    </row>
    <row r="432" spans="1:12">
      <c r="A432" s="249">
        <v>369</v>
      </c>
      <c r="B432" s="248">
        <f t="shared" si="41"/>
        <v>0</v>
      </c>
      <c r="C432" s="248">
        <f t="shared" si="42"/>
        <v>0</v>
      </c>
      <c r="D432" s="248">
        <f t="shared" si="43"/>
        <v>0</v>
      </c>
      <c r="E432" s="248">
        <f t="shared" si="44"/>
        <v>0</v>
      </c>
      <c r="F432" s="247"/>
      <c r="G432" s="249">
        <v>369</v>
      </c>
      <c r="H432" s="248">
        <f t="shared" si="45"/>
        <v>0</v>
      </c>
      <c r="I432" s="248">
        <f t="shared" si="46"/>
        <v>0</v>
      </c>
      <c r="J432" s="248">
        <f t="shared" si="47"/>
        <v>0</v>
      </c>
      <c r="K432" s="248">
        <f t="shared" si="48"/>
        <v>0</v>
      </c>
      <c r="L432" s="247"/>
    </row>
    <row r="433" spans="1:12">
      <c r="A433" s="249">
        <v>370</v>
      </c>
      <c r="B433" s="248">
        <f t="shared" si="41"/>
        <v>0</v>
      </c>
      <c r="C433" s="248">
        <f t="shared" si="42"/>
        <v>0</v>
      </c>
      <c r="D433" s="248">
        <f t="shared" si="43"/>
        <v>0</v>
      </c>
      <c r="E433" s="248">
        <f t="shared" si="44"/>
        <v>0</v>
      </c>
      <c r="F433" s="247"/>
      <c r="G433" s="249">
        <v>370</v>
      </c>
      <c r="H433" s="248">
        <f t="shared" si="45"/>
        <v>0</v>
      </c>
      <c r="I433" s="248">
        <f t="shared" si="46"/>
        <v>0</v>
      </c>
      <c r="J433" s="248">
        <f t="shared" si="47"/>
        <v>0</v>
      </c>
      <c r="K433" s="248">
        <f t="shared" si="48"/>
        <v>0</v>
      </c>
      <c r="L433" s="247"/>
    </row>
    <row r="434" spans="1:12">
      <c r="A434" s="249">
        <v>371</v>
      </c>
      <c r="B434" s="248">
        <f t="shared" si="41"/>
        <v>0</v>
      </c>
      <c r="C434" s="248">
        <f t="shared" si="42"/>
        <v>0</v>
      </c>
      <c r="D434" s="248">
        <f t="shared" si="43"/>
        <v>0</v>
      </c>
      <c r="E434" s="248">
        <f t="shared" si="44"/>
        <v>0</v>
      </c>
      <c r="F434" s="247"/>
      <c r="G434" s="249">
        <v>371</v>
      </c>
      <c r="H434" s="248">
        <f t="shared" si="45"/>
        <v>0</v>
      </c>
      <c r="I434" s="248">
        <f t="shared" si="46"/>
        <v>0</v>
      </c>
      <c r="J434" s="248">
        <f t="shared" si="47"/>
        <v>0</v>
      </c>
      <c r="K434" s="248">
        <f t="shared" si="48"/>
        <v>0</v>
      </c>
      <c r="L434" s="247"/>
    </row>
    <row r="435" spans="1:12">
      <c r="A435" s="249">
        <v>372</v>
      </c>
      <c r="B435" s="248">
        <f t="shared" si="41"/>
        <v>0</v>
      </c>
      <c r="C435" s="248">
        <f t="shared" si="42"/>
        <v>0</v>
      </c>
      <c r="D435" s="248">
        <f t="shared" si="43"/>
        <v>0</v>
      </c>
      <c r="E435" s="248">
        <f t="shared" si="44"/>
        <v>0</v>
      </c>
      <c r="F435" s="247">
        <v>31</v>
      </c>
      <c r="G435" s="249">
        <v>372</v>
      </c>
      <c r="H435" s="248">
        <f t="shared" si="45"/>
        <v>0</v>
      </c>
      <c r="I435" s="248">
        <f t="shared" si="46"/>
        <v>0</v>
      </c>
      <c r="J435" s="248">
        <f t="shared" si="47"/>
        <v>0</v>
      </c>
      <c r="K435" s="248">
        <f t="shared" si="48"/>
        <v>0</v>
      </c>
      <c r="L435" s="247">
        <v>31</v>
      </c>
    </row>
    <row r="436" spans="1:12">
      <c r="A436" s="249">
        <v>373</v>
      </c>
      <c r="B436" s="248">
        <f t="shared" si="41"/>
        <v>0</v>
      </c>
      <c r="C436" s="248">
        <f t="shared" si="42"/>
        <v>0</v>
      </c>
      <c r="D436" s="248">
        <f t="shared" si="43"/>
        <v>0</v>
      </c>
      <c r="E436" s="248">
        <f t="shared" si="44"/>
        <v>0</v>
      </c>
      <c r="F436" s="247"/>
      <c r="G436" s="249">
        <v>373</v>
      </c>
      <c r="H436" s="248">
        <f t="shared" si="45"/>
        <v>0</v>
      </c>
      <c r="I436" s="248">
        <f t="shared" si="46"/>
        <v>0</v>
      </c>
      <c r="J436" s="248">
        <f t="shared" si="47"/>
        <v>0</v>
      </c>
      <c r="K436" s="248">
        <f t="shared" si="48"/>
        <v>0</v>
      </c>
      <c r="L436" s="247"/>
    </row>
    <row r="437" spans="1:12">
      <c r="A437" s="249">
        <v>374</v>
      </c>
      <c r="B437" s="248">
        <f t="shared" si="41"/>
        <v>0</v>
      </c>
      <c r="C437" s="248">
        <f t="shared" si="42"/>
        <v>0</v>
      </c>
      <c r="D437" s="248">
        <f t="shared" si="43"/>
        <v>0</v>
      </c>
      <c r="E437" s="248">
        <f t="shared" si="44"/>
        <v>0</v>
      </c>
      <c r="F437" s="247"/>
      <c r="G437" s="249">
        <v>374</v>
      </c>
      <c r="H437" s="248">
        <f t="shared" si="45"/>
        <v>0</v>
      </c>
      <c r="I437" s="248">
        <f t="shared" si="46"/>
        <v>0</v>
      </c>
      <c r="J437" s="248">
        <f t="shared" si="47"/>
        <v>0</v>
      </c>
      <c r="K437" s="248">
        <f t="shared" si="48"/>
        <v>0</v>
      </c>
      <c r="L437" s="247"/>
    </row>
    <row r="438" spans="1:12">
      <c r="A438" s="249">
        <v>375</v>
      </c>
      <c r="B438" s="248">
        <f t="shared" si="41"/>
        <v>0</v>
      </c>
      <c r="C438" s="248">
        <f t="shared" si="42"/>
        <v>0</v>
      </c>
      <c r="D438" s="248">
        <f t="shared" si="43"/>
        <v>0</v>
      </c>
      <c r="E438" s="248">
        <f t="shared" si="44"/>
        <v>0</v>
      </c>
      <c r="F438" s="247"/>
      <c r="G438" s="249">
        <v>375</v>
      </c>
      <c r="H438" s="248">
        <f t="shared" si="45"/>
        <v>0</v>
      </c>
      <c r="I438" s="248">
        <f t="shared" si="46"/>
        <v>0</v>
      </c>
      <c r="J438" s="248">
        <f t="shared" si="47"/>
        <v>0</v>
      </c>
      <c r="K438" s="248">
        <f t="shared" si="48"/>
        <v>0</v>
      </c>
      <c r="L438" s="247"/>
    </row>
    <row r="439" spans="1:12">
      <c r="A439" s="249">
        <v>376</v>
      </c>
      <c r="B439" s="248">
        <f t="shared" si="41"/>
        <v>0</v>
      </c>
      <c r="C439" s="248">
        <f t="shared" si="42"/>
        <v>0</v>
      </c>
      <c r="D439" s="248">
        <f t="shared" si="43"/>
        <v>0</v>
      </c>
      <c r="E439" s="248">
        <f t="shared" si="44"/>
        <v>0</v>
      </c>
      <c r="F439" s="247"/>
      <c r="G439" s="249">
        <v>376</v>
      </c>
      <c r="H439" s="248">
        <f t="shared" si="45"/>
        <v>0</v>
      </c>
      <c r="I439" s="248">
        <f t="shared" si="46"/>
        <v>0</v>
      </c>
      <c r="J439" s="248">
        <f t="shared" si="47"/>
        <v>0</v>
      </c>
      <c r="K439" s="248">
        <f t="shared" si="48"/>
        <v>0</v>
      </c>
      <c r="L439" s="247"/>
    </row>
    <row r="440" spans="1:12">
      <c r="A440" s="249">
        <v>377</v>
      </c>
      <c r="B440" s="248">
        <f t="shared" si="41"/>
        <v>0</v>
      </c>
      <c r="C440" s="248">
        <f t="shared" si="42"/>
        <v>0</v>
      </c>
      <c r="D440" s="248">
        <f t="shared" si="43"/>
        <v>0</v>
      </c>
      <c r="E440" s="248">
        <f t="shared" si="44"/>
        <v>0</v>
      </c>
      <c r="F440" s="247"/>
      <c r="G440" s="249">
        <v>377</v>
      </c>
      <c r="H440" s="248">
        <f t="shared" si="45"/>
        <v>0</v>
      </c>
      <c r="I440" s="248">
        <f t="shared" si="46"/>
        <v>0</v>
      </c>
      <c r="J440" s="248">
        <f t="shared" si="47"/>
        <v>0</v>
      </c>
      <c r="K440" s="248">
        <f t="shared" si="48"/>
        <v>0</v>
      </c>
      <c r="L440" s="247"/>
    </row>
    <row r="441" spans="1:12">
      <c r="A441" s="249">
        <v>378</v>
      </c>
      <c r="B441" s="248">
        <f t="shared" si="41"/>
        <v>0</v>
      </c>
      <c r="C441" s="248">
        <f t="shared" si="42"/>
        <v>0</v>
      </c>
      <c r="D441" s="248">
        <f t="shared" si="43"/>
        <v>0</v>
      </c>
      <c r="E441" s="248">
        <f t="shared" si="44"/>
        <v>0</v>
      </c>
      <c r="F441" s="247"/>
      <c r="G441" s="249">
        <v>378</v>
      </c>
      <c r="H441" s="248">
        <f t="shared" si="45"/>
        <v>0</v>
      </c>
      <c r="I441" s="248">
        <f t="shared" si="46"/>
        <v>0</v>
      </c>
      <c r="J441" s="248">
        <f t="shared" si="47"/>
        <v>0</v>
      </c>
      <c r="K441" s="248">
        <f t="shared" si="48"/>
        <v>0</v>
      </c>
      <c r="L441" s="247"/>
    </row>
    <row r="442" spans="1:12">
      <c r="A442" s="249">
        <v>379</v>
      </c>
      <c r="B442" s="248">
        <f t="shared" si="41"/>
        <v>0</v>
      </c>
      <c r="C442" s="248">
        <f t="shared" si="42"/>
        <v>0</v>
      </c>
      <c r="D442" s="248">
        <f t="shared" si="43"/>
        <v>0</v>
      </c>
      <c r="E442" s="248">
        <f t="shared" si="44"/>
        <v>0</v>
      </c>
      <c r="F442" s="247"/>
      <c r="G442" s="249">
        <v>379</v>
      </c>
      <c r="H442" s="248">
        <f t="shared" si="45"/>
        <v>0</v>
      </c>
      <c r="I442" s="248">
        <f t="shared" si="46"/>
        <v>0</v>
      </c>
      <c r="J442" s="248">
        <f t="shared" si="47"/>
        <v>0</v>
      </c>
      <c r="K442" s="248">
        <f t="shared" si="48"/>
        <v>0</v>
      </c>
      <c r="L442" s="247"/>
    </row>
    <row r="443" spans="1:12">
      <c r="A443" s="249">
        <v>380</v>
      </c>
      <c r="B443" s="248">
        <f t="shared" si="41"/>
        <v>0</v>
      </c>
      <c r="C443" s="248">
        <f t="shared" si="42"/>
        <v>0</v>
      </c>
      <c r="D443" s="248">
        <f t="shared" si="43"/>
        <v>0</v>
      </c>
      <c r="E443" s="248">
        <f t="shared" si="44"/>
        <v>0</v>
      </c>
      <c r="F443" s="247"/>
      <c r="G443" s="249">
        <v>380</v>
      </c>
      <c r="H443" s="248">
        <f t="shared" si="45"/>
        <v>0</v>
      </c>
      <c r="I443" s="248">
        <f t="shared" si="46"/>
        <v>0</v>
      </c>
      <c r="J443" s="248">
        <f t="shared" si="47"/>
        <v>0</v>
      </c>
      <c r="K443" s="248">
        <f t="shared" si="48"/>
        <v>0</v>
      </c>
      <c r="L443" s="247"/>
    </row>
    <row r="444" spans="1:12">
      <c r="A444" s="249">
        <v>381</v>
      </c>
      <c r="B444" s="248">
        <f t="shared" si="41"/>
        <v>0</v>
      </c>
      <c r="C444" s="248">
        <f t="shared" si="42"/>
        <v>0</v>
      </c>
      <c r="D444" s="248">
        <f t="shared" si="43"/>
        <v>0</v>
      </c>
      <c r="E444" s="248">
        <f t="shared" si="44"/>
        <v>0</v>
      </c>
      <c r="F444" s="247"/>
      <c r="G444" s="249">
        <v>381</v>
      </c>
      <c r="H444" s="248">
        <f t="shared" si="45"/>
        <v>0</v>
      </c>
      <c r="I444" s="248">
        <f t="shared" si="46"/>
        <v>0</v>
      </c>
      <c r="J444" s="248">
        <f t="shared" si="47"/>
        <v>0</v>
      </c>
      <c r="K444" s="248">
        <f t="shared" si="48"/>
        <v>0</v>
      </c>
      <c r="L444" s="247"/>
    </row>
    <row r="445" spans="1:12">
      <c r="A445" s="249">
        <v>382</v>
      </c>
      <c r="B445" s="248">
        <f t="shared" si="41"/>
        <v>0</v>
      </c>
      <c r="C445" s="248">
        <f t="shared" si="42"/>
        <v>0</v>
      </c>
      <c r="D445" s="248">
        <f t="shared" si="43"/>
        <v>0</v>
      </c>
      <c r="E445" s="248">
        <f t="shared" si="44"/>
        <v>0</v>
      </c>
      <c r="F445" s="247"/>
      <c r="G445" s="249">
        <v>382</v>
      </c>
      <c r="H445" s="248">
        <f t="shared" si="45"/>
        <v>0</v>
      </c>
      <c r="I445" s="248">
        <f t="shared" si="46"/>
        <v>0</v>
      </c>
      <c r="J445" s="248">
        <f t="shared" si="47"/>
        <v>0</v>
      </c>
      <c r="K445" s="248">
        <f t="shared" si="48"/>
        <v>0</v>
      </c>
      <c r="L445" s="247"/>
    </row>
    <row r="446" spans="1:12">
      <c r="A446" s="249">
        <v>383</v>
      </c>
      <c r="B446" s="248">
        <f t="shared" si="41"/>
        <v>0</v>
      </c>
      <c r="C446" s="248">
        <f t="shared" si="42"/>
        <v>0</v>
      </c>
      <c r="D446" s="248">
        <f t="shared" si="43"/>
        <v>0</v>
      </c>
      <c r="E446" s="248">
        <f t="shared" si="44"/>
        <v>0</v>
      </c>
      <c r="F446" s="247"/>
      <c r="G446" s="249">
        <v>383</v>
      </c>
      <c r="H446" s="248">
        <f t="shared" si="45"/>
        <v>0</v>
      </c>
      <c r="I446" s="248">
        <f t="shared" si="46"/>
        <v>0</v>
      </c>
      <c r="J446" s="248">
        <f t="shared" si="47"/>
        <v>0</v>
      </c>
      <c r="K446" s="248">
        <f t="shared" si="48"/>
        <v>0</v>
      </c>
      <c r="L446" s="247"/>
    </row>
    <row r="447" spans="1:12">
      <c r="A447" s="249">
        <v>384</v>
      </c>
      <c r="B447" s="248">
        <f t="shared" si="41"/>
        <v>0</v>
      </c>
      <c r="C447" s="248">
        <f t="shared" si="42"/>
        <v>0</v>
      </c>
      <c r="D447" s="248">
        <f t="shared" si="43"/>
        <v>0</v>
      </c>
      <c r="E447" s="248">
        <f t="shared" si="44"/>
        <v>0</v>
      </c>
      <c r="F447" s="247">
        <v>32</v>
      </c>
      <c r="G447" s="249">
        <v>384</v>
      </c>
      <c r="H447" s="248">
        <f t="shared" si="45"/>
        <v>0</v>
      </c>
      <c r="I447" s="248">
        <f t="shared" si="46"/>
        <v>0</v>
      </c>
      <c r="J447" s="248">
        <f t="shared" si="47"/>
        <v>0</v>
      </c>
      <c r="K447" s="248">
        <f t="shared" si="48"/>
        <v>0</v>
      </c>
      <c r="L447" s="247">
        <v>32</v>
      </c>
    </row>
    <row r="448" spans="1:12">
      <c r="A448" s="249">
        <v>385</v>
      </c>
      <c r="B448" s="248">
        <f t="shared" ref="B448:B511" si="49">IF(A448&gt;12*$C$9,0,IF($C$5&gt;1500000,$D$12,$C$12))</f>
        <v>0</v>
      </c>
      <c r="C448" s="248">
        <f t="shared" ref="C448:C511" si="50">IF(A448&gt;12*$C$9,0,E447*$C$7/12)</f>
        <v>0</v>
      </c>
      <c r="D448" s="248">
        <f t="shared" ref="D448:D511" si="51">IF(A448&gt;12*$C$9,0,B448-C448)</f>
        <v>0</v>
      </c>
      <c r="E448" s="248">
        <f t="shared" ref="E448:E511" si="52">IF(A448&gt;12*$C$9,0,E447-D448)</f>
        <v>0</v>
      </c>
      <c r="F448" s="247"/>
      <c r="G448" s="249">
        <v>385</v>
      </c>
      <c r="H448" s="248">
        <f t="shared" ref="H448:H511" si="53">IF(G448&gt;12*$C$9,0,IF($C$5&gt;1500000,$E$12,0))</f>
        <v>0</v>
      </c>
      <c r="I448" s="248">
        <f t="shared" ref="I448:I511" si="54">IF(G448&gt;12*$C$9,0,K447*$C$7/12)</f>
        <v>0</v>
      </c>
      <c r="J448" s="248">
        <f t="shared" ref="J448:J511" si="55">IF(G448&gt;12*$C$9,0,H448-I448)</f>
        <v>0</v>
      </c>
      <c r="K448" s="248">
        <f t="shared" ref="K448:K511" si="56">IF(G448&gt;12*$C$9,0,K447-J448)</f>
        <v>0</v>
      </c>
      <c r="L448" s="247"/>
    </row>
    <row r="449" spans="1:12">
      <c r="A449" s="249">
        <v>386</v>
      </c>
      <c r="B449" s="248">
        <f t="shared" si="49"/>
        <v>0</v>
      </c>
      <c r="C449" s="248">
        <f t="shared" si="50"/>
        <v>0</v>
      </c>
      <c r="D449" s="248">
        <f t="shared" si="51"/>
        <v>0</v>
      </c>
      <c r="E449" s="248">
        <f t="shared" si="52"/>
        <v>0</v>
      </c>
      <c r="F449" s="247"/>
      <c r="G449" s="249">
        <v>386</v>
      </c>
      <c r="H449" s="248">
        <f t="shared" si="53"/>
        <v>0</v>
      </c>
      <c r="I449" s="248">
        <f t="shared" si="54"/>
        <v>0</v>
      </c>
      <c r="J449" s="248">
        <f t="shared" si="55"/>
        <v>0</v>
      </c>
      <c r="K449" s="248">
        <f t="shared" si="56"/>
        <v>0</v>
      </c>
      <c r="L449" s="247"/>
    </row>
    <row r="450" spans="1:12">
      <c r="A450" s="249">
        <v>387</v>
      </c>
      <c r="B450" s="248">
        <f t="shared" si="49"/>
        <v>0</v>
      </c>
      <c r="C450" s="248">
        <f t="shared" si="50"/>
        <v>0</v>
      </c>
      <c r="D450" s="248">
        <f t="shared" si="51"/>
        <v>0</v>
      </c>
      <c r="E450" s="248">
        <f t="shared" si="52"/>
        <v>0</v>
      </c>
      <c r="F450" s="247"/>
      <c r="G450" s="249">
        <v>387</v>
      </c>
      <c r="H450" s="248">
        <f t="shared" si="53"/>
        <v>0</v>
      </c>
      <c r="I450" s="248">
        <f t="shared" si="54"/>
        <v>0</v>
      </c>
      <c r="J450" s="248">
        <f t="shared" si="55"/>
        <v>0</v>
      </c>
      <c r="K450" s="248">
        <f t="shared" si="56"/>
        <v>0</v>
      </c>
      <c r="L450" s="247"/>
    </row>
    <row r="451" spans="1:12">
      <c r="A451" s="249">
        <v>388</v>
      </c>
      <c r="B451" s="248">
        <f t="shared" si="49"/>
        <v>0</v>
      </c>
      <c r="C451" s="248">
        <f t="shared" si="50"/>
        <v>0</v>
      </c>
      <c r="D451" s="248">
        <f t="shared" si="51"/>
        <v>0</v>
      </c>
      <c r="E451" s="248">
        <f t="shared" si="52"/>
        <v>0</v>
      </c>
      <c r="F451" s="247"/>
      <c r="G451" s="249">
        <v>388</v>
      </c>
      <c r="H451" s="248">
        <f t="shared" si="53"/>
        <v>0</v>
      </c>
      <c r="I451" s="248">
        <f t="shared" si="54"/>
        <v>0</v>
      </c>
      <c r="J451" s="248">
        <f t="shared" si="55"/>
        <v>0</v>
      </c>
      <c r="K451" s="248">
        <f t="shared" si="56"/>
        <v>0</v>
      </c>
      <c r="L451" s="247"/>
    </row>
    <row r="452" spans="1:12">
      <c r="A452" s="249">
        <v>389</v>
      </c>
      <c r="B452" s="248">
        <f t="shared" si="49"/>
        <v>0</v>
      </c>
      <c r="C452" s="248">
        <f t="shared" si="50"/>
        <v>0</v>
      </c>
      <c r="D452" s="248">
        <f t="shared" si="51"/>
        <v>0</v>
      </c>
      <c r="E452" s="248">
        <f t="shared" si="52"/>
        <v>0</v>
      </c>
      <c r="F452" s="247"/>
      <c r="G452" s="249">
        <v>389</v>
      </c>
      <c r="H452" s="248">
        <f t="shared" si="53"/>
        <v>0</v>
      </c>
      <c r="I452" s="248">
        <f t="shared" si="54"/>
        <v>0</v>
      </c>
      <c r="J452" s="248">
        <f t="shared" si="55"/>
        <v>0</v>
      </c>
      <c r="K452" s="248">
        <f t="shared" si="56"/>
        <v>0</v>
      </c>
      <c r="L452" s="247"/>
    </row>
    <row r="453" spans="1:12">
      <c r="A453" s="249">
        <v>390</v>
      </c>
      <c r="B453" s="248">
        <f t="shared" si="49"/>
        <v>0</v>
      </c>
      <c r="C453" s="248">
        <f t="shared" si="50"/>
        <v>0</v>
      </c>
      <c r="D453" s="248">
        <f t="shared" si="51"/>
        <v>0</v>
      </c>
      <c r="E453" s="248">
        <f t="shared" si="52"/>
        <v>0</v>
      </c>
      <c r="F453" s="247"/>
      <c r="G453" s="249">
        <v>390</v>
      </c>
      <c r="H453" s="248">
        <f t="shared" si="53"/>
        <v>0</v>
      </c>
      <c r="I453" s="248">
        <f t="shared" si="54"/>
        <v>0</v>
      </c>
      <c r="J453" s="248">
        <f t="shared" si="55"/>
        <v>0</v>
      </c>
      <c r="K453" s="248">
        <f t="shared" si="56"/>
        <v>0</v>
      </c>
      <c r="L453" s="247"/>
    </row>
    <row r="454" spans="1:12">
      <c r="A454" s="249">
        <v>391</v>
      </c>
      <c r="B454" s="248">
        <f t="shared" si="49"/>
        <v>0</v>
      </c>
      <c r="C454" s="248">
        <f t="shared" si="50"/>
        <v>0</v>
      </c>
      <c r="D454" s="248">
        <f t="shared" si="51"/>
        <v>0</v>
      </c>
      <c r="E454" s="248">
        <f t="shared" si="52"/>
        <v>0</v>
      </c>
      <c r="F454" s="247"/>
      <c r="G454" s="249">
        <v>391</v>
      </c>
      <c r="H454" s="248">
        <f t="shared" si="53"/>
        <v>0</v>
      </c>
      <c r="I454" s="248">
        <f t="shared" si="54"/>
        <v>0</v>
      </c>
      <c r="J454" s="248">
        <f t="shared" si="55"/>
        <v>0</v>
      </c>
      <c r="K454" s="248">
        <f t="shared" si="56"/>
        <v>0</v>
      </c>
      <c r="L454" s="247"/>
    </row>
    <row r="455" spans="1:12">
      <c r="A455" s="249">
        <v>392</v>
      </c>
      <c r="B455" s="248">
        <f t="shared" si="49"/>
        <v>0</v>
      </c>
      <c r="C455" s="248">
        <f t="shared" si="50"/>
        <v>0</v>
      </c>
      <c r="D455" s="248">
        <f t="shared" si="51"/>
        <v>0</v>
      </c>
      <c r="E455" s="248">
        <f t="shared" si="52"/>
        <v>0</v>
      </c>
      <c r="F455" s="247"/>
      <c r="G455" s="249">
        <v>392</v>
      </c>
      <c r="H455" s="248">
        <f t="shared" si="53"/>
        <v>0</v>
      </c>
      <c r="I455" s="248">
        <f t="shared" si="54"/>
        <v>0</v>
      </c>
      <c r="J455" s="248">
        <f t="shared" si="55"/>
        <v>0</v>
      </c>
      <c r="K455" s="248">
        <f t="shared" si="56"/>
        <v>0</v>
      </c>
      <c r="L455" s="247"/>
    </row>
    <row r="456" spans="1:12">
      <c r="A456" s="249">
        <v>393</v>
      </c>
      <c r="B456" s="248">
        <f t="shared" si="49"/>
        <v>0</v>
      </c>
      <c r="C456" s="248">
        <f t="shared" si="50"/>
        <v>0</v>
      </c>
      <c r="D456" s="248">
        <f t="shared" si="51"/>
        <v>0</v>
      </c>
      <c r="E456" s="248">
        <f t="shared" si="52"/>
        <v>0</v>
      </c>
      <c r="F456" s="247"/>
      <c r="G456" s="249">
        <v>393</v>
      </c>
      <c r="H456" s="248">
        <f t="shared" si="53"/>
        <v>0</v>
      </c>
      <c r="I456" s="248">
        <f t="shared" si="54"/>
        <v>0</v>
      </c>
      <c r="J456" s="248">
        <f t="shared" si="55"/>
        <v>0</v>
      </c>
      <c r="K456" s="248">
        <f t="shared" si="56"/>
        <v>0</v>
      </c>
      <c r="L456" s="247"/>
    </row>
    <row r="457" spans="1:12">
      <c r="A457" s="249">
        <v>394</v>
      </c>
      <c r="B457" s="248">
        <f t="shared" si="49"/>
        <v>0</v>
      </c>
      <c r="C457" s="248">
        <f t="shared" si="50"/>
        <v>0</v>
      </c>
      <c r="D457" s="248">
        <f t="shared" si="51"/>
        <v>0</v>
      </c>
      <c r="E457" s="248">
        <f t="shared" si="52"/>
        <v>0</v>
      </c>
      <c r="F457" s="247"/>
      <c r="G457" s="249">
        <v>394</v>
      </c>
      <c r="H457" s="248">
        <f t="shared" si="53"/>
        <v>0</v>
      </c>
      <c r="I457" s="248">
        <f t="shared" si="54"/>
        <v>0</v>
      </c>
      <c r="J457" s="248">
        <f t="shared" si="55"/>
        <v>0</v>
      </c>
      <c r="K457" s="248">
        <f t="shared" si="56"/>
        <v>0</v>
      </c>
      <c r="L457" s="247"/>
    </row>
    <row r="458" spans="1:12">
      <c r="A458" s="249">
        <v>395</v>
      </c>
      <c r="B458" s="248">
        <f t="shared" si="49"/>
        <v>0</v>
      </c>
      <c r="C458" s="248">
        <f t="shared" si="50"/>
        <v>0</v>
      </c>
      <c r="D458" s="248">
        <f t="shared" si="51"/>
        <v>0</v>
      </c>
      <c r="E458" s="248">
        <f t="shared" si="52"/>
        <v>0</v>
      </c>
      <c r="F458" s="247"/>
      <c r="G458" s="249">
        <v>395</v>
      </c>
      <c r="H458" s="248">
        <f t="shared" si="53"/>
        <v>0</v>
      </c>
      <c r="I458" s="248">
        <f t="shared" si="54"/>
        <v>0</v>
      </c>
      <c r="J458" s="248">
        <f t="shared" si="55"/>
        <v>0</v>
      </c>
      <c r="K458" s="248">
        <f t="shared" si="56"/>
        <v>0</v>
      </c>
      <c r="L458" s="247"/>
    </row>
    <row r="459" spans="1:12">
      <c r="A459" s="249">
        <v>396</v>
      </c>
      <c r="B459" s="248">
        <f t="shared" si="49"/>
        <v>0</v>
      </c>
      <c r="C459" s="248">
        <f t="shared" si="50"/>
        <v>0</v>
      </c>
      <c r="D459" s="248">
        <f t="shared" si="51"/>
        <v>0</v>
      </c>
      <c r="E459" s="248">
        <f t="shared" si="52"/>
        <v>0</v>
      </c>
      <c r="F459" s="247">
        <v>33</v>
      </c>
      <c r="G459" s="249">
        <v>396</v>
      </c>
      <c r="H459" s="248">
        <f t="shared" si="53"/>
        <v>0</v>
      </c>
      <c r="I459" s="248">
        <f t="shared" si="54"/>
        <v>0</v>
      </c>
      <c r="J459" s="248">
        <f t="shared" si="55"/>
        <v>0</v>
      </c>
      <c r="K459" s="248">
        <f t="shared" si="56"/>
        <v>0</v>
      </c>
      <c r="L459" s="247">
        <v>33</v>
      </c>
    </row>
    <row r="460" spans="1:12">
      <c r="A460" s="249">
        <v>397</v>
      </c>
      <c r="B460" s="248">
        <f t="shared" si="49"/>
        <v>0</v>
      </c>
      <c r="C460" s="248">
        <f t="shared" si="50"/>
        <v>0</v>
      </c>
      <c r="D460" s="248">
        <f t="shared" si="51"/>
        <v>0</v>
      </c>
      <c r="E460" s="248">
        <f t="shared" si="52"/>
        <v>0</v>
      </c>
      <c r="F460" s="247"/>
      <c r="G460" s="249">
        <v>397</v>
      </c>
      <c r="H460" s="248">
        <f t="shared" si="53"/>
        <v>0</v>
      </c>
      <c r="I460" s="248">
        <f t="shared" si="54"/>
        <v>0</v>
      </c>
      <c r="J460" s="248">
        <f t="shared" si="55"/>
        <v>0</v>
      </c>
      <c r="K460" s="248">
        <f t="shared" si="56"/>
        <v>0</v>
      </c>
      <c r="L460" s="247"/>
    </row>
    <row r="461" spans="1:12">
      <c r="A461" s="249">
        <v>398</v>
      </c>
      <c r="B461" s="248">
        <f t="shared" si="49"/>
        <v>0</v>
      </c>
      <c r="C461" s="248">
        <f t="shared" si="50"/>
        <v>0</v>
      </c>
      <c r="D461" s="248">
        <f t="shared" si="51"/>
        <v>0</v>
      </c>
      <c r="E461" s="248">
        <f t="shared" si="52"/>
        <v>0</v>
      </c>
      <c r="F461" s="247"/>
      <c r="G461" s="249">
        <v>398</v>
      </c>
      <c r="H461" s="248">
        <f t="shared" si="53"/>
        <v>0</v>
      </c>
      <c r="I461" s="248">
        <f t="shared" si="54"/>
        <v>0</v>
      </c>
      <c r="J461" s="248">
        <f t="shared" si="55"/>
        <v>0</v>
      </c>
      <c r="K461" s="248">
        <f t="shared" si="56"/>
        <v>0</v>
      </c>
      <c r="L461" s="247"/>
    </row>
    <row r="462" spans="1:12">
      <c r="A462" s="249">
        <v>399</v>
      </c>
      <c r="B462" s="248">
        <f t="shared" si="49"/>
        <v>0</v>
      </c>
      <c r="C462" s="248">
        <f t="shared" si="50"/>
        <v>0</v>
      </c>
      <c r="D462" s="248">
        <f t="shared" si="51"/>
        <v>0</v>
      </c>
      <c r="E462" s="248">
        <f t="shared" si="52"/>
        <v>0</v>
      </c>
      <c r="F462" s="247"/>
      <c r="G462" s="249">
        <v>399</v>
      </c>
      <c r="H462" s="248">
        <f t="shared" si="53"/>
        <v>0</v>
      </c>
      <c r="I462" s="248">
        <f t="shared" si="54"/>
        <v>0</v>
      </c>
      <c r="J462" s="248">
        <f t="shared" si="55"/>
        <v>0</v>
      </c>
      <c r="K462" s="248">
        <f t="shared" si="56"/>
        <v>0</v>
      </c>
      <c r="L462" s="247"/>
    </row>
    <row r="463" spans="1:12">
      <c r="A463" s="249">
        <v>400</v>
      </c>
      <c r="B463" s="248">
        <f t="shared" si="49"/>
        <v>0</v>
      </c>
      <c r="C463" s="248">
        <f t="shared" si="50"/>
        <v>0</v>
      </c>
      <c r="D463" s="248">
        <f t="shared" si="51"/>
        <v>0</v>
      </c>
      <c r="E463" s="248">
        <f t="shared" si="52"/>
        <v>0</v>
      </c>
      <c r="F463" s="247"/>
      <c r="G463" s="249">
        <v>400</v>
      </c>
      <c r="H463" s="248">
        <f t="shared" si="53"/>
        <v>0</v>
      </c>
      <c r="I463" s="248">
        <f t="shared" si="54"/>
        <v>0</v>
      </c>
      <c r="J463" s="248">
        <f t="shared" si="55"/>
        <v>0</v>
      </c>
      <c r="K463" s="248">
        <f t="shared" si="56"/>
        <v>0</v>
      </c>
      <c r="L463" s="247"/>
    </row>
    <row r="464" spans="1:12">
      <c r="A464" s="249">
        <v>401</v>
      </c>
      <c r="B464" s="248">
        <f t="shared" si="49"/>
        <v>0</v>
      </c>
      <c r="C464" s="248">
        <f t="shared" si="50"/>
        <v>0</v>
      </c>
      <c r="D464" s="248">
        <f t="shared" si="51"/>
        <v>0</v>
      </c>
      <c r="E464" s="248">
        <f t="shared" si="52"/>
        <v>0</v>
      </c>
      <c r="F464" s="247"/>
      <c r="G464" s="249">
        <v>401</v>
      </c>
      <c r="H464" s="248">
        <f t="shared" si="53"/>
        <v>0</v>
      </c>
      <c r="I464" s="248">
        <f t="shared" si="54"/>
        <v>0</v>
      </c>
      <c r="J464" s="248">
        <f t="shared" si="55"/>
        <v>0</v>
      </c>
      <c r="K464" s="248">
        <f t="shared" si="56"/>
        <v>0</v>
      </c>
      <c r="L464" s="247"/>
    </row>
    <row r="465" spans="1:12">
      <c r="A465" s="249">
        <v>402</v>
      </c>
      <c r="B465" s="248">
        <f t="shared" si="49"/>
        <v>0</v>
      </c>
      <c r="C465" s="248">
        <f t="shared" si="50"/>
        <v>0</v>
      </c>
      <c r="D465" s="248">
        <f t="shared" si="51"/>
        <v>0</v>
      </c>
      <c r="E465" s="248">
        <f t="shared" si="52"/>
        <v>0</v>
      </c>
      <c r="F465" s="247"/>
      <c r="G465" s="249">
        <v>402</v>
      </c>
      <c r="H465" s="248">
        <f t="shared" si="53"/>
        <v>0</v>
      </c>
      <c r="I465" s="248">
        <f t="shared" si="54"/>
        <v>0</v>
      </c>
      <c r="J465" s="248">
        <f t="shared" si="55"/>
        <v>0</v>
      </c>
      <c r="K465" s="248">
        <f t="shared" si="56"/>
        <v>0</v>
      </c>
      <c r="L465" s="247"/>
    </row>
    <row r="466" spans="1:12">
      <c r="A466" s="249">
        <v>403</v>
      </c>
      <c r="B466" s="248">
        <f t="shared" si="49"/>
        <v>0</v>
      </c>
      <c r="C466" s="248">
        <f t="shared" si="50"/>
        <v>0</v>
      </c>
      <c r="D466" s="248">
        <f t="shared" si="51"/>
        <v>0</v>
      </c>
      <c r="E466" s="248">
        <f t="shared" si="52"/>
        <v>0</v>
      </c>
      <c r="F466" s="247"/>
      <c r="G466" s="249">
        <v>403</v>
      </c>
      <c r="H466" s="248">
        <f t="shared" si="53"/>
        <v>0</v>
      </c>
      <c r="I466" s="248">
        <f t="shared" si="54"/>
        <v>0</v>
      </c>
      <c r="J466" s="248">
        <f t="shared" si="55"/>
        <v>0</v>
      </c>
      <c r="K466" s="248">
        <f t="shared" si="56"/>
        <v>0</v>
      </c>
      <c r="L466" s="247"/>
    </row>
    <row r="467" spans="1:12">
      <c r="A467" s="249">
        <v>404</v>
      </c>
      <c r="B467" s="248">
        <f t="shared" si="49"/>
        <v>0</v>
      </c>
      <c r="C467" s="248">
        <f t="shared" si="50"/>
        <v>0</v>
      </c>
      <c r="D467" s="248">
        <f t="shared" si="51"/>
        <v>0</v>
      </c>
      <c r="E467" s="248">
        <f t="shared" si="52"/>
        <v>0</v>
      </c>
      <c r="F467" s="247"/>
      <c r="G467" s="249">
        <v>404</v>
      </c>
      <c r="H467" s="248">
        <f t="shared" si="53"/>
        <v>0</v>
      </c>
      <c r="I467" s="248">
        <f t="shared" si="54"/>
        <v>0</v>
      </c>
      <c r="J467" s="248">
        <f t="shared" si="55"/>
        <v>0</v>
      </c>
      <c r="K467" s="248">
        <f t="shared" si="56"/>
        <v>0</v>
      </c>
      <c r="L467" s="247"/>
    </row>
    <row r="468" spans="1:12">
      <c r="A468" s="249">
        <v>405</v>
      </c>
      <c r="B468" s="248">
        <f t="shared" si="49"/>
        <v>0</v>
      </c>
      <c r="C468" s="248">
        <f t="shared" si="50"/>
        <v>0</v>
      </c>
      <c r="D468" s="248">
        <f t="shared" si="51"/>
        <v>0</v>
      </c>
      <c r="E468" s="248">
        <f t="shared" si="52"/>
        <v>0</v>
      </c>
      <c r="F468" s="247"/>
      <c r="G468" s="249">
        <v>405</v>
      </c>
      <c r="H468" s="248">
        <f t="shared" si="53"/>
        <v>0</v>
      </c>
      <c r="I468" s="248">
        <f t="shared" si="54"/>
        <v>0</v>
      </c>
      <c r="J468" s="248">
        <f t="shared" si="55"/>
        <v>0</v>
      </c>
      <c r="K468" s="248">
        <f t="shared" si="56"/>
        <v>0</v>
      </c>
      <c r="L468" s="247"/>
    </row>
    <row r="469" spans="1:12">
      <c r="A469" s="249">
        <v>406</v>
      </c>
      <c r="B469" s="248">
        <f t="shared" si="49"/>
        <v>0</v>
      </c>
      <c r="C469" s="248">
        <f t="shared" si="50"/>
        <v>0</v>
      </c>
      <c r="D469" s="248">
        <f t="shared" si="51"/>
        <v>0</v>
      </c>
      <c r="E469" s="248">
        <f t="shared" si="52"/>
        <v>0</v>
      </c>
      <c r="F469" s="247"/>
      <c r="G469" s="249">
        <v>406</v>
      </c>
      <c r="H469" s="248">
        <f t="shared" si="53"/>
        <v>0</v>
      </c>
      <c r="I469" s="248">
        <f t="shared" si="54"/>
        <v>0</v>
      </c>
      <c r="J469" s="248">
        <f t="shared" si="55"/>
        <v>0</v>
      </c>
      <c r="K469" s="248">
        <f t="shared" si="56"/>
        <v>0</v>
      </c>
      <c r="L469" s="247"/>
    </row>
    <row r="470" spans="1:12">
      <c r="A470" s="249">
        <v>407</v>
      </c>
      <c r="B470" s="248">
        <f t="shared" si="49"/>
        <v>0</v>
      </c>
      <c r="C470" s="248">
        <f t="shared" si="50"/>
        <v>0</v>
      </c>
      <c r="D470" s="248">
        <f t="shared" si="51"/>
        <v>0</v>
      </c>
      <c r="E470" s="248">
        <f t="shared" si="52"/>
        <v>0</v>
      </c>
      <c r="F470" s="247"/>
      <c r="G470" s="249">
        <v>407</v>
      </c>
      <c r="H470" s="248">
        <f t="shared" si="53"/>
        <v>0</v>
      </c>
      <c r="I470" s="248">
        <f t="shared" si="54"/>
        <v>0</v>
      </c>
      <c r="J470" s="248">
        <f t="shared" si="55"/>
        <v>0</v>
      </c>
      <c r="K470" s="248">
        <f t="shared" si="56"/>
        <v>0</v>
      </c>
      <c r="L470" s="247"/>
    </row>
    <row r="471" spans="1:12">
      <c r="A471" s="249">
        <v>408</v>
      </c>
      <c r="B471" s="248">
        <f t="shared" si="49"/>
        <v>0</v>
      </c>
      <c r="C471" s="248">
        <f t="shared" si="50"/>
        <v>0</v>
      </c>
      <c r="D471" s="248">
        <f t="shared" si="51"/>
        <v>0</v>
      </c>
      <c r="E471" s="248">
        <f t="shared" si="52"/>
        <v>0</v>
      </c>
      <c r="F471" s="247">
        <v>34</v>
      </c>
      <c r="G471" s="249">
        <v>408</v>
      </c>
      <c r="H471" s="248">
        <f t="shared" si="53"/>
        <v>0</v>
      </c>
      <c r="I471" s="248">
        <f t="shared" si="54"/>
        <v>0</v>
      </c>
      <c r="J471" s="248">
        <f t="shared" si="55"/>
        <v>0</v>
      </c>
      <c r="K471" s="248">
        <f t="shared" si="56"/>
        <v>0</v>
      </c>
      <c r="L471" s="247">
        <v>34</v>
      </c>
    </row>
    <row r="472" spans="1:12">
      <c r="A472" s="249">
        <v>409</v>
      </c>
      <c r="B472" s="248">
        <f t="shared" si="49"/>
        <v>0</v>
      </c>
      <c r="C472" s="248">
        <f t="shared" si="50"/>
        <v>0</v>
      </c>
      <c r="D472" s="248">
        <f t="shared" si="51"/>
        <v>0</v>
      </c>
      <c r="E472" s="248">
        <f t="shared" si="52"/>
        <v>0</v>
      </c>
      <c r="F472" s="247"/>
      <c r="G472" s="249">
        <v>409</v>
      </c>
      <c r="H472" s="248">
        <f t="shared" si="53"/>
        <v>0</v>
      </c>
      <c r="I472" s="248">
        <f t="shared" si="54"/>
        <v>0</v>
      </c>
      <c r="J472" s="248">
        <f t="shared" si="55"/>
        <v>0</v>
      </c>
      <c r="K472" s="248">
        <f t="shared" si="56"/>
        <v>0</v>
      </c>
      <c r="L472" s="247"/>
    </row>
    <row r="473" spans="1:12">
      <c r="A473" s="249">
        <v>410</v>
      </c>
      <c r="B473" s="248">
        <f t="shared" si="49"/>
        <v>0</v>
      </c>
      <c r="C473" s="248">
        <f t="shared" si="50"/>
        <v>0</v>
      </c>
      <c r="D473" s="248">
        <f t="shared" si="51"/>
        <v>0</v>
      </c>
      <c r="E473" s="248">
        <f t="shared" si="52"/>
        <v>0</v>
      </c>
      <c r="F473" s="247"/>
      <c r="G473" s="249">
        <v>410</v>
      </c>
      <c r="H473" s="248">
        <f t="shared" si="53"/>
        <v>0</v>
      </c>
      <c r="I473" s="248">
        <f t="shared" si="54"/>
        <v>0</v>
      </c>
      <c r="J473" s="248">
        <f t="shared" si="55"/>
        <v>0</v>
      </c>
      <c r="K473" s="248">
        <f t="shared" si="56"/>
        <v>0</v>
      </c>
      <c r="L473" s="247"/>
    </row>
    <row r="474" spans="1:12">
      <c r="A474" s="249">
        <v>411</v>
      </c>
      <c r="B474" s="248">
        <f t="shared" si="49"/>
        <v>0</v>
      </c>
      <c r="C474" s="248">
        <f t="shared" si="50"/>
        <v>0</v>
      </c>
      <c r="D474" s="248">
        <f t="shared" si="51"/>
        <v>0</v>
      </c>
      <c r="E474" s="248">
        <f t="shared" si="52"/>
        <v>0</v>
      </c>
      <c r="F474" s="247"/>
      <c r="G474" s="249">
        <v>411</v>
      </c>
      <c r="H474" s="248">
        <f t="shared" si="53"/>
        <v>0</v>
      </c>
      <c r="I474" s="248">
        <f t="shared" si="54"/>
        <v>0</v>
      </c>
      <c r="J474" s="248">
        <f t="shared" si="55"/>
        <v>0</v>
      </c>
      <c r="K474" s="248">
        <f t="shared" si="56"/>
        <v>0</v>
      </c>
      <c r="L474" s="247"/>
    </row>
    <row r="475" spans="1:12">
      <c r="A475" s="249">
        <v>412</v>
      </c>
      <c r="B475" s="248">
        <f t="shared" si="49"/>
        <v>0</v>
      </c>
      <c r="C475" s="248">
        <f t="shared" si="50"/>
        <v>0</v>
      </c>
      <c r="D475" s="248">
        <f t="shared" si="51"/>
        <v>0</v>
      </c>
      <c r="E475" s="248">
        <f t="shared" si="52"/>
        <v>0</v>
      </c>
      <c r="F475" s="247"/>
      <c r="G475" s="249">
        <v>412</v>
      </c>
      <c r="H475" s="248">
        <f t="shared" si="53"/>
        <v>0</v>
      </c>
      <c r="I475" s="248">
        <f t="shared" si="54"/>
        <v>0</v>
      </c>
      <c r="J475" s="248">
        <f t="shared" si="55"/>
        <v>0</v>
      </c>
      <c r="K475" s="248">
        <f t="shared" si="56"/>
        <v>0</v>
      </c>
      <c r="L475" s="247"/>
    </row>
    <row r="476" spans="1:12">
      <c r="A476" s="249">
        <v>413</v>
      </c>
      <c r="B476" s="248">
        <f t="shared" si="49"/>
        <v>0</v>
      </c>
      <c r="C476" s="248">
        <f t="shared" si="50"/>
        <v>0</v>
      </c>
      <c r="D476" s="248">
        <f t="shared" si="51"/>
        <v>0</v>
      </c>
      <c r="E476" s="248">
        <f t="shared" si="52"/>
        <v>0</v>
      </c>
      <c r="F476" s="247"/>
      <c r="G476" s="249">
        <v>413</v>
      </c>
      <c r="H476" s="248">
        <f t="shared" si="53"/>
        <v>0</v>
      </c>
      <c r="I476" s="248">
        <f t="shared" si="54"/>
        <v>0</v>
      </c>
      <c r="J476" s="248">
        <f t="shared" si="55"/>
        <v>0</v>
      </c>
      <c r="K476" s="248">
        <f t="shared" si="56"/>
        <v>0</v>
      </c>
      <c r="L476" s="247"/>
    </row>
    <row r="477" spans="1:12">
      <c r="A477" s="249">
        <v>414</v>
      </c>
      <c r="B477" s="248">
        <f t="shared" si="49"/>
        <v>0</v>
      </c>
      <c r="C477" s="248">
        <f t="shared" si="50"/>
        <v>0</v>
      </c>
      <c r="D477" s="248">
        <f t="shared" si="51"/>
        <v>0</v>
      </c>
      <c r="E477" s="248">
        <f t="shared" si="52"/>
        <v>0</v>
      </c>
      <c r="F477" s="247"/>
      <c r="G477" s="249">
        <v>414</v>
      </c>
      <c r="H477" s="248">
        <f t="shared" si="53"/>
        <v>0</v>
      </c>
      <c r="I477" s="248">
        <f t="shared" si="54"/>
        <v>0</v>
      </c>
      <c r="J477" s="248">
        <f t="shared" si="55"/>
        <v>0</v>
      </c>
      <c r="K477" s="248">
        <f t="shared" si="56"/>
        <v>0</v>
      </c>
      <c r="L477" s="247"/>
    </row>
    <row r="478" spans="1:12">
      <c r="A478" s="249">
        <v>415</v>
      </c>
      <c r="B478" s="248">
        <f t="shared" si="49"/>
        <v>0</v>
      </c>
      <c r="C478" s="248">
        <f t="shared" si="50"/>
        <v>0</v>
      </c>
      <c r="D478" s="248">
        <f t="shared" si="51"/>
        <v>0</v>
      </c>
      <c r="E478" s="248">
        <f t="shared" si="52"/>
        <v>0</v>
      </c>
      <c r="F478" s="247"/>
      <c r="G478" s="249">
        <v>415</v>
      </c>
      <c r="H478" s="248">
        <f t="shared" si="53"/>
        <v>0</v>
      </c>
      <c r="I478" s="248">
        <f t="shared" si="54"/>
        <v>0</v>
      </c>
      <c r="J478" s="248">
        <f t="shared" si="55"/>
        <v>0</v>
      </c>
      <c r="K478" s="248">
        <f t="shared" si="56"/>
        <v>0</v>
      </c>
      <c r="L478" s="247"/>
    </row>
    <row r="479" spans="1:12">
      <c r="A479" s="249">
        <v>416</v>
      </c>
      <c r="B479" s="248">
        <f t="shared" si="49"/>
        <v>0</v>
      </c>
      <c r="C479" s="248">
        <f t="shared" si="50"/>
        <v>0</v>
      </c>
      <c r="D479" s="248">
        <f t="shared" si="51"/>
        <v>0</v>
      </c>
      <c r="E479" s="248">
        <f t="shared" si="52"/>
        <v>0</v>
      </c>
      <c r="F479" s="247"/>
      <c r="G479" s="249">
        <v>416</v>
      </c>
      <c r="H479" s="248">
        <f t="shared" si="53"/>
        <v>0</v>
      </c>
      <c r="I479" s="248">
        <f t="shared" si="54"/>
        <v>0</v>
      </c>
      <c r="J479" s="248">
        <f t="shared" si="55"/>
        <v>0</v>
      </c>
      <c r="K479" s="248">
        <f t="shared" si="56"/>
        <v>0</v>
      </c>
      <c r="L479" s="247"/>
    </row>
    <row r="480" spans="1:12">
      <c r="A480" s="249">
        <v>417</v>
      </c>
      <c r="B480" s="248">
        <f t="shared" si="49"/>
        <v>0</v>
      </c>
      <c r="C480" s="248">
        <f t="shared" si="50"/>
        <v>0</v>
      </c>
      <c r="D480" s="248">
        <f t="shared" si="51"/>
        <v>0</v>
      </c>
      <c r="E480" s="248">
        <f t="shared" si="52"/>
        <v>0</v>
      </c>
      <c r="F480" s="247"/>
      <c r="G480" s="249">
        <v>417</v>
      </c>
      <c r="H480" s="248">
        <f t="shared" si="53"/>
        <v>0</v>
      </c>
      <c r="I480" s="248">
        <f t="shared" si="54"/>
        <v>0</v>
      </c>
      <c r="J480" s="248">
        <f t="shared" si="55"/>
        <v>0</v>
      </c>
      <c r="K480" s="248">
        <f t="shared" si="56"/>
        <v>0</v>
      </c>
      <c r="L480" s="247"/>
    </row>
    <row r="481" spans="1:12">
      <c r="A481" s="249">
        <v>418</v>
      </c>
      <c r="B481" s="248">
        <f t="shared" si="49"/>
        <v>0</v>
      </c>
      <c r="C481" s="248">
        <f t="shared" si="50"/>
        <v>0</v>
      </c>
      <c r="D481" s="248">
        <f t="shared" si="51"/>
        <v>0</v>
      </c>
      <c r="E481" s="248">
        <f t="shared" si="52"/>
        <v>0</v>
      </c>
      <c r="F481" s="247"/>
      <c r="G481" s="249">
        <v>418</v>
      </c>
      <c r="H481" s="248">
        <f t="shared" si="53"/>
        <v>0</v>
      </c>
      <c r="I481" s="248">
        <f t="shared" si="54"/>
        <v>0</v>
      </c>
      <c r="J481" s="248">
        <f t="shared" si="55"/>
        <v>0</v>
      </c>
      <c r="K481" s="248">
        <f t="shared" si="56"/>
        <v>0</v>
      </c>
      <c r="L481" s="247"/>
    </row>
    <row r="482" spans="1:12">
      <c r="A482" s="249">
        <v>419</v>
      </c>
      <c r="B482" s="248">
        <f t="shared" si="49"/>
        <v>0</v>
      </c>
      <c r="C482" s="248">
        <f t="shared" si="50"/>
        <v>0</v>
      </c>
      <c r="D482" s="248">
        <f t="shared" si="51"/>
        <v>0</v>
      </c>
      <c r="E482" s="248">
        <f t="shared" si="52"/>
        <v>0</v>
      </c>
      <c r="F482" s="247"/>
      <c r="G482" s="249">
        <v>419</v>
      </c>
      <c r="H482" s="248">
        <f t="shared" si="53"/>
        <v>0</v>
      </c>
      <c r="I482" s="248">
        <f t="shared" si="54"/>
        <v>0</v>
      </c>
      <c r="J482" s="248">
        <f t="shared" si="55"/>
        <v>0</v>
      </c>
      <c r="K482" s="248">
        <f t="shared" si="56"/>
        <v>0</v>
      </c>
      <c r="L482" s="247"/>
    </row>
    <row r="483" spans="1:12">
      <c r="A483" s="249">
        <v>420</v>
      </c>
      <c r="B483" s="248">
        <f t="shared" si="49"/>
        <v>0</v>
      </c>
      <c r="C483" s="248">
        <f t="shared" si="50"/>
        <v>0</v>
      </c>
      <c r="D483" s="248">
        <f t="shared" si="51"/>
        <v>0</v>
      </c>
      <c r="E483" s="248">
        <f t="shared" si="52"/>
        <v>0</v>
      </c>
      <c r="F483" s="247">
        <v>35</v>
      </c>
      <c r="G483" s="249">
        <v>420</v>
      </c>
      <c r="H483" s="248">
        <f t="shared" si="53"/>
        <v>0</v>
      </c>
      <c r="I483" s="248">
        <f t="shared" si="54"/>
        <v>0</v>
      </c>
      <c r="J483" s="248">
        <f t="shared" si="55"/>
        <v>0</v>
      </c>
      <c r="K483" s="248">
        <f t="shared" si="56"/>
        <v>0</v>
      </c>
      <c r="L483" s="247">
        <v>35</v>
      </c>
    </row>
    <row r="484" spans="1:12">
      <c r="A484" s="249">
        <v>421</v>
      </c>
      <c r="B484" s="248">
        <f t="shared" si="49"/>
        <v>0</v>
      </c>
      <c r="C484" s="248">
        <f t="shared" si="50"/>
        <v>0</v>
      </c>
      <c r="D484" s="248">
        <f t="shared" si="51"/>
        <v>0</v>
      </c>
      <c r="E484" s="248">
        <f t="shared" si="52"/>
        <v>0</v>
      </c>
      <c r="F484" s="247"/>
      <c r="G484" s="249">
        <v>421</v>
      </c>
      <c r="H484" s="248">
        <f t="shared" si="53"/>
        <v>0</v>
      </c>
      <c r="I484" s="248">
        <f t="shared" si="54"/>
        <v>0</v>
      </c>
      <c r="J484" s="248">
        <f t="shared" si="55"/>
        <v>0</v>
      </c>
      <c r="K484" s="248">
        <f t="shared" si="56"/>
        <v>0</v>
      </c>
      <c r="L484" s="247"/>
    </row>
    <row r="485" spans="1:12">
      <c r="A485" s="249">
        <v>422</v>
      </c>
      <c r="B485" s="248">
        <f t="shared" si="49"/>
        <v>0</v>
      </c>
      <c r="C485" s="248">
        <f t="shared" si="50"/>
        <v>0</v>
      </c>
      <c r="D485" s="248">
        <f t="shared" si="51"/>
        <v>0</v>
      </c>
      <c r="E485" s="248">
        <f t="shared" si="52"/>
        <v>0</v>
      </c>
      <c r="F485" s="247"/>
      <c r="G485" s="249">
        <v>422</v>
      </c>
      <c r="H485" s="248">
        <f t="shared" si="53"/>
        <v>0</v>
      </c>
      <c r="I485" s="248">
        <f t="shared" si="54"/>
        <v>0</v>
      </c>
      <c r="J485" s="248">
        <f t="shared" si="55"/>
        <v>0</v>
      </c>
      <c r="K485" s="248">
        <f t="shared" si="56"/>
        <v>0</v>
      </c>
      <c r="L485" s="247"/>
    </row>
    <row r="486" spans="1:12">
      <c r="A486" s="249">
        <v>423</v>
      </c>
      <c r="B486" s="248">
        <f t="shared" si="49"/>
        <v>0</v>
      </c>
      <c r="C486" s="248">
        <f t="shared" si="50"/>
        <v>0</v>
      </c>
      <c r="D486" s="248">
        <f t="shared" si="51"/>
        <v>0</v>
      </c>
      <c r="E486" s="248">
        <f t="shared" si="52"/>
        <v>0</v>
      </c>
      <c r="F486" s="247"/>
      <c r="G486" s="249">
        <v>423</v>
      </c>
      <c r="H486" s="248">
        <f t="shared" si="53"/>
        <v>0</v>
      </c>
      <c r="I486" s="248">
        <f t="shared" si="54"/>
        <v>0</v>
      </c>
      <c r="J486" s="248">
        <f t="shared" si="55"/>
        <v>0</v>
      </c>
      <c r="K486" s="248">
        <f t="shared" si="56"/>
        <v>0</v>
      </c>
      <c r="L486" s="247"/>
    </row>
    <row r="487" spans="1:12">
      <c r="A487" s="249">
        <v>424</v>
      </c>
      <c r="B487" s="248">
        <f t="shared" si="49"/>
        <v>0</v>
      </c>
      <c r="C487" s="248">
        <f t="shared" si="50"/>
        <v>0</v>
      </c>
      <c r="D487" s="248">
        <f t="shared" si="51"/>
        <v>0</v>
      </c>
      <c r="E487" s="248">
        <f t="shared" si="52"/>
        <v>0</v>
      </c>
      <c r="F487" s="247"/>
      <c r="G487" s="249">
        <v>424</v>
      </c>
      <c r="H487" s="248">
        <f t="shared" si="53"/>
        <v>0</v>
      </c>
      <c r="I487" s="248">
        <f t="shared" si="54"/>
        <v>0</v>
      </c>
      <c r="J487" s="248">
        <f t="shared" si="55"/>
        <v>0</v>
      </c>
      <c r="K487" s="248">
        <f t="shared" si="56"/>
        <v>0</v>
      </c>
      <c r="L487" s="247"/>
    </row>
    <row r="488" spans="1:12">
      <c r="A488" s="249">
        <v>425</v>
      </c>
      <c r="B488" s="248">
        <f t="shared" si="49"/>
        <v>0</v>
      </c>
      <c r="C488" s="248">
        <f t="shared" si="50"/>
        <v>0</v>
      </c>
      <c r="D488" s="248">
        <f t="shared" si="51"/>
        <v>0</v>
      </c>
      <c r="E488" s="248">
        <f t="shared" si="52"/>
        <v>0</v>
      </c>
      <c r="F488" s="247"/>
      <c r="G488" s="249">
        <v>425</v>
      </c>
      <c r="H488" s="248">
        <f t="shared" si="53"/>
        <v>0</v>
      </c>
      <c r="I488" s="248">
        <f t="shared" si="54"/>
        <v>0</v>
      </c>
      <c r="J488" s="248">
        <f t="shared" si="55"/>
        <v>0</v>
      </c>
      <c r="K488" s="248">
        <f t="shared" si="56"/>
        <v>0</v>
      </c>
      <c r="L488" s="247"/>
    </row>
    <row r="489" spans="1:12">
      <c r="A489" s="249">
        <v>426</v>
      </c>
      <c r="B489" s="248">
        <f t="shared" si="49"/>
        <v>0</v>
      </c>
      <c r="C489" s="248">
        <f t="shared" si="50"/>
        <v>0</v>
      </c>
      <c r="D489" s="248">
        <f t="shared" si="51"/>
        <v>0</v>
      </c>
      <c r="E489" s="248">
        <f t="shared" si="52"/>
        <v>0</v>
      </c>
      <c r="F489" s="247"/>
      <c r="G489" s="249">
        <v>426</v>
      </c>
      <c r="H489" s="248">
        <f t="shared" si="53"/>
        <v>0</v>
      </c>
      <c r="I489" s="248">
        <f t="shared" si="54"/>
        <v>0</v>
      </c>
      <c r="J489" s="248">
        <f t="shared" si="55"/>
        <v>0</v>
      </c>
      <c r="K489" s="248">
        <f t="shared" si="56"/>
        <v>0</v>
      </c>
      <c r="L489" s="247"/>
    </row>
    <row r="490" spans="1:12">
      <c r="A490" s="249">
        <v>427</v>
      </c>
      <c r="B490" s="248">
        <f t="shared" si="49"/>
        <v>0</v>
      </c>
      <c r="C490" s="248">
        <f t="shared" si="50"/>
        <v>0</v>
      </c>
      <c r="D490" s="248">
        <f t="shared" si="51"/>
        <v>0</v>
      </c>
      <c r="E490" s="248">
        <f t="shared" si="52"/>
        <v>0</v>
      </c>
      <c r="F490" s="247"/>
      <c r="G490" s="249">
        <v>427</v>
      </c>
      <c r="H490" s="248">
        <f t="shared" si="53"/>
        <v>0</v>
      </c>
      <c r="I490" s="248">
        <f t="shared" si="54"/>
        <v>0</v>
      </c>
      <c r="J490" s="248">
        <f t="shared" si="55"/>
        <v>0</v>
      </c>
      <c r="K490" s="248">
        <f t="shared" si="56"/>
        <v>0</v>
      </c>
      <c r="L490" s="247"/>
    </row>
    <row r="491" spans="1:12">
      <c r="A491" s="249">
        <v>428</v>
      </c>
      <c r="B491" s="248">
        <f t="shared" si="49"/>
        <v>0</v>
      </c>
      <c r="C491" s="248">
        <f t="shared" si="50"/>
        <v>0</v>
      </c>
      <c r="D491" s="248">
        <f t="shared" si="51"/>
        <v>0</v>
      </c>
      <c r="E491" s="248">
        <f t="shared" si="52"/>
        <v>0</v>
      </c>
      <c r="F491" s="247"/>
      <c r="G491" s="249">
        <v>428</v>
      </c>
      <c r="H491" s="248">
        <f t="shared" si="53"/>
        <v>0</v>
      </c>
      <c r="I491" s="248">
        <f t="shared" si="54"/>
        <v>0</v>
      </c>
      <c r="J491" s="248">
        <f t="shared" si="55"/>
        <v>0</v>
      </c>
      <c r="K491" s="248">
        <f t="shared" si="56"/>
        <v>0</v>
      </c>
      <c r="L491" s="247"/>
    </row>
    <row r="492" spans="1:12">
      <c r="A492" s="249">
        <v>429</v>
      </c>
      <c r="B492" s="248">
        <f t="shared" si="49"/>
        <v>0</v>
      </c>
      <c r="C492" s="248">
        <f t="shared" si="50"/>
        <v>0</v>
      </c>
      <c r="D492" s="248">
        <f t="shared" si="51"/>
        <v>0</v>
      </c>
      <c r="E492" s="248">
        <f t="shared" si="52"/>
        <v>0</v>
      </c>
      <c r="F492" s="247"/>
      <c r="G492" s="249">
        <v>429</v>
      </c>
      <c r="H492" s="248">
        <f t="shared" si="53"/>
        <v>0</v>
      </c>
      <c r="I492" s="248">
        <f t="shared" si="54"/>
        <v>0</v>
      </c>
      <c r="J492" s="248">
        <f t="shared" si="55"/>
        <v>0</v>
      </c>
      <c r="K492" s="248">
        <f t="shared" si="56"/>
        <v>0</v>
      </c>
      <c r="L492" s="247"/>
    </row>
    <row r="493" spans="1:12">
      <c r="A493" s="249">
        <v>430</v>
      </c>
      <c r="B493" s="248">
        <f t="shared" si="49"/>
        <v>0</v>
      </c>
      <c r="C493" s="248">
        <f t="shared" si="50"/>
        <v>0</v>
      </c>
      <c r="D493" s="248">
        <f t="shared" si="51"/>
        <v>0</v>
      </c>
      <c r="E493" s="248">
        <f t="shared" si="52"/>
        <v>0</v>
      </c>
      <c r="F493" s="247"/>
      <c r="G493" s="249">
        <v>430</v>
      </c>
      <c r="H493" s="248">
        <f t="shared" si="53"/>
        <v>0</v>
      </c>
      <c r="I493" s="248">
        <f t="shared" si="54"/>
        <v>0</v>
      </c>
      <c r="J493" s="248">
        <f t="shared" si="55"/>
        <v>0</v>
      </c>
      <c r="K493" s="248">
        <f t="shared" si="56"/>
        <v>0</v>
      </c>
      <c r="L493" s="247"/>
    </row>
    <row r="494" spans="1:12">
      <c r="A494" s="249">
        <v>431</v>
      </c>
      <c r="B494" s="248">
        <f t="shared" si="49"/>
        <v>0</v>
      </c>
      <c r="C494" s="248">
        <f t="shared" si="50"/>
        <v>0</v>
      </c>
      <c r="D494" s="248">
        <f t="shared" si="51"/>
        <v>0</v>
      </c>
      <c r="E494" s="248">
        <f t="shared" si="52"/>
        <v>0</v>
      </c>
      <c r="F494" s="247"/>
      <c r="G494" s="249">
        <v>431</v>
      </c>
      <c r="H494" s="248">
        <f t="shared" si="53"/>
        <v>0</v>
      </c>
      <c r="I494" s="248">
        <f t="shared" si="54"/>
        <v>0</v>
      </c>
      <c r="J494" s="248">
        <f t="shared" si="55"/>
        <v>0</v>
      </c>
      <c r="K494" s="248">
        <f t="shared" si="56"/>
        <v>0</v>
      </c>
      <c r="L494" s="247"/>
    </row>
    <row r="495" spans="1:12">
      <c r="A495" s="249">
        <v>432</v>
      </c>
      <c r="B495" s="248">
        <f t="shared" si="49"/>
        <v>0</v>
      </c>
      <c r="C495" s="248">
        <f t="shared" si="50"/>
        <v>0</v>
      </c>
      <c r="D495" s="248">
        <f t="shared" si="51"/>
        <v>0</v>
      </c>
      <c r="E495" s="248">
        <f t="shared" si="52"/>
        <v>0</v>
      </c>
      <c r="F495" s="247">
        <v>36</v>
      </c>
      <c r="G495" s="249">
        <v>432</v>
      </c>
      <c r="H495" s="248">
        <f t="shared" si="53"/>
        <v>0</v>
      </c>
      <c r="I495" s="248">
        <f t="shared" si="54"/>
        <v>0</v>
      </c>
      <c r="J495" s="248">
        <f t="shared" si="55"/>
        <v>0</v>
      </c>
      <c r="K495" s="248">
        <f t="shared" si="56"/>
        <v>0</v>
      </c>
      <c r="L495" s="247">
        <v>36</v>
      </c>
    </row>
    <row r="496" spans="1:12">
      <c r="A496" s="249">
        <v>433</v>
      </c>
      <c r="B496" s="248">
        <f t="shared" si="49"/>
        <v>0</v>
      </c>
      <c r="C496" s="248">
        <f t="shared" si="50"/>
        <v>0</v>
      </c>
      <c r="D496" s="248">
        <f t="shared" si="51"/>
        <v>0</v>
      </c>
      <c r="E496" s="248">
        <f t="shared" si="52"/>
        <v>0</v>
      </c>
      <c r="F496" s="247"/>
      <c r="G496" s="249">
        <v>433</v>
      </c>
      <c r="H496" s="248">
        <f t="shared" si="53"/>
        <v>0</v>
      </c>
      <c r="I496" s="248">
        <f t="shared" si="54"/>
        <v>0</v>
      </c>
      <c r="J496" s="248">
        <f t="shared" si="55"/>
        <v>0</v>
      </c>
      <c r="K496" s="248">
        <f t="shared" si="56"/>
        <v>0</v>
      </c>
      <c r="L496" s="247"/>
    </row>
    <row r="497" spans="1:12">
      <c r="A497" s="249">
        <v>434</v>
      </c>
      <c r="B497" s="248">
        <f t="shared" si="49"/>
        <v>0</v>
      </c>
      <c r="C497" s="248">
        <f t="shared" si="50"/>
        <v>0</v>
      </c>
      <c r="D497" s="248">
        <f t="shared" si="51"/>
        <v>0</v>
      </c>
      <c r="E497" s="248">
        <f t="shared" si="52"/>
        <v>0</v>
      </c>
      <c r="F497" s="247"/>
      <c r="G497" s="249">
        <v>434</v>
      </c>
      <c r="H497" s="248">
        <f t="shared" si="53"/>
        <v>0</v>
      </c>
      <c r="I497" s="248">
        <f t="shared" si="54"/>
        <v>0</v>
      </c>
      <c r="J497" s="248">
        <f t="shared" si="55"/>
        <v>0</v>
      </c>
      <c r="K497" s="248">
        <f t="shared" si="56"/>
        <v>0</v>
      </c>
      <c r="L497" s="247"/>
    </row>
    <row r="498" spans="1:12">
      <c r="A498" s="249">
        <v>435</v>
      </c>
      <c r="B498" s="248">
        <f t="shared" si="49"/>
        <v>0</v>
      </c>
      <c r="C498" s="248">
        <f t="shared" si="50"/>
        <v>0</v>
      </c>
      <c r="D498" s="248">
        <f t="shared" si="51"/>
        <v>0</v>
      </c>
      <c r="E498" s="248">
        <f t="shared" si="52"/>
        <v>0</v>
      </c>
      <c r="F498" s="247"/>
      <c r="G498" s="249">
        <v>435</v>
      </c>
      <c r="H498" s="248">
        <f t="shared" si="53"/>
        <v>0</v>
      </c>
      <c r="I498" s="248">
        <f t="shared" si="54"/>
        <v>0</v>
      </c>
      <c r="J498" s="248">
        <f t="shared" si="55"/>
        <v>0</v>
      </c>
      <c r="K498" s="248">
        <f t="shared" si="56"/>
        <v>0</v>
      </c>
      <c r="L498" s="247"/>
    </row>
    <row r="499" spans="1:12">
      <c r="A499" s="249">
        <v>436</v>
      </c>
      <c r="B499" s="248">
        <f t="shared" si="49"/>
        <v>0</v>
      </c>
      <c r="C499" s="248">
        <f t="shared" si="50"/>
        <v>0</v>
      </c>
      <c r="D499" s="248">
        <f t="shared" si="51"/>
        <v>0</v>
      </c>
      <c r="E499" s="248">
        <f t="shared" si="52"/>
        <v>0</v>
      </c>
      <c r="F499" s="247"/>
      <c r="G499" s="249">
        <v>436</v>
      </c>
      <c r="H499" s="248">
        <f t="shared" si="53"/>
        <v>0</v>
      </c>
      <c r="I499" s="248">
        <f t="shared" si="54"/>
        <v>0</v>
      </c>
      <c r="J499" s="248">
        <f t="shared" si="55"/>
        <v>0</v>
      </c>
      <c r="K499" s="248">
        <f t="shared" si="56"/>
        <v>0</v>
      </c>
      <c r="L499" s="247"/>
    </row>
    <row r="500" spans="1:12">
      <c r="A500" s="249">
        <v>437</v>
      </c>
      <c r="B500" s="248">
        <f t="shared" si="49"/>
        <v>0</v>
      </c>
      <c r="C500" s="248">
        <f t="shared" si="50"/>
        <v>0</v>
      </c>
      <c r="D500" s="248">
        <f t="shared" si="51"/>
        <v>0</v>
      </c>
      <c r="E500" s="248">
        <f t="shared" si="52"/>
        <v>0</v>
      </c>
      <c r="F500" s="247"/>
      <c r="G500" s="249">
        <v>437</v>
      </c>
      <c r="H500" s="248">
        <f t="shared" si="53"/>
        <v>0</v>
      </c>
      <c r="I500" s="248">
        <f t="shared" si="54"/>
        <v>0</v>
      </c>
      <c r="J500" s="248">
        <f t="shared" si="55"/>
        <v>0</v>
      </c>
      <c r="K500" s="248">
        <f t="shared" si="56"/>
        <v>0</v>
      </c>
      <c r="L500" s="247"/>
    </row>
    <row r="501" spans="1:12">
      <c r="A501" s="249">
        <v>438</v>
      </c>
      <c r="B501" s="248">
        <f t="shared" si="49"/>
        <v>0</v>
      </c>
      <c r="C501" s="248">
        <f t="shared" si="50"/>
        <v>0</v>
      </c>
      <c r="D501" s="248">
        <f t="shared" si="51"/>
        <v>0</v>
      </c>
      <c r="E501" s="248">
        <f t="shared" si="52"/>
        <v>0</v>
      </c>
      <c r="F501" s="247"/>
      <c r="G501" s="249">
        <v>438</v>
      </c>
      <c r="H501" s="248">
        <f t="shared" si="53"/>
        <v>0</v>
      </c>
      <c r="I501" s="248">
        <f t="shared" si="54"/>
        <v>0</v>
      </c>
      <c r="J501" s="248">
        <f t="shared" si="55"/>
        <v>0</v>
      </c>
      <c r="K501" s="248">
        <f t="shared" si="56"/>
        <v>0</v>
      </c>
      <c r="L501" s="247"/>
    </row>
    <row r="502" spans="1:12">
      <c r="A502" s="249">
        <v>439</v>
      </c>
      <c r="B502" s="248">
        <f t="shared" si="49"/>
        <v>0</v>
      </c>
      <c r="C502" s="248">
        <f t="shared" si="50"/>
        <v>0</v>
      </c>
      <c r="D502" s="248">
        <f t="shared" si="51"/>
        <v>0</v>
      </c>
      <c r="E502" s="248">
        <f t="shared" si="52"/>
        <v>0</v>
      </c>
      <c r="F502" s="247"/>
      <c r="G502" s="249">
        <v>439</v>
      </c>
      <c r="H502" s="248">
        <f t="shared" si="53"/>
        <v>0</v>
      </c>
      <c r="I502" s="248">
        <f t="shared" si="54"/>
        <v>0</v>
      </c>
      <c r="J502" s="248">
        <f t="shared" si="55"/>
        <v>0</v>
      </c>
      <c r="K502" s="248">
        <f t="shared" si="56"/>
        <v>0</v>
      </c>
      <c r="L502" s="247"/>
    </row>
    <row r="503" spans="1:12">
      <c r="A503" s="249">
        <v>440</v>
      </c>
      <c r="B503" s="248">
        <f t="shared" si="49"/>
        <v>0</v>
      </c>
      <c r="C503" s="248">
        <f t="shared" si="50"/>
        <v>0</v>
      </c>
      <c r="D503" s="248">
        <f t="shared" si="51"/>
        <v>0</v>
      </c>
      <c r="E503" s="248">
        <f t="shared" si="52"/>
        <v>0</v>
      </c>
      <c r="F503" s="247"/>
      <c r="G503" s="249">
        <v>440</v>
      </c>
      <c r="H503" s="248">
        <f t="shared" si="53"/>
        <v>0</v>
      </c>
      <c r="I503" s="248">
        <f t="shared" si="54"/>
        <v>0</v>
      </c>
      <c r="J503" s="248">
        <f t="shared" si="55"/>
        <v>0</v>
      </c>
      <c r="K503" s="248">
        <f t="shared" si="56"/>
        <v>0</v>
      </c>
      <c r="L503" s="247"/>
    </row>
    <row r="504" spans="1:12">
      <c r="A504" s="249">
        <v>441</v>
      </c>
      <c r="B504" s="248">
        <f t="shared" si="49"/>
        <v>0</v>
      </c>
      <c r="C504" s="248">
        <f t="shared" si="50"/>
        <v>0</v>
      </c>
      <c r="D504" s="248">
        <f t="shared" si="51"/>
        <v>0</v>
      </c>
      <c r="E504" s="248">
        <f t="shared" si="52"/>
        <v>0</v>
      </c>
      <c r="F504" s="247"/>
      <c r="G504" s="249">
        <v>441</v>
      </c>
      <c r="H504" s="248">
        <f t="shared" si="53"/>
        <v>0</v>
      </c>
      <c r="I504" s="248">
        <f t="shared" si="54"/>
        <v>0</v>
      </c>
      <c r="J504" s="248">
        <f t="shared" si="55"/>
        <v>0</v>
      </c>
      <c r="K504" s="248">
        <f t="shared" si="56"/>
        <v>0</v>
      </c>
      <c r="L504" s="247"/>
    </row>
    <row r="505" spans="1:12">
      <c r="A505" s="249">
        <v>442</v>
      </c>
      <c r="B505" s="248">
        <f t="shared" si="49"/>
        <v>0</v>
      </c>
      <c r="C505" s="248">
        <f t="shared" si="50"/>
        <v>0</v>
      </c>
      <c r="D505" s="248">
        <f t="shared" si="51"/>
        <v>0</v>
      </c>
      <c r="E505" s="248">
        <f t="shared" si="52"/>
        <v>0</v>
      </c>
      <c r="F505" s="247"/>
      <c r="G505" s="249">
        <v>442</v>
      </c>
      <c r="H505" s="248">
        <f t="shared" si="53"/>
        <v>0</v>
      </c>
      <c r="I505" s="248">
        <f t="shared" si="54"/>
        <v>0</v>
      </c>
      <c r="J505" s="248">
        <f t="shared" si="55"/>
        <v>0</v>
      </c>
      <c r="K505" s="248">
        <f t="shared" si="56"/>
        <v>0</v>
      </c>
      <c r="L505" s="247"/>
    </row>
    <row r="506" spans="1:12">
      <c r="A506" s="249">
        <v>443</v>
      </c>
      <c r="B506" s="248">
        <f t="shared" si="49"/>
        <v>0</v>
      </c>
      <c r="C506" s="248">
        <f t="shared" si="50"/>
        <v>0</v>
      </c>
      <c r="D506" s="248">
        <f t="shared" si="51"/>
        <v>0</v>
      </c>
      <c r="E506" s="248">
        <f t="shared" si="52"/>
        <v>0</v>
      </c>
      <c r="F506" s="247"/>
      <c r="G506" s="249">
        <v>443</v>
      </c>
      <c r="H506" s="248">
        <f t="shared" si="53"/>
        <v>0</v>
      </c>
      <c r="I506" s="248">
        <f t="shared" si="54"/>
        <v>0</v>
      </c>
      <c r="J506" s="248">
        <f t="shared" si="55"/>
        <v>0</v>
      </c>
      <c r="K506" s="248">
        <f t="shared" si="56"/>
        <v>0</v>
      </c>
      <c r="L506" s="247"/>
    </row>
    <row r="507" spans="1:12">
      <c r="A507" s="249">
        <v>444</v>
      </c>
      <c r="B507" s="248">
        <f t="shared" si="49"/>
        <v>0</v>
      </c>
      <c r="C507" s="248">
        <f t="shared" si="50"/>
        <v>0</v>
      </c>
      <c r="D507" s="248">
        <f t="shared" si="51"/>
        <v>0</v>
      </c>
      <c r="E507" s="248">
        <f t="shared" si="52"/>
        <v>0</v>
      </c>
      <c r="F507" s="247">
        <v>37</v>
      </c>
      <c r="G507" s="249">
        <v>444</v>
      </c>
      <c r="H507" s="248">
        <f t="shared" si="53"/>
        <v>0</v>
      </c>
      <c r="I507" s="248">
        <f t="shared" si="54"/>
        <v>0</v>
      </c>
      <c r="J507" s="248">
        <f t="shared" si="55"/>
        <v>0</v>
      </c>
      <c r="K507" s="248">
        <f t="shared" si="56"/>
        <v>0</v>
      </c>
      <c r="L507" s="247">
        <v>37</v>
      </c>
    </row>
    <row r="508" spans="1:12">
      <c r="A508" s="249">
        <v>445</v>
      </c>
      <c r="B508" s="248">
        <f t="shared" si="49"/>
        <v>0</v>
      </c>
      <c r="C508" s="248">
        <f t="shared" si="50"/>
        <v>0</v>
      </c>
      <c r="D508" s="248">
        <f t="shared" si="51"/>
        <v>0</v>
      </c>
      <c r="E508" s="248">
        <f t="shared" si="52"/>
        <v>0</v>
      </c>
      <c r="F508" s="247"/>
      <c r="G508" s="249">
        <v>445</v>
      </c>
      <c r="H508" s="248">
        <f t="shared" si="53"/>
        <v>0</v>
      </c>
      <c r="I508" s="248">
        <f t="shared" si="54"/>
        <v>0</v>
      </c>
      <c r="J508" s="248">
        <f t="shared" si="55"/>
        <v>0</v>
      </c>
      <c r="K508" s="248">
        <f t="shared" si="56"/>
        <v>0</v>
      </c>
      <c r="L508" s="247"/>
    </row>
    <row r="509" spans="1:12">
      <c r="A509" s="249">
        <v>446</v>
      </c>
      <c r="B509" s="248">
        <f t="shared" si="49"/>
        <v>0</v>
      </c>
      <c r="C509" s="248">
        <f t="shared" si="50"/>
        <v>0</v>
      </c>
      <c r="D509" s="248">
        <f t="shared" si="51"/>
        <v>0</v>
      </c>
      <c r="E509" s="248">
        <f t="shared" si="52"/>
        <v>0</v>
      </c>
      <c r="F509" s="247"/>
      <c r="G509" s="249">
        <v>446</v>
      </c>
      <c r="H509" s="248">
        <f t="shared" si="53"/>
        <v>0</v>
      </c>
      <c r="I509" s="248">
        <f t="shared" si="54"/>
        <v>0</v>
      </c>
      <c r="J509" s="248">
        <f t="shared" si="55"/>
        <v>0</v>
      </c>
      <c r="K509" s="248">
        <f t="shared" si="56"/>
        <v>0</v>
      </c>
      <c r="L509" s="247"/>
    </row>
    <row r="510" spans="1:12">
      <c r="A510" s="249">
        <v>447</v>
      </c>
      <c r="B510" s="248">
        <f t="shared" si="49"/>
        <v>0</v>
      </c>
      <c r="C510" s="248">
        <f t="shared" si="50"/>
        <v>0</v>
      </c>
      <c r="D510" s="248">
        <f t="shared" si="51"/>
        <v>0</v>
      </c>
      <c r="E510" s="248">
        <f t="shared" si="52"/>
        <v>0</v>
      </c>
      <c r="F510" s="247"/>
      <c r="G510" s="249">
        <v>447</v>
      </c>
      <c r="H510" s="248">
        <f t="shared" si="53"/>
        <v>0</v>
      </c>
      <c r="I510" s="248">
        <f t="shared" si="54"/>
        <v>0</v>
      </c>
      <c r="J510" s="248">
        <f t="shared" si="55"/>
        <v>0</v>
      </c>
      <c r="K510" s="248">
        <f t="shared" si="56"/>
        <v>0</v>
      </c>
      <c r="L510" s="247"/>
    </row>
    <row r="511" spans="1:12">
      <c r="A511" s="249">
        <v>448</v>
      </c>
      <c r="B511" s="248">
        <f t="shared" si="49"/>
        <v>0</v>
      </c>
      <c r="C511" s="248">
        <f t="shared" si="50"/>
        <v>0</v>
      </c>
      <c r="D511" s="248">
        <f t="shared" si="51"/>
        <v>0</v>
      </c>
      <c r="E511" s="248">
        <f t="shared" si="52"/>
        <v>0</v>
      </c>
      <c r="F511" s="247"/>
      <c r="G511" s="249">
        <v>448</v>
      </c>
      <c r="H511" s="248">
        <f t="shared" si="53"/>
        <v>0</v>
      </c>
      <c r="I511" s="248">
        <f t="shared" si="54"/>
        <v>0</v>
      </c>
      <c r="J511" s="248">
        <f t="shared" si="55"/>
        <v>0</v>
      </c>
      <c r="K511" s="248">
        <f t="shared" si="56"/>
        <v>0</v>
      </c>
      <c r="L511" s="247"/>
    </row>
    <row r="512" spans="1:12">
      <c r="A512" s="249">
        <v>449</v>
      </c>
      <c r="B512" s="248">
        <f t="shared" ref="B512:B543" si="57">IF(A512&gt;12*$C$9,0,IF($C$5&gt;1500000,$D$12,$C$12))</f>
        <v>0</v>
      </c>
      <c r="C512" s="248">
        <f t="shared" ref="C512:C543" si="58">IF(A512&gt;12*$C$9,0,E511*$C$7/12)</f>
        <v>0</v>
      </c>
      <c r="D512" s="248">
        <f t="shared" ref="D512:D543" si="59">IF(A512&gt;12*$C$9,0,B512-C512)</f>
        <v>0</v>
      </c>
      <c r="E512" s="248">
        <f t="shared" ref="E512:E543" si="60">IF(A512&gt;12*$C$9,0,E511-D512)</f>
        <v>0</v>
      </c>
      <c r="F512" s="247"/>
      <c r="G512" s="249">
        <v>449</v>
      </c>
      <c r="H512" s="248">
        <f t="shared" ref="H512:H543" si="61">IF(G512&gt;12*$C$9,0,IF($C$5&gt;1500000,$E$12,0))</f>
        <v>0</v>
      </c>
      <c r="I512" s="248">
        <f t="shared" ref="I512:I543" si="62">IF(G512&gt;12*$C$9,0,K511*$C$7/12)</f>
        <v>0</v>
      </c>
      <c r="J512" s="248">
        <f t="shared" ref="J512:J543" si="63">IF(G512&gt;12*$C$9,0,H512-I512)</f>
        <v>0</v>
      </c>
      <c r="K512" s="248">
        <f t="shared" ref="K512:K543" si="64">IF(G512&gt;12*$C$9,0,K511-J512)</f>
        <v>0</v>
      </c>
      <c r="L512" s="247"/>
    </row>
    <row r="513" spans="1:12">
      <c r="A513" s="249">
        <v>450</v>
      </c>
      <c r="B513" s="248">
        <f t="shared" si="57"/>
        <v>0</v>
      </c>
      <c r="C513" s="248">
        <f t="shared" si="58"/>
        <v>0</v>
      </c>
      <c r="D513" s="248">
        <f t="shared" si="59"/>
        <v>0</v>
      </c>
      <c r="E513" s="248">
        <f t="shared" si="60"/>
        <v>0</v>
      </c>
      <c r="F513" s="247"/>
      <c r="G513" s="249">
        <v>450</v>
      </c>
      <c r="H513" s="248">
        <f t="shared" si="61"/>
        <v>0</v>
      </c>
      <c r="I513" s="248">
        <f t="shared" si="62"/>
        <v>0</v>
      </c>
      <c r="J513" s="248">
        <f t="shared" si="63"/>
        <v>0</v>
      </c>
      <c r="K513" s="248">
        <f t="shared" si="64"/>
        <v>0</v>
      </c>
      <c r="L513" s="247"/>
    </row>
    <row r="514" spans="1:12">
      <c r="A514" s="249">
        <v>451</v>
      </c>
      <c r="B514" s="248">
        <f t="shared" si="57"/>
        <v>0</v>
      </c>
      <c r="C514" s="248">
        <f t="shared" si="58"/>
        <v>0</v>
      </c>
      <c r="D514" s="248">
        <f t="shared" si="59"/>
        <v>0</v>
      </c>
      <c r="E514" s="248">
        <f t="shared" si="60"/>
        <v>0</v>
      </c>
      <c r="F514" s="247"/>
      <c r="G514" s="249">
        <v>451</v>
      </c>
      <c r="H514" s="248">
        <f t="shared" si="61"/>
        <v>0</v>
      </c>
      <c r="I514" s="248">
        <f t="shared" si="62"/>
        <v>0</v>
      </c>
      <c r="J514" s="248">
        <f t="shared" si="63"/>
        <v>0</v>
      </c>
      <c r="K514" s="248">
        <f t="shared" si="64"/>
        <v>0</v>
      </c>
      <c r="L514" s="247"/>
    </row>
    <row r="515" spans="1:12">
      <c r="A515" s="249">
        <v>452</v>
      </c>
      <c r="B515" s="248">
        <f t="shared" si="57"/>
        <v>0</v>
      </c>
      <c r="C515" s="248">
        <f t="shared" si="58"/>
        <v>0</v>
      </c>
      <c r="D515" s="248">
        <f t="shared" si="59"/>
        <v>0</v>
      </c>
      <c r="E515" s="248">
        <f t="shared" si="60"/>
        <v>0</v>
      </c>
      <c r="F515" s="247"/>
      <c r="G515" s="249">
        <v>452</v>
      </c>
      <c r="H515" s="248">
        <f t="shared" si="61"/>
        <v>0</v>
      </c>
      <c r="I515" s="248">
        <f t="shared" si="62"/>
        <v>0</v>
      </c>
      <c r="J515" s="248">
        <f t="shared" si="63"/>
        <v>0</v>
      </c>
      <c r="K515" s="248">
        <f t="shared" si="64"/>
        <v>0</v>
      </c>
      <c r="L515" s="247"/>
    </row>
    <row r="516" spans="1:12">
      <c r="A516" s="249">
        <v>453</v>
      </c>
      <c r="B516" s="248">
        <f t="shared" si="57"/>
        <v>0</v>
      </c>
      <c r="C516" s="248">
        <f t="shared" si="58"/>
        <v>0</v>
      </c>
      <c r="D516" s="248">
        <f t="shared" si="59"/>
        <v>0</v>
      </c>
      <c r="E516" s="248">
        <f t="shared" si="60"/>
        <v>0</v>
      </c>
      <c r="F516" s="247"/>
      <c r="G516" s="249">
        <v>453</v>
      </c>
      <c r="H516" s="248">
        <f t="shared" si="61"/>
        <v>0</v>
      </c>
      <c r="I516" s="248">
        <f t="shared" si="62"/>
        <v>0</v>
      </c>
      <c r="J516" s="248">
        <f t="shared" si="63"/>
        <v>0</v>
      </c>
      <c r="K516" s="248">
        <f t="shared" si="64"/>
        <v>0</v>
      </c>
      <c r="L516" s="247"/>
    </row>
    <row r="517" spans="1:12">
      <c r="A517" s="249">
        <v>454</v>
      </c>
      <c r="B517" s="248">
        <f t="shared" si="57"/>
        <v>0</v>
      </c>
      <c r="C517" s="248">
        <f t="shared" si="58"/>
        <v>0</v>
      </c>
      <c r="D517" s="248">
        <f t="shared" si="59"/>
        <v>0</v>
      </c>
      <c r="E517" s="248">
        <f t="shared" si="60"/>
        <v>0</v>
      </c>
      <c r="F517" s="247"/>
      <c r="G517" s="249">
        <v>454</v>
      </c>
      <c r="H517" s="248">
        <f t="shared" si="61"/>
        <v>0</v>
      </c>
      <c r="I517" s="248">
        <f t="shared" si="62"/>
        <v>0</v>
      </c>
      <c r="J517" s="248">
        <f t="shared" si="63"/>
        <v>0</v>
      </c>
      <c r="K517" s="248">
        <f t="shared" si="64"/>
        <v>0</v>
      </c>
      <c r="L517" s="247"/>
    </row>
    <row r="518" spans="1:12">
      <c r="A518" s="249">
        <v>455</v>
      </c>
      <c r="B518" s="248">
        <f t="shared" si="57"/>
        <v>0</v>
      </c>
      <c r="C518" s="248">
        <f t="shared" si="58"/>
        <v>0</v>
      </c>
      <c r="D518" s="248">
        <f t="shared" si="59"/>
        <v>0</v>
      </c>
      <c r="E518" s="248">
        <f t="shared" si="60"/>
        <v>0</v>
      </c>
      <c r="F518" s="247"/>
      <c r="G518" s="249">
        <v>455</v>
      </c>
      <c r="H518" s="248">
        <f t="shared" si="61"/>
        <v>0</v>
      </c>
      <c r="I518" s="248">
        <f t="shared" si="62"/>
        <v>0</v>
      </c>
      <c r="J518" s="248">
        <f t="shared" si="63"/>
        <v>0</v>
      </c>
      <c r="K518" s="248">
        <f t="shared" si="64"/>
        <v>0</v>
      </c>
      <c r="L518" s="247"/>
    </row>
    <row r="519" spans="1:12">
      <c r="A519" s="249">
        <v>456</v>
      </c>
      <c r="B519" s="248">
        <f t="shared" si="57"/>
        <v>0</v>
      </c>
      <c r="C519" s="248">
        <f t="shared" si="58"/>
        <v>0</v>
      </c>
      <c r="D519" s="248">
        <f t="shared" si="59"/>
        <v>0</v>
      </c>
      <c r="E519" s="248">
        <f t="shared" si="60"/>
        <v>0</v>
      </c>
      <c r="F519" s="249">
        <v>38</v>
      </c>
      <c r="G519" s="249">
        <v>456</v>
      </c>
      <c r="H519" s="248">
        <f t="shared" si="61"/>
        <v>0</v>
      </c>
      <c r="I519" s="248">
        <f t="shared" si="62"/>
        <v>0</v>
      </c>
      <c r="J519" s="248">
        <f t="shared" si="63"/>
        <v>0</v>
      </c>
      <c r="K519" s="248">
        <f t="shared" si="64"/>
        <v>0</v>
      </c>
      <c r="L519" s="249">
        <v>38</v>
      </c>
    </row>
    <row r="520" spans="1:12">
      <c r="A520" s="249">
        <v>457</v>
      </c>
      <c r="B520" s="248">
        <f t="shared" si="57"/>
        <v>0</v>
      </c>
      <c r="C520" s="248">
        <f t="shared" si="58"/>
        <v>0</v>
      </c>
      <c r="D520" s="248">
        <f t="shared" si="59"/>
        <v>0</v>
      </c>
      <c r="E520" s="248">
        <f t="shared" si="60"/>
        <v>0</v>
      </c>
      <c r="F520" s="247"/>
      <c r="G520" s="249">
        <v>457</v>
      </c>
      <c r="H520" s="248">
        <f t="shared" si="61"/>
        <v>0</v>
      </c>
      <c r="I520" s="248">
        <f t="shared" si="62"/>
        <v>0</v>
      </c>
      <c r="J520" s="248">
        <f t="shared" si="63"/>
        <v>0</v>
      </c>
      <c r="K520" s="248">
        <f t="shared" si="64"/>
        <v>0</v>
      </c>
      <c r="L520" s="247"/>
    </row>
    <row r="521" spans="1:12" s="227" customFormat="1">
      <c r="A521" s="249">
        <v>458</v>
      </c>
      <c r="B521" s="248">
        <f t="shared" si="57"/>
        <v>0</v>
      </c>
      <c r="C521" s="248">
        <f t="shared" si="58"/>
        <v>0</v>
      </c>
      <c r="D521" s="248">
        <f t="shared" si="59"/>
        <v>0</v>
      </c>
      <c r="E521" s="248">
        <f t="shared" si="60"/>
        <v>0</v>
      </c>
      <c r="F521" s="247"/>
      <c r="G521" s="249">
        <v>458</v>
      </c>
      <c r="H521" s="248">
        <f t="shared" si="61"/>
        <v>0</v>
      </c>
      <c r="I521" s="248">
        <f t="shared" si="62"/>
        <v>0</v>
      </c>
      <c r="J521" s="248">
        <f t="shared" si="63"/>
        <v>0</v>
      </c>
      <c r="K521" s="248">
        <f t="shared" si="64"/>
        <v>0</v>
      </c>
      <c r="L521" s="247"/>
    </row>
    <row r="522" spans="1:12">
      <c r="A522" s="249">
        <v>459</v>
      </c>
      <c r="B522" s="248">
        <f t="shared" si="57"/>
        <v>0</v>
      </c>
      <c r="C522" s="248">
        <f t="shared" si="58"/>
        <v>0</v>
      </c>
      <c r="D522" s="248">
        <f t="shared" si="59"/>
        <v>0</v>
      </c>
      <c r="E522" s="248">
        <f t="shared" si="60"/>
        <v>0</v>
      </c>
      <c r="F522" s="247"/>
      <c r="G522" s="249">
        <v>459</v>
      </c>
      <c r="H522" s="248">
        <f t="shared" si="61"/>
        <v>0</v>
      </c>
      <c r="I522" s="248">
        <f t="shared" si="62"/>
        <v>0</v>
      </c>
      <c r="J522" s="248">
        <f t="shared" si="63"/>
        <v>0</v>
      </c>
      <c r="K522" s="248">
        <f t="shared" si="64"/>
        <v>0</v>
      </c>
      <c r="L522" s="247"/>
    </row>
    <row r="523" spans="1:12">
      <c r="A523" s="249">
        <v>460</v>
      </c>
      <c r="B523" s="248">
        <f t="shared" si="57"/>
        <v>0</v>
      </c>
      <c r="C523" s="248">
        <f t="shared" si="58"/>
        <v>0</v>
      </c>
      <c r="D523" s="248">
        <f t="shared" si="59"/>
        <v>0</v>
      </c>
      <c r="E523" s="248">
        <f t="shared" si="60"/>
        <v>0</v>
      </c>
      <c r="F523" s="247"/>
      <c r="G523" s="249">
        <v>460</v>
      </c>
      <c r="H523" s="248">
        <f t="shared" si="61"/>
        <v>0</v>
      </c>
      <c r="I523" s="248">
        <f t="shared" si="62"/>
        <v>0</v>
      </c>
      <c r="J523" s="248">
        <f t="shared" si="63"/>
        <v>0</v>
      </c>
      <c r="K523" s="248">
        <f t="shared" si="64"/>
        <v>0</v>
      </c>
      <c r="L523" s="247"/>
    </row>
    <row r="524" spans="1:12">
      <c r="A524" s="249">
        <v>461</v>
      </c>
      <c r="B524" s="248">
        <f t="shared" si="57"/>
        <v>0</v>
      </c>
      <c r="C524" s="248">
        <f t="shared" si="58"/>
        <v>0</v>
      </c>
      <c r="D524" s="248">
        <f t="shared" si="59"/>
        <v>0</v>
      </c>
      <c r="E524" s="248">
        <f t="shared" si="60"/>
        <v>0</v>
      </c>
      <c r="F524" s="247"/>
      <c r="G524" s="249">
        <v>461</v>
      </c>
      <c r="H524" s="248">
        <f t="shared" si="61"/>
        <v>0</v>
      </c>
      <c r="I524" s="248">
        <f t="shared" si="62"/>
        <v>0</v>
      </c>
      <c r="J524" s="248">
        <f t="shared" si="63"/>
        <v>0</v>
      </c>
      <c r="K524" s="248">
        <f t="shared" si="64"/>
        <v>0</v>
      </c>
      <c r="L524" s="247"/>
    </row>
    <row r="525" spans="1:12">
      <c r="A525" s="249">
        <v>462</v>
      </c>
      <c r="B525" s="248">
        <f t="shared" si="57"/>
        <v>0</v>
      </c>
      <c r="C525" s="248">
        <f t="shared" si="58"/>
        <v>0</v>
      </c>
      <c r="D525" s="248">
        <f t="shared" si="59"/>
        <v>0</v>
      </c>
      <c r="E525" s="248">
        <f t="shared" si="60"/>
        <v>0</v>
      </c>
      <c r="F525" s="247"/>
      <c r="G525" s="249">
        <v>462</v>
      </c>
      <c r="H525" s="248">
        <f t="shared" si="61"/>
        <v>0</v>
      </c>
      <c r="I525" s="248">
        <f t="shared" si="62"/>
        <v>0</v>
      </c>
      <c r="J525" s="248">
        <f t="shared" si="63"/>
        <v>0</v>
      </c>
      <c r="K525" s="248">
        <f t="shared" si="64"/>
        <v>0</v>
      </c>
      <c r="L525" s="247"/>
    </row>
    <row r="526" spans="1:12">
      <c r="A526" s="249">
        <v>463</v>
      </c>
      <c r="B526" s="248">
        <f t="shared" si="57"/>
        <v>0</v>
      </c>
      <c r="C526" s="248">
        <f t="shared" si="58"/>
        <v>0</v>
      </c>
      <c r="D526" s="248">
        <f t="shared" si="59"/>
        <v>0</v>
      </c>
      <c r="E526" s="248">
        <f t="shared" si="60"/>
        <v>0</v>
      </c>
      <c r="F526" s="247"/>
      <c r="G526" s="249">
        <v>463</v>
      </c>
      <c r="H526" s="248">
        <f t="shared" si="61"/>
        <v>0</v>
      </c>
      <c r="I526" s="248">
        <f t="shared" si="62"/>
        <v>0</v>
      </c>
      <c r="J526" s="248">
        <f t="shared" si="63"/>
        <v>0</v>
      </c>
      <c r="K526" s="248">
        <f t="shared" si="64"/>
        <v>0</v>
      </c>
      <c r="L526" s="247"/>
    </row>
    <row r="527" spans="1:12">
      <c r="A527" s="249">
        <v>464</v>
      </c>
      <c r="B527" s="248">
        <f t="shared" si="57"/>
        <v>0</v>
      </c>
      <c r="C527" s="248">
        <f t="shared" si="58"/>
        <v>0</v>
      </c>
      <c r="D527" s="248">
        <f t="shared" si="59"/>
        <v>0</v>
      </c>
      <c r="E527" s="248">
        <f t="shared" si="60"/>
        <v>0</v>
      </c>
      <c r="F527" s="247"/>
      <c r="G527" s="249">
        <v>464</v>
      </c>
      <c r="H527" s="248">
        <f t="shared" si="61"/>
        <v>0</v>
      </c>
      <c r="I527" s="248">
        <f t="shared" si="62"/>
        <v>0</v>
      </c>
      <c r="J527" s="248">
        <f t="shared" si="63"/>
        <v>0</v>
      </c>
      <c r="K527" s="248">
        <f t="shared" si="64"/>
        <v>0</v>
      </c>
      <c r="L527" s="247"/>
    </row>
    <row r="528" spans="1:12">
      <c r="A528" s="249">
        <v>465</v>
      </c>
      <c r="B528" s="248">
        <f t="shared" si="57"/>
        <v>0</v>
      </c>
      <c r="C528" s="248">
        <f t="shared" si="58"/>
        <v>0</v>
      </c>
      <c r="D528" s="248">
        <f t="shared" si="59"/>
        <v>0</v>
      </c>
      <c r="E528" s="248">
        <f t="shared" si="60"/>
        <v>0</v>
      </c>
      <c r="F528" s="247"/>
      <c r="G528" s="249">
        <v>465</v>
      </c>
      <c r="H528" s="248">
        <f t="shared" si="61"/>
        <v>0</v>
      </c>
      <c r="I528" s="248">
        <f t="shared" si="62"/>
        <v>0</v>
      </c>
      <c r="J528" s="248">
        <f t="shared" si="63"/>
        <v>0</v>
      </c>
      <c r="K528" s="248">
        <f t="shared" si="64"/>
        <v>0</v>
      </c>
      <c r="L528" s="247"/>
    </row>
    <row r="529" spans="1:12">
      <c r="A529" s="249">
        <v>466</v>
      </c>
      <c r="B529" s="248">
        <f t="shared" si="57"/>
        <v>0</v>
      </c>
      <c r="C529" s="248">
        <f t="shared" si="58"/>
        <v>0</v>
      </c>
      <c r="D529" s="248">
        <f t="shared" si="59"/>
        <v>0</v>
      </c>
      <c r="E529" s="248">
        <f t="shared" si="60"/>
        <v>0</v>
      </c>
      <c r="F529" s="247"/>
      <c r="G529" s="249">
        <v>466</v>
      </c>
      <c r="H529" s="248">
        <f t="shared" si="61"/>
        <v>0</v>
      </c>
      <c r="I529" s="248">
        <f t="shared" si="62"/>
        <v>0</v>
      </c>
      <c r="J529" s="248">
        <f t="shared" si="63"/>
        <v>0</v>
      </c>
      <c r="K529" s="248">
        <f t="shared" si="64"/>
        <v>0</v>
      </c>
      <c r="L529" s="247"/>
    </row>
    <row r="530" spans="1:12">
      <c r="A530" s="249">
        <v>467</v>
      </c>
      <c r="B530" s="248">
        <f t="shared" si="57"/>
        <v>0</v>
      </c>
      <c r="C530" s="248">
        <f t="shared" si="58"/>
        <v>0</v>
      </c>
      <c r="D530" s="248">
        <f t="shared" si="59"/>
        <v>0</v>
      </c>
      <c r="E530" s="248">
        <f t="shared" si="60"/>
        <v>0</v>
      </c>
      <c r="F530" s="247"/>
      <c r="G530" s="249">
        <v>467</v>
      </c>
      <c r="H530" s="248">
        <f t="shared" si="61"/>
        <v>0</v>
      </c>
      <c r="I530" s="248">
        <f t="shared" si="62"/>
        <v>0</v>
      </c>
      <c r="J530" s="248">
        <f t="shared" si="63"/>
        <v>0</v>
      </c>
      <c r="K530" s="248">
        <f t="shared" si="64"/>
        <v>0</v>
      </c>
      <c r="L530" s="247"/>
    </row>
    <row r="531" spans="1:12">
      <c r="A531" s="249">
        <v>468</v>
      </c>
      <c r="B531" s="248">
        <f t="shared" si="57"/>
        <v>0</v>
      </c>
      <c r="C531" s="248">
        <f t="shared" si="58"/>
        <v>0</v>
      </c>
      <c r="D531" s="248">
        <f t="shared" si="59"/>
        <v>0</v>
      </c>
      <c r="E531" s="248">
        <f t="shared" si="60"/>
        <v>0</v>
      </c>
      <c r="F531" s="247">
        <v>39</v>
      </c>
      <c r="G531" s="249">
        <v>468</v>
      </c>
      <c r="H531" s="248">
        <f t="shared" si="61"/>
        <v>0</v>
      </c>
      <c r="I531" s="248">
        <f t="shared" si="62"/>
        <v>0</v>
      </c>
      <c r="J531" s="248">
        <f t="shared" si="63"/>
        <v>0</v>
      </c>
      <c r="K531" s="248">
        <f t="shared" si="64"/>
        <v>0</v>
      </c>
      <c r="L531" s="247">
        <v>39</v>
      </c>
    </row>
    <row r="532" spans="1:12">
      <c r="A532" s="249">
        <v>469</v>
      </c>
      <c r="B532" s="248">
        <f t="shared" si="57"/>
        <v>0</v>
      </c>
      <c r="C532" s="248">
        <f t="shared" si="58"/>
        <v>0</v>
      </c>
      <c r="D532" s="248">
        <f t="shared" si="59"/>
        <v>0</v>
      </c>
      <c r="E532" s="248">
        <f t="shared" si="60"/>
        <v>0</v>
      </c>
      <c r="F532" s="247"/>
      <c r="G532" s="249">
        <v>469</v>
      </c>
      <c r="H532" s="248">
        <f t="shared" si="61"/>
        <v>0</v>
      </c>
      <c r="I532" s="248">
        <f t="shared" si="62"/>
        <v>0</v>
      </c>
      <c r="J532" s="248">
        <f t="shared" si="63"/>
        <v>0</v>
      </c>
      <c r="K532" s="248">
        <f t="shared" si="64"/>
        <v>0</v>
      </c>
      <c r="L532" s="247"/>
    </row>
    <row r="533" spans="1:12">
      <c r="A533" s="249">
        <v>470</v>
      </c>
      <c r="B533" s="248">
        <f t="shared" si="57"/>
        <v>0</v>
      </c>
      <c r="C533" s="248">
        <f t="shared" si="58"/>
        <v>0</v>
      </c>
      <c r="D533" s="248">
        <f t="shared" si="59"/>
        <v>0</v>
      </c>
      <c r="E533" s="248">
        <f t="shared" si="60"/>
        <v>0</v>
      </c>
      <c r="F533" s="247"/>
      <c r="G533" s="249">
        <v>470</v>
      </c>
      <c r="H533" s="248">
        <f t="shared" si="61"/>
        <v>0</v>
      </c>
      <c r="I533" s="248">
        <f t="shared" si="62"/>
        <v>0</v>
      </c>
      <c r="J533" s="248">
        <f t="shared" si="63"/>
        <v>0</v>
      </c>
      <c r="K533" s="248">
        <f t="shared" si="64"/>
        <v>0</v>
      </c>
      <c r="L533" s="247"/>
    </row>
    <row r="534" spans="1:12">
      <c r="A534" s="249">
        <v>471</v>
      </c>
      <c r="B534" s="248">
        <f t="shared" si="57"/>
        <v>0</v>
      </c>
      <c r="C534" s="248">
        <f t="shared" si="58"/>
        <v>0</v>
      </c>
      <c r="D534" s="248">
        <f t="shared" si="59"/>
        <v>0</v>
      </c>
      <c r="E534" s="248">
        <f t="shared" si="60"/>
        <v>0</v>
      </c>
      <c r="F534" s="247"/>
      <c r="G534" s="249">
        <v>471</v>
      </c>
      <c r="H534" s="248">
        <f t="shared" si="61"/>
        <v>0</v>
      </c>
      <c r="I534" s="248">
        <f t="shared" si="62"/>
        <v>0</v>
      </c>
      <c r="J534" s="248">
        <f t="shared" si="63"/>
        <v>0</v>
      </c>
      <c r="K534" s="248">
        <f t="shared" si="64"/>
        <v>0</v>
      </c>
      <c r="L534" s="247"/>
    </row>
    <row r="535" spans="1:12">
      <c r="A535" s="249">
        <v>472</v>
      </c>
      <c r="B535" s="248">
        <f t="shared" si="57"/>
        <v>0</v>
      </c>
      <c r="C535" s="248">
        <f t="shared" si="58"/>
        <v>0</v>
      </c>
      <c r="D535" s="248">
        <f t="shared" si="59"/>
        <v>0</v>
      </c>
      <c r="E535" s="248">
        <f t="shared" si="60"/>
        <v>0</v>
      </c>
      <c r="F535" s="247"/>
      <c r="G535" s="249">
        <v>472</v>
      </c>
      <c r="H535" s="248">
        <f t="shared" si="61"/>
        <v>0</v>
      </c>
      <c r="I535" s="248">
        <f t="shared" si="62"/>
        <v>0</v>
      </c>
      <c r="J535" s="248">
        <f t="shared" si="63"/>
        <v>0</v>
      </c>
      <c r="K535" s="248">
        <f t="shared" si="64"/>
        <v>0</v>
      </c>
      <c r="L535" s="247"/>
    </row>
    <row r="536" spans="1:12">
      <c r="A536" s="249">
        <v>473</v>
      </c>
      <c r="B536" s="248">
        <f t="shared" si="57"/>
        <v>0</v>
      </c>
      <c r="C536" s="248">
        <f t="shared" si="58"/>
        <v>0</v>
      </c>
      <c r="D536" s="248">
        <f t="shared" si="59"/>
        <v>0</v>
      </c>
      <c r="E536" s="248">
        <f t="shared" si="60"/>
        <v>0</v>
      </c>
      <c r="F536" s="247"/>
      <c r="G536" s="249">
        <v>473</v>
      </c>
      <c r="H536" s="248">
        <f t="shared" si="61"/>
        <v>0</v>
      </c>
      <c r="I536" s="248">
        <f t="shared" si="62"/>
        <v>0</v>
      </c>
      <c r="J536" s="248">
        <f t="shared" si="63"/>
        <v>0</v>
      </c>
      <c r="K536" s="248">
        <f t="shared" si="64"/>
        <v>0</v>
      </c>
      <c r="L536" s="247"/>
    </row>
    <row r="537" spans="1:12">
      <c r="A537" s="249">
        <v>474</v>
      </c>
      <c r="B537" s="248">
        <f t="shared" si="57"/>
        <v>0</v>
      </c>
      <c r="C537" s="248">
        <f t="shared" si="58"/>
        <v>0</v>
      </c>
      <c r="D537" s="248">
        <f t="shared" si="59"/>
        <v>0</v>
      </c>
      <c r="E537" s="248">
        <f t="shared" si="60"/>
        <v>0</v>
      </c>
      <c r="F537" s="247"/>
      <c r="G537" s="249">
        <v>474</v>
      </c>
      <c r="H537" s="248">
        <f t="shared" si="61"/>
        <v>0</v>
      </c>
      <c r="I537" s="248">
        <f t="shared" si="62"/>
        <v>0</v>
      </c>
      <c r="J537" s="248">
        <f t="shared" si="63"/>
        <v>0</v>
      </c>
      <c r="K537" s="248">
        <f t="shared" si="64"/>
        <v>0</v>
      </c>
      <c r="L537" s="247"/>
    </row>
    <row r="538" spans="1:12">
      <c r="A538" s="249">
        <v>475</v>
      </c>
      <c r="B538" s="248">
        <f t="shared" si="57"/>
        <v>0</v>
      </c>
      <c r="C538" s="248">
        <f t="shared" si="58"/>
        <v>0</v>
      </c>
      <c r="D538" s="248">
        <f t="shared" si="59"/>
        <v>0</v>
      </c>
      <c r="E538" s="248">
        <f t="shared" si="60"/>
        <v>0</v>
      </c>
      <c r="F538" s="247"/>
      <c r="G538" s="249">
        <v>475</v>
      </c>
      <c r="H538" s="248">
        <f t="shared" si="61"/>
        <v>0</v>
      </c>
      <c r="I538" s="248">
        <f t="shared" si="62"/>
        <v>0</v>
      </c>
      <c r="J538" s="248">
        <f t="shared" si="63"/>
        <v>0</v>
      </c>
      <c r="K538" s="248">
        <f t="shared" si="64"/>
        <v>0</v>
      </c>
      <c r="L538" s="247"/>
    </row>
    <row r="539" spans="1:12">
      <c r="A539" s="249">
        <v>476</v>
      </c>
      <c r="B539" s="248">
        <f t="shared" si="57"/>
        <v>0</v>
      </c>
      <c r="C539" s="248">
        <f t="shared" si="58"/>
        <v>0</v>
      </c>
      <c r="D539" s="248">
        <f t="shared" si="59"/>
        <v>0</v>
      </c>
      <c r="E539" s="248">
        <f t="shared" si="60"/>
        <v>0</v>
      </c>
      <c r="F539" s="247"/>
      <c r="G539" s="249">
        <v>476</v>
      </c>
      <c r="H539" s="248">
        <f t="shared" si="61"/>
        <v>0</v>
      </c>
      <c r="I539" s="248">
        <f t="shared" si="62"/>
        <v>0</v>
      </c>
      <c r="J539" s="248">
        <f t="shared" si="63"/>
        <v>0</v>
      </c>
      <c r="K539" s="248">
        <f t="shared" si="64"/>
        <v>0</v>
      </c>
      <c r="L539" s="247"/>
    </row>
    <row r="540" spans="1:12">
      <c r="A540" s="249">
        <v>477</v>
      </c>
      <c r="B540" s="248">
        <f t="shared" si="57"/>
        <v>0</v>
      </c>
      <c r="C540" s="248">
        <f t="shared" si="58"/>
        <v>0</v>
      </c>
      <c r="D540" s="248">
        <f t="shared" si="59"/>
        <v>0</v>
      </c>
      <c r="E540" s="248">
        <f t="shared" si="60"/>
        <v>0</v>
      </c>
      <c r="F540" s="247"/>
      <c r="G540" s="249">
        <v>477</v>
      </c>
      <c r="H540" s="248">
        <f t="shared" si="61"/>
        <v>0</v>
      </c>
      <c r="I540" s="248">
        <f t="shared" si="62"/>
        <v>0</v>
      </c>
      <c r="J540" s="248">
        <f t="shared" si="63"/>
        <v>0</v>
      </c>
      <c r="K540" s="248">
        <f t="shared" si="64"/>
        <v>0</v>
      </c>
      <c r="L540" s="247"/>
    </row>
    <row r="541" spans="1:12">
      <c r="A541" s="249">
        <v>478</v>
      </c>
      <c r="B541" s="248">
        <f t="shared" si="57"/>
        <v>0</v>
      </c>
      <c r="C541" s="248">
        <f t="shared" si="58"/>
        <v>0</v>
      </c>
      <c r="D541" s="248">
        <f t="shared" si="59"/>
        <v>0</v>
      </c>
      <c r="E541" s="248">
        <f t="shared" si="60"/>
        <v>0</v>
      </c>
      <c r="F541" s="247"/>
      <c r="G541" s="249">
        <v>478</v>
      </c>
      <c r="H541" s="248">
        <f t="shared" si="61"/>
        <v>0</v>
      </c>
      <c r="I541" s="248">
        <f t="shared" si="62"/>
        <v>0</v>
      </c>
      <c r="J541" s="248">
        <f t="shared" si="63"/>
        <v>0</v>
      </c>
      <c r="K541" s="248">
        <f t="shared" si="64"/>
        <v>0</v>
      </c>
      <c r="L541" s="247"/>
    </row>
    <row r="542" spans="1:12">
      <c r="A542" s="249">
        <v>479</v>
      </c>
      <c r="B542" s="248">
        <f t="shared" si="57"/>
        <v>0</v>
      </c>
      <c r="C542" s="248">
        <f t="shared" si="58"/>
        <v>0</v>
      </c>
      <c r="D542" s="248">
        <f t="shared" si="59"/>
        <v>0</v>
      </c>
      <c r="E542" s="248">
        <f t="shared" si="60"/>
        <v>0</v>
      </c>
      <c r="F542" s="247"/>
      <c r="G542" s="249">
        <v>479</v>
      </c>
      <c r="H542" s="248">
        <f t="shared" si="61"/>
        <v>0</v>
      </c>
      <c r="I542" s="248">
        <f t="shared" si="62"/>
        <v>0</v>
      </c>
      <c r="J542" s="248">
        <f t="shared" si="63"/>
        <v>0</v>
      </c>
      <c r="K542" s="248">
        <f t="shared" si="64"/>
        <v>0</v>
      </c>
      <c r="L542" s="247"/>
    </row>
    <row r="543" spans="1:12">
      <c r="A543" s="249">
        <v>480</v>
      </c>
      <c r="B543" s="248">
        <f t="shared" si="57"/>
        <v>0</v>
      </c>
      <c r="C543" s="248">
        <f t="shared" si="58"/>
        <v>0</v>
      </c>
      <c r="D543" s="248">
        <f t="shared" si="59"/>
        <v>0</v>
      </c>
      <c r="E543" s="248">
        <f t="shared" si="60"/>
        <v>0</v>
      </c>
      <c r="F543" s="247">
        <v>40</v>
      </c>
      <c r="G543" s="249">
        <v>480</v>
      </c>
      <c r="H543" s="248">
        <f t="shared" si="61"/>
        <v>0</v>
      </c>
      <c r="I543" s="248">
        <f t="shared" si="62"/>
        <v>0</v>
      </c>
      <c r="J543" s="248">
        <f t="shared" si="63"/>
        <v>0</v>
      </c>
      <c r="K543" s="248">
        <f t="shared" si="64"/>
        <v>0</v>
      </c>
      <c r="L543" s="247">
        <v>40</v>
      </c>
    </row>
    <row r="544" spans="1:12">
      <c r="A544" s="227"/>
      <c r="G544" s="242"/>
      <c r="H544" s="242"/>
      <c r="I544" s="242"/>
      <c r="J544" s="242"/>
      <c r="K544" s="242"/>
    </row>
    <row r="545" spans="1:11">
      <c r="A545" s="227"/>
      <c r="G545" s="242"/>
      <c r="H545" s="242"/>
      <c r="I545" s="242"/>
      <c r="J545" s="242"/>
      <c r="K545" s="242"/>
    </row>
    <row r="546" spans="1:11">
      <c r="A546" s="227"/>
      <c r="G546" s="242"/>
      <c r="H546" s="242"/>
      <c r="I546" s="242"/>
      <c r="J546" s="242"/>
      <c r="K546" s="242"/>
    </row>
    <row r="547" spans="1:11">
      <c r="A547" s="227"/>
      <c r="G547" s="242"/>
      <c r="H547" s="242"/>
      <c r="I547" s="242"/>
      <c r="J547" s="242"/>
      <c r="K547" s="242"/>
    </row>
    <row r="548" spans="1:11">
      <c r="A548" s="227"/>
      <c r="G548" s="242"/>
      <c r="H548" s="242"/>
      <c r="I548" s="242"/>
      <c r="J548" s="242"/>
      <c r="K548" s="242"/>
    </row>
    <row r="549" spans="1:11">
      <c r="A549" s="227"/>
      <c r="G549" s="242"/>
      <c r="H549" s="242"/>
      <c r="I549" s="242"/>
      <c r="J549" s="242"/>
      <c r="K549" s="242"/>
    </row>
    <row r="550" spans="1:11">
      <c r="A550" s="227"/>
      <c r="G550" s="242"/>
      <c r="H550" s="242"/>
      <c r="I550" s="242"/>
      <c r="J550" s="242"/>
      <c r="K550" s="242"/>
    </row>
    <row r="551" spans="1:11">
      <c r="G551" s="242"/>
      <c r="H551" s="242"/>
      <c r="I551" s="242"/>
      <c r="J551" s="242"/>
      <c r="K551" s="242"/>
    </row>
    <row r="552" spans="1:11">
      <c r="G552" s="242"/>
      <c r="H552" s="242"/>
      <c r="I552" s="242"/>
      <c r="J552" s="242"/>
      <c r="K552" s="242"/>
    </row>
    <row r="553" spans="1:11">
      <c r="G553" s="242"/>
      <c r="H553" s="242"/>
      <c r="I553" s="242"/>
      <c r="J553" s="242"/>
      <c r="K553" s="242"/>
    </row>
    <row r="554" spans="1:11">
      <c r="G554" s="242"/>
      <c r="H554" s="242"/>
      <c r="I554" s="242"/>
      <c r="J554" s="242"/>
      <c r="K554" s="242"/>
    </row>
    <row r="555" spans="1:11">
      <c r="G555" s="242"/>
      <c r="H555" s="242"/>
      <c r="I555" s="242"/>
      <c r="J555" s="242"/>
      <c r="K555" s="242"/>
    </row>
    <row r="556" spans="1:11">
      <c r="G556" s="242"/>
      <c r="H556" s="242"/>
      <c r="I556" s="242"/>
      <c r="J556" s="242"/>
      <c r="K556" s="242"/>
    </row>
    <row r="557" spans="1:11">
      <c r="G557" s="242"/>
      <c r="H557" s="242"/>
      <c r="I557" s="242"/>
      <c r="J557" s="242"/>
      <c r="K557" s="242"/>
    </row>
    <row r="558" spans="1:11">
      <c r="G558" s="242"/>
      <c r="H558" s="242"/>
      <c r="I558" s="242"/>
      <c r="J558" s="242"/>
      <c r="K558" s="242"/>
    </row>
    <row r="559" spans="1:11">
      <c r="G559" s="242"/>
      <c r="H559" s="242"/>
      <c r="I559" s="242"/>
      <c r="J559" s="242"/>
      <c r="K559" s="242"/>
    </row>
    <row r="560" spans="1:11">
      <c r="G560" s="242"/>
      <c r="H560" s="242"/>
      <c r="I560" s="242"/>
      <c r="J560" s="242"/>
      <c r="K560" s="242"/>
    </row>
    <row r="561" spans="7:11">
      <c r="G561" s="242"/>
      <c r="H561" s="242"/>
      <c r="I561" s="242"/>
      <c r="J561" s="242"/>
      <c r="K561" s="242"/>
    </row>
    <row r="562" spans="7:11">
      <c r="G562" s="242"/>
      <c r="H562" s="242"/>
      <c r="I562" s="242"/>
      <c r="J562" s="242"/>
      <c r="K562" s="242"/>
    </row>
    <row r="563" spans="7:11">
      <c r="G563" s="242"/>
      <c r="H563" s="242"/>
      <c r="I563" s="242"/>
      <c r="J563" s="242"/>
      <c r="K563" s="242"/>
    </row>
    <row r="564" spans="7:11">
      <c r="G564" s="242"/>
      <c r="H564" s="242"/>
      <c r="I564" s="242"/>
      <c r="J564" s="242"/>
      <c r="K564" s="242"/>
    </row>
    <row r="565" spans="7:11">
      <c r="G565" s="242"/>
      <c r="H565" s="242"/>
      <c r="I565" s="242"/>
      <c r="J565" s="242"/>
      <c r="K565" s="242"/>
    </row>
    <row r="566" spans="7:11">
      <c r="G566" s="242"/>
      <c r="H566" s="242"/>
      <c r="I566" s="242"/>
      <c r="J566" s="242"/>
      <c r="K566" s="242"/>
    </row>
    <row r="567" spans="7:11">
      <c r="G567" s="242"/>
      <c r="H567" s="242"/>
      <c r="I567" s="242"/>
      <c r="J567" s="242"/>
      <c r="K567" s="242"/>
    </row>
    <row r="568" spans="7:11">
      <c r="G568" s="242"/>
      <c r="H568" s="242"/>
      <c r="I568" s="242"/>
      <c r="J568" s="242"/>
      <c r="K568" s="242"/>
    </row>
    <row r="569" spans="7:11">
      <c r="G569" s="242"/>
      <c r="H569" s="242"/>
      <c r="I569" s="242"/>
      <c r="J569" s="242"/>
      <c r="K569" s="242"/>
    </row>
    <row r="570" spans="7:11">
      <c r="G570" s="242"/>
      <c r="H570" s="242"/>
      <c r="I570" s="242"/>
      <c r="J570" s="242"/>
      <c r="K570" s="242"/>
    </row>
    <row r="571" spans="7:11">
      <c r="G571" s="242"/>
      <c r="H571" s="242"/>
      <c r="I571" s="242"/>
      <c r="J571" s="242"/>
      <c r="K571" s="242"/>
    </row>
    <row r="572" spans="7:11">
      <c r="G572" s="242"/>
      <c r="H572" s="242"/>
      <c r="I572" s="242"/>
      <c r="J572" s="242"/>
      <c r="K572" s="242"/>
    </row>
    <row r="573" spans="7:11">
      <c r="G573" s="242"/>
      <c r="H573" s="242"/>
      <c r="I573" s="242"/>
      <c r="J573" s="242"/>
      <c r="K573" s="242"/>
    </row>
    <row r="574" spans="7:11">
      <c r="G574" s="242"/>
      <c r="H574" s="242"/>
      <c r="I574" s="242"/>
      <c r="J574" s="242"/>
      <c r="K574" s="242"/>
    </row>
    <row r="575" spans="7:11">
      <c r="G575" s="242"/>
      <c r="H575" s="242"/>
      <c r="I575" s="242"/>
      <c r="J575" s="242"/>
      <c r="K575" s="242"/>
    </row>
    <row r="576" spans="7:11">
      <c r="G576" s="242"/>
      <c r="H576" s="242"/>
      <c r="I576" s="242"/>
      <c r="J576" s="242"/>
      <c r="K576" s="242"/>
    </row>
    <row r="577" spans="7:11">
      <c r="G577" s="242"/>
      <c r="H577" s="242"/>
      <c r="I577" s="242"/>
      <c r="J577" s="242"/>
      <c r="K577" s="242"/>
    </row>
    <row r="578" spans="7:11">
      <c r="G578" s="242"/>
      <c r="H578" s="242"/>
      <c r="I578" s="242"/>
      <c r="J578" s="242"/>
      <c r="K578" s="242"/>
    </row>
    <row r="579" spans="7:11">
      <c r="G579" s="242"/>
      <c r="H579" s="242"/>
      <c r="I579" s="242"/>
      <c r="J579" s="242"/>
      <c r="K579" s="242"/>
    </row>
    <row r="580" spans="7:11">
      <c r="G580" s="242"/>
      <c r="H580" s="242"/>
      <c r="I580" s="242"/>
      <c r="J580" s="242"/>
      <c r="K580" s="242"/>
    </row>
    <row r="581" spans="7:11">
      <c r="G581" s="242"/>
      <c r="H581" s="242"/>
      <c r="I581" s="242"/>
      <c r="J581" s="242"/>
      <c r="K581" s="242"/>
    </row>
    <row r="582" spans="7:11">
      <c r="G582" s="242"/>
      <c r="H582" s="242"/>
      <c r="I582" s="242"/>
      <c r="J582" s="242"/>
      <c r="K582" s="242"/>
    </row>
    <row r="583" spans="7:11">
      <c r="G583" s="242"/>
      <c r="H583" s="242"/>
      <c r="I583" s="242"/>
      <c r="J583" s="242"/>
      <c r="K583" s="242"/>
    </row>
    <row r="584" spans="7:11">
      <c r="G584" s="242"/>
      <c r="H584" s="242"/>
      <c r="I584" s="242"/>
      <c r="J584" s="242"/>
      <c r="K584" s="242"/>
    </row>
    <row r="585" spans="7:11">
      <c r="G585" s="242"/>
      <c r="H585" s="242"/>
      <c r="I585" s="242"/>
      <c r="J585" s="242"/>
      <c r="K585" s="242"/>
    </row>
    <row r="586" spans="7:11">
      <c r="G586" s="242"/>
      <c r="H586" s="242"/>
      <c r="I586" s="242"/>
      <c r="J586" s="242"/>
      <c r="K586" s="242"/>
    </row>
    <row r="587" spans="7:11">
      <c r="G587" s="242"/>
      <c r="H587" s="242"/>
      <c r="I587" s="242"/>
      <c r="J587" s="242"/>
      <c r="K587" s="242"/>
    </row>
    <row r="588" spans="7:11">
      <c r="G588" s="242"/>
      <c r="H588" s="242"/>
      <c r="I588" s="242"/>
      <c r="J588" s="242"/>
      <c r="K588" s="242"/>
    </row>
    <row r="589" spans="7:11">
      <c r="G589" s="242"/>
      <c r="H589" s="242"/>
      <c r="I589" s="242"/>
      <c r="J589" s="242"/>
      <c r="K589" s="242"/>
    </row>
    <row r="590" spans="7:11">
      <c r="G590" s="242"/>
      <c r="H590" s="242"/>
      <c r="I590" s="242"/>
      <c r="J590" s="242"/>
      <c r="K590" s="242"/>
    </row>
    <row r="591" spans="7:11">
      <c r="G591" s="242"/>
      <c r="H591" s="242"/>
      <c r="I591" s="242"/>
      <c r="J591" s="242"/>
      <c r="K591" s="242"/>
    </row>
    <row r="592" spans="7:11">
      <c r="G592" s="242"/>
      <c r="H592" s="242"/>
      <c r="I592" s="242"/>
      <c r="J592" s="242"/>
      <c r="K592" s="242"/>
    </row>
    <row r="593" spans="7:11">
      <c r="G593" s="242"/>
      <c r="H593" s="242"/>
      <c r="I593" s="242"/>
      <c r="J593" s="242"/>
      <c r="K593" s="242"/>
    </row>
    <row r="594" spans="7:11">
      <c r="G594" s="242"/>
      <c r="H594" s="242"/>
      <c r="I594" s="242"/>
      <c r="J594" s="242"/>
      <c r="K594" s="242"/>
    </row>
    <row r="595" spans="7:11">
      <c r="G595" s="242"/>
      <c r="H595" s="242"/>
      <c r="I595" s="242"/>
      <c r="J595" s="242"/>
      <c r="K595" s="242"/>
    </row>
    <row r="596" spans="7:11">
      <c r="G596" s="242"/>
      <c r="H596" s="242"/>
      <c r="I596" s="242"/>
      <c r="J596" s="242"/>
      <c r="K596" s="242"/>
    </row>
    <row r="597" spans="7:11">
      <c r="G597" s="242"/>
      <c r="H597" s="242"/>
      <c r="I597" s="242"/>
      <c r="J597" s="242"/>
      <c r="K597" s="242"/>
    </row>
    <row r="598" spans="7:11">
      <c r="G598" s="242"/>
      <c r="H598" s="242"/>
      <c r="I598" s="242"/>
      <c r="J598" s="242"/>
      <c r="K598" s="242"/>
    </row>
    <row r="599" spans="7:11">
      <c r="G599" s="242"/>
      <c r="H599" s="242"/>
      <c r="I599" s="242"/>
      <c r="J599" s="242"/>
      <c r="K599" s="242"/>
    </row>
    <row r="600" spans="7:11">
      <c r="G600" s="242"/>
      <c r="H600" s="242"/>
      <c r="I600" s="242"/>
      <c r="J600" s="242"/>
      <c r="K600" s="242"/>
    </row>
    <row r="601" spans="7:11">
      <c r="G601" s="242"/>
      <c r="H601" s="242"/>
      <c r="I601" s="242"/>
      <c r="J601" s="242"/>
      <c r="K601" s="242"/>
    </row>
    <row r="602" spans="7:11">
      <c r="G602" s="242"/>
      <c r="H602" s="242"/>
      <c r="I602" s="242"/>
      <c r="J602" s="242"/>
      <c r="K602" s="242"/>
    </row>
    <row r="603" spans="7:11">
      <c r="G603" s="242"/>
      <c r="H603" s="242"/>
      <c r="I603" s="242"/>
      <c r="J603" s="242"/>
      <c r="K603" s="242"/>
    </row>
    <row r="604" spans="7:11">
      <c r="G604" s="242"/>
      <c r="H604" s="242"/>
      <c r="I604" s="242"/>
      <c r="J604" s="242"/>
      <c r="K604" s="242"/>
    </row>
    <row r="605" spans="7:11">
      <c r="G605" s="242"/>
      <c r="H605" s="242"/>
      <c r="I605" s="242"/>
      <c r="J605" s="242"/>
      <c r="K605" s="242"/>
    </row>
    <row r="606" spans="7:11">
      <c r="G606" s="242"/>
      <c r="H606" s="242"/>
      <c r="I606" s="242"/>
      <c r="J606" s="242"/>
      <c r="K606" s="242"/>
    </row>
    <row r="607" spans="7:11">
      <c r="G607" s="242"/>
      <c r="H607" s="242"/>
      <c r="I607" s="242"/>
      <c r="J607" s="242"/>
      <c r="K607" s="242"/>
    </row>
    <row r="608" spans="7:11">
      <c r="G608" s="242"/>
      <c r="H608" s="242"/>
      <c r="I608" s="242"/>
      <c r="J608" s="242"/>
      <c r="K608" s="242"/>
    </row>
    <row r="609" spans="7:11">
      <c r="G609" s="242"/>
      <c r="H609" s="242"/>
      <c r="I609" s="242"/>
      <c r="J609" s="242"/>
      <c r="K609" s="242"/>
    </row>
    <row r="610" spans="7:11">
      <c r="G610" s="242"/>
      <c r="H610" s="242"/>
      <c r="I610" s="242"/>
      <c r="J610" s="242"/>
      <c r="K610" s="242"/>
    </row>
    <row r="611" spans="7:11">
      <c r="G611" s="242"/>
      <c r="H611" s="242"/>
      <c r="I611" s="242"/>
      <c r="J611" s="242"/>
      <c r="K611" s="242"/>
    </row>
    <row r="612" spans="7:11">
      <c r="G612" s="242"/>
      <c r="H612" s="242"/>
      <c r="I612" s="242"/>
      <c r="J612" s="242"/>
      <c r="K612" s="242"/>
    </row>
    <row r="613" spans="7:11">
      <c r="G613" s="242"/>
      <c r="H613" s="242"/>
      <c r="I613" s="242"/>
      <c r="J613" s="242"/>
      <c r="K613" s="242"/>
    </row>
    <row r="614" spans="7:11">
      <c r="G614" s="242"/>
      <c r="H614" s="242"/>
      <c r="I614" s="242"/>
      <c r="J614" s="242"/>
      <c r="K614" s="242"/>
    </row>
    <row r="615" spans="7:11">
      <c r="G615" s="242"/>
      <c r="H615" s="242"/>
      <c r="I615" s="242"/>
      <c r="J615" s="242"/>
      <c r="K615" s="242"/>
    </row>
    <row r="616" spans="7:11">
      <c r="G616" s="242"/>
      <c r="H616" s="242"/>
      <c r="I616" s="242"/>
      <c r="J616" s="242"/>
      <c r="K616" s="242"/>
    </row>
    <row r="617" spans="7:11">
      <c r="G617" s="242"/>
      <c r="H617" s="242"/>
      <c r="I617" s="242"/>
      <c r="J617" s="242"/>
      <c r="K617" s="242"/>
    </row>
    <row r="618" spans="7:11">
      <c r="G618" s="242"/>
      <c r="H618" s="242"/>
      <c r="I618" s="242"/>
      <c r="J618" s="242"/>
      <c r="K618" s="242"/>
    </row>
    <row r="619" spans="7:11">
      <c r="G619" s="242"/>
      <c r="H619" s="242"/>
      <c r="I619" s="242"/>
      <c r="J619" s="242"/>
      <c r="K619" s="242"/>
    </row>
    <row r="620" spans="7:11">
      <c r="G620" s="242"/>
      <c r="H620" s="242"/>
      <c r="I620" s="242"/>
      <c r="J620" s="242"/>
      <c r="K620" s="242"/>
    </row>
    <row r="621" spans="7:11">
      <c r="G621" s="242"/>
      <c r="H621" s="242"/>
      <c r="I621" s="242"/>
      <c r="J621" s="242"/>
      <c r="K621" s="242"/>
    </row>
    <row r="622" spans="7:11">
      <c r="G622" s="242"/>
      <c r="H622" s="242"/>
      <c r="I622" s="242"/>
      <c r="J622" s="242"/>
      <c r="K622" s="242"/>
    </row>
    <row r="623" spans="7:11">
      <c r="G623" s="242"/>
      <c r="H623" s="242"/>
      <c r="I623" s="242"/>
      <c r="J623" s="242"/>
      <c r="K623" s="242"/>
    </row>
    <row r="624" spans="7:11">
      <c r="G624" s="242"/>
      <c r="H624" s="242"/>
      <c r="I624" s="242"/>
      <c r="J624" s="242"/>
      <c r="K624" s="242"/>
    </row>
    <row r="625" spans="7:11">
      <c r="G625" s="242"/>
      <c r="H625" s="242"/>
      <c r="I625" s="242"/>
      <c r="J625" s="242"/>
      <c r="K625" s="242"/>
    </row>
    <row r="626" spans="7:11">
      <c r="G626" s="242"/>
      <c r="H626" s="242"/>
      <c r="I626" s="242"/>
      <c r="J626" s="242"/>
      <c r="K626" s="242"/>
    </row>
    <row r="627" spans="7:11">
      <c r="G627" s="242"/>
      <c r="H627" s="242"/>
      <c r="I627" s="242"/>
      <c r="J627" s="242"/>
      <c r="K627" s="242"/>
    </row>
    <row r="628" spans="7:11">
      <c r="G628" s="242"/>
      <c r="H628" s="242"/>
      <c r="I628" s="242"/>
      <c r="J628" s="242"/>
      <c r="K628" s="242"/>
    </row>
    <row r="629" spans="7:11">
      <c r="G629" s="242"/>
      <c r="H629" s="242"/>
      <c r="I629" s="242"/>
      <c r="J629" s="242"/>
      <c r="K629" s="242"/>
    </row>
    <row r="630" spans="7:11">
      <c r="G630" s="242"/>
      <c r="H630" s="242"/>
      <c r="I630" s="242"/>
      <c r="J630" s="242"/>
      <c r="K630" s="242"/>
    </row>
    <row r="631" spans="7:11">
      <c r="G631" s="242"/>
      <c r="H631" s="242"/>
      <c r="I631" s="242"/>
      <c r="J631" s="242"/>
      <c r="K631" s="242"/>
    </row>
    <row r="632" spans="7:11">
      <c r="G632" s="242"/>
      <c r="H632" s="242"/>
      <c r="I632" s="242"/>
      <c r="J632" s="242"/>
      <c r="K632" s="242"/>
    </row>
    <row r="633" spans="7:11">
      <c r="G633" s="242"/>
      <c r="H633" s="242"/>
      <c r="I633" s="242"/>
      <c r="J633" s="242"/>
      <c r="K633" s="242"/>
    </row>
    <row r="634" spans="7:11">
      <c r="G634" s="242"/>
      <c r="H634" s="242"/>
      <c r="I634" s="242"/>
      <c r="J634" s="242"/>
      <c r="K634" s="242"/>
    </row>
    <row r="635" spans="7:11">
      <c r="G635" s="242"/>
      <c r="H635" s="242"/>
      <c r="I635" s="242"/>
      <c r="J635" s="242"/>
      <c r="K635" s="242"/>
    </row>
    <row r="636" spans="7:11">
      <c r="G636" s="242"/>
      <c r="H636" s="242"/>
      <c r="I636" s="242"/>
      <c r="J636" s="242"/>
      <c r="K636" s="242"/>
    </row>
    <row r="637" spans="7:11">
      <c r="G637" s="242"/>
      <c r="H637" s="242"/>
      <c r="I637" s="242"/>
      <c r="J637" s="242"/>
      <c r="K637" s="242"/>
    </row>
    <row r="638" spans="7:11">
      <c r="G638" s="242"/>
      <c r="H638" s="242"/>
      <c r="I638" s="242"/>
      <c r="J638" s="242"/>
      <c r="K638" s="242"/>
    </row>
    <row r="639" spans="7:11">
      <c r="G639" s="242"/>
      <c r="H639" s="242"/>
      <c r="I639" s="242"/>
      <c r="J639" s="242"/>
      <c r="K639" s="242"/>
    </row>
    <row r="640" spans="7:11">
      <c r="G640" s="242"/>
      <c r="H640" s="242"/>
      <c r="I640" s="242"/>
      <c r="J640" s="242"/>
      <c r="K640" s="242"/>
    </row>
    <row r="641" spans="7:11">
      <c r="G641" s="242"/>
      <c r="H641" s="242"/>
      <c r="I641" s="242"/>
      <c r="J641" s="242"/>
      <c r="K641" s="242"/>
    </row>
    <row r="642" spans="7:11">
      <c r="G642" s="242"/>
      <c r="H642" s="242"/>
      <c r="I642" s="242"/>
      <c r="J642" s="242"/>
      <c r="K642" s="242"/>
    </row>
    <row r="643" spans="7:11">
      <c r="G643" s="242"/>
      <c r="H643" s="242"/>
      <c r="I643" s="242"/>
      <c r="J643" s="242"/>
      <c r="K643" s="242"/>
    </row>
    <row r="644" spans="7:11">
      <c r="G644" s="242"/>
      <c r="H644" s="242"/>
      <c r="I644" s="242"/>
      <c r="J644" s="242"/>
      <c r="K644" s="242"/>
    </row>
    <row r="645" spans="7:11">
      <c r="G645" s="242"/>
      <c r="H645" s="242"/>
      <c r="I645" s="242"/>
      <c r="J645" s="242"/>
      <c r="K645" s="242"/>
    </row>
    <row r="646" spans="7:11">
      <c r="G646" s="242"/>
      <c r="H646" s="242"/>
      <c r="I646" s="242"/>
      <c r="J646" s="242"/>
      <c r="K646" s="242"/>
    </row>
    <row r="647" spans="7:11">
      <c r="G647" s="242"/>
      <c r="H647" s="242"/>
      <c r="I647" s="242"/>
      <c r="J647" s="242"/>
      <c r="K647" s="242"/>
    </row>
    <row r="648" spans="7:11">
      <c r="G648" s="242"/>
      <c r="H648" s="242"/>
      <c r="I648" s="242"/>
      <c r="J648" s="242"/>
      <c r="K648" s="242"/>
    </row>
    <row r="649" spans="7:11">
      <c r="G649" s="242"/>
      <c r="H649" s="242"/>
      <c r="I649" s="242"/>
      <c r="J649" s="242"/>
      <c r="K649" s="242"/>
    </row>
    <row r="650" spans="7:11">
      <c r="G650" s="242"/>
      <c r="H650" s="242"/>
      <c r="I650" s="242"/>
      <c r="J650" s="242"/>
      <c r="K650" s="242"/>
    </row>
    <row r="651" spans="7:11">
      <c r="G651" s="242"/>
      <c r="H651" s="242"/>
      <c r="I651" s="242"/>
      <c r="J651" s="242"/>
      <c r="K651" s="242"/>
    </row>
    <row r="652" spans="7:11">
      <c r="G652" s="242"/>
      <c r="H652" s="242"/>
      <c r="I652" s="242"/>
      <c r="J652" s="242"/>
      <c r="K652" s="242"/>
    </row>
    <row r="653" spans="7:11">
      <c r="G653" s="242"/>
      <c r="H653" s="242"/>
      <c r="I653" s="242"/>
      <c r="J653" s="242"/>
      <c r="K653" s="242"/>
    </row>
    <row r="654" spans="7:11">
      <c r="G654" s="242"/>
      <c r="H654" s="242"/>
      <c r="I654" s="242"/>
      <c r="J654" s="242"/>
      <c r="K654" s="242"/>
    </row>
    <row r="655" spans="7:11">
      <c r="G655" s="242"/>
      <c r="H655" s="242"/>
      <c r="I655" s="242"/>
      <c r="J655" s="242"/>
      <c r="K655" s="242"/>
    </row>
    <row r="656" spans="7:11">
      <c r="G656" s="242"/>
      <c r="H656" s="242"/>
      <c r="I656" s="242"/>
      <c r="J656" s="242"/>
      <c r="K656" s="242"/>
    </row>
    <row r="657" spans="7:11">
      <c r="G657" s="242"/>
      <c r="H657" s="242"/>
      <c r="I657" s="242"/>
      <c r="J657" s="242"/>
      <c r="K657" s="242"/>
    </row>
    <row r="658" spans="7:11">
      <c r="G658" s="242"/>
      <c r="H658" s="242"/>
      <c r="I658" s="242"/>
      <c r="J658" s="242"/>
      <c r="K658" s="242"/>
    </row>
    <row r="659" spans="7:11">
      <c r="G659" s="242"/>
      <c r="H659" s="242"/>
      <c r="I659" s="242"/>
      <c r="J659" s="242"/>
      <c r="K659" s="242"/>
    </row>
    <row r="660" spans="7:11">
      <c r="G660" s="242"/>
      <c r="H660" s="242"/>
      <c r="I660" s="242"/>
      <c r="J660" s="242"/>
      <c r="K660" s="242"/>
    </row>
    <row r="661" spans="7:11">
      <c r="G661" s="242"/>
      <c r="H661" s="242"/>
      <c r="I661" s="242"/>
      <c r="J661" s="242"/>
      <c r="K661" s="242"/>
    </row>
    <row r="662" spans="7:11">
      <c r="G662" s="242"/>
      <c r="H662" s="242"/>
      <c r="I662" s="242"/>
      <c r="J662" s="242"/>
      <c r="K662" s="242"/>
    </row>
    <row r="663" spans="7:11">
      <c r="G663" s="242"/>
      <c r="H663" s="242"/>
      <c r="I663" s="242"/>
      <c r="J663" s="242"/>
      <c r="K663" s="242"/>
    </row>
    <row r="664" spans="7:11">
      <c r="G664" s="242"/>
      <c r="H664" s="242"/>
      <c r="I664" s="242"/>
      <c r="J664" s="242"/>
      <c r="K664" s="242"/>
    </row>
    <row r="665" spans="7:11">
      <c r="G665" s="242"/>
      <c r="H665" s="242"/>
      <c r="I665" s="242"/>
      <c r="J665" s="242"/>
      <c r="K665" s="242"/>
    </row>
    <row r="666" spans="7:11">
      <c r="G666" s="242"/>
      <c r="H666" s="242"/>
      <c r="I666" s="242"/>
      <c r="J666" s="242"/>
      <c r="K666" s="242"/>
    </row>
    <row r="667" spans="7:11">
      <c r="G667" s="242"/>
      <c r="H667" s="242"/>
      <c r="I667" s="242"/>
      <c r="J667" s="242"/>
      <c r="K667" s="242"/>
    </row>
    <row r="668" spans="7:11">
      <c r="G668" s="242"/>
      <c r="H668" s="242"/>
      <c r="I668" s="242"/>
      <c r="J668" s="242"/>
      <c r="K668" s="242"/>
    </row>
    <row r="669" spans="7:11">
      <c r="G669" s="242"/>
      <c r="H669" s="242"/>
      <c r="I669" s="242"/>
      <c r="J669" s="242"/>
      <c r="K669" s="242"/>
    </row>
    <row r="670" spans="7:11">
      <c r="G670" s="242"/>
      <c r="H670" s="242"/>
      <c r="I670" s="242"/>
      <c r="J670" s="242"/>
      <c r="K670" s="242"/>
    </row>
    <row r="671" spans="7:11">
      <c r="G671" s="242"/>
      <c r="H671" s="242"/>
      <c r="I671" s="242"/>
      <c r="J671" s="242"/>
      <c r="K671" s="242"/>
    </row>
    <row r="672" spans="7:11">
      <c r="G672" s="242"/>
      <c r="H672" s="242"/>
      <c r="I672" s="242"/>
      <c r="J672" s="242"/>
      <c r="K672" s="242"/>
    </row>
    <row r="673" spans="7:11">
      <c r="G673" s="242"/>
      <c r="H673" s="242"/>
      <c r="I673" s="242"/>
      <c r="J673" s="242"/>
      <c r="K673" s="242"/>
    </row>
    <row r="674" spans="7:11">
      <c r="G674" s="242"/>
      <c r="H674" s="242"/>
      <c r="I674" s="242"/>
      <c r="J674" s="242"/>
      <c r="K674" s="242"/>
    </row>
    <row r="675" spans="7:11">
      <c r="G675" s="242"/>
      <c r="H675" s="242"/>
      <c r="I675" s="242"/>
      <c r="J675" s="242"/>
      <c r="K675" s="242"/>
    </row>
    <row r="676" spans="7:11">
      <c r="G676" s="242"/>
      <c r="H676" s="242"/>
      <c r="I676" s="242"/>
      <c r="J676" s="242"/>
      <c r="K676" s="242"/>
    </row>
    <row r="677" spans="7:11">
      <c r="G677" s="242"/>
      <c r="H677" s="242"/>
      <c r="I677" s="242"/>
      <c r="J677" s="242"/>
      <c r="K677" s="242"/>
    </row>
    <row r="678" spans="7:11">
      <c r="G678" s="242"/>
      <c r="H678" s="242"/>
      <c r="I678" s="242"/>
      <c r="J678" s="242"/>
      <c r="K678" s="242"/>
    </row>
    <row r="679" spans="7:11">
      <c r="G679" s="242"/>
      <c r="H679" s="242"/>
      <c r="I679" s="242"/>
      <c r="J679" s="242"/>
      <c r="K679" s="242"/>
    </row>
    <row r="680" spans="7:11">
      <c r="G680" s="242"/>
      <c r="H680" s="242"/>
      <c r="I680" s="242"/>
      <c r="J680" s="242"/>
      <c r="K680" s="242"/>
    </row>
    <row r="681" spans="7:11">
      <c r="G681" s="242"/>
      <c r="H681" s="242"/>
      <c r="I681" s="242"/>
      <c r="J681" s="242"/>
      <c r="K681" s="242"/>
    </row>
    <row r="682" spans="7:11">
      <c r="G682" s="242"/>
      <c r="H682" s="242"/>
      <c r="I682" s="242"/>
      <c r="J682" s="242"/>
      <c r="K682" s="242"/>
    </row>
    <row r="683" spans="7:11">
      <c r="G683" s="242"/>
      <c r="H683" s="242"/>
      <c r="I683" s="242"/>
      <c r="J683" s="242"/>
      <c r="K683" s="242"/>
    </row>
    <row r="684" spans="7:11">
      <c r="G684" s="242"/>
      <c r="H684" s="242"/>
      <c r="I684" s="242"/>
      <c r="J684" s="242"/>
      <c r="K684" s="242"/>
    </row>
    <row r="685" spans="7:11">
      <c r="G685" s="242"/>
      <c r="H685" s="242"/>
      <c r="I685" s="242"/>
      <c r="J685" s="242"/>
      <c r="K685" s="242"/>
    </row>
    <row r="686" spans="7:11">
      <c r="G686" s="242"/>
      <c r="H686" s="242"/>
      <c r="I686" s="242"/>
      <c r="J686" s="242"/>
      <c r="K686" s="242"/>
    </row>
    <row r="687" spans="7:11">
      <c r="G687" s="242"/>
      <c r="H687" s="242"/>
      <c r="I687" s="242"/>
      <c r="J687" s="242"/>
      <c r="K687" s="242"/>
    </row>
    <row r="688" spans="7:11">
      <c r="G688" s="242"/>
      <c r="H688" s="242"/>
      <c r="I688" s="242"/>
      <c r="J688" s="242"/>
      <c r="K688" s="242"/>
    </row>
    <row r="689" spans="7:11">
      <c r="G689" s="242"/>
      <c r="H689" s="242"/>
      <c r="I689" s="242"/>
      <c r="J689" s="242"/>
      <c r="K689" s="242"/>
    </row>
    <row r="690" spans="7:11">
      <c r="G690" s="242"/>
      <c r="H690" s="242"/>
      <c r="I690" s="242"/>
      <c r="J690" s="242"/>
      <c r="K690" s="242"/>
    </row>
    <row r="691" spans="7:11">
      <c r="G691" s="242"/>
      <c r="H691" s="242"/>
      <c r="I691" s="242"/>
      <c r="J691" s="242"/>
      <c r="K691" s="242"/>
    </row>
    <row r="692" spans="7:11">
      <c r="G692" s="242"/>
      <c r="H692" s="242"/>
      <c r="I692" s="242"/>
      <c r="J692" s="242"/>
      <c r="K692" s="242"/>
    </row>
    <row r="693" spans="7:11">
      <c r="G693" s="242"/>
      <c r="H693" s="242"/>
      <c r="I693" s="242"/>
      <c r="J693" s="242"/>
      <c r="K693" s="242"/>
    </row>
    <row r="694" spans="7:11">
      <c r="G694" s="242"/>
      <c r="H694" s="242"/>
      <c r="I694" s="242"/>
      <c r="J694" s="242"/>
      <c r="K694" s="242"/>
    </row>
    <row r="695" spans="7:11">
      <c r="G695" s="242"/>
      <c r="H695" s="242"/>
      <c r="I695" s="242"/>
      <c r="J695" s="242"/>
      <c r="K695" s="242"/>
    </row>
    <row r="696" spans="7:11">
      <c r="G696" s="242"/>
      <c r="H696" s="242"/>
      <c r="I696" s="242"/>
      <c r="J696" s="242"/>
      <c r="K696" s="242"/>
    </row>
    <row r="697" spans="7:11">
      <c r="G697" s="242"/>
      <c r="H697" s="242"/>
      <c r="I697" s="242"/>
      <c r="J697" s="242"/>
      <c r="K697" s="242"/>
    </row>
    <row r="698" spans="7:11">
      <c r="G698" s="242"/>
      <c r="H698" s="242"/>
      <c r="I698" s="242"/>
      <c r="J698" s="242"/>
      <c r="K698" s="242"/>
    </row>
    <row r="699" spans="7:11">
      <c r="G699" s="242"/>
      <c r="H699" s="242"/>
      <c r="I699" s="242"/>
      <c r="J699" s="242"/>
      <c r="K699" s="242"/>
    </row>
    <row r="700" spans="7:11">
      <c r="G700" s="242"/>
      <c r="H700" s="242"/>
      <c r="I700" s="242"/>
      <c r="J700" s="242"/>
      <c r="K700" s="242"/>
    </row>
    <row r="701" spans="7:11">
      <c r="G701" s="242"/>
      <c r="H701" s="242"/>
      <c r="I701" s="242"/>
      <c r="J701" s="242"/>
      <c r="K701" s="242"/>
    </row>
    <row r="702" spans="7:11">
      <c r="G702" s="242"/>
      <c r="H702" s="242"/>
      <c r="I702" s="242"/>
      <c r="J702" s="242"/>
      <c r="K702" s="242"/>
    </row>
    <row r="703" spans="7:11">
      <c r="G703" s="242"/>
      <c r="H703" s="242"/>
      <c r="I703" s="242"/>
      <c r="J703" s="242"/>
      <c r="K703" s="242"/>
    </row>
    <row r="704" spans="7:11">
      <c r="G704" s="242"/>
      <c r="H704" s="242"/>
      <c r="I704" s="242"/>
      <c r="J704" s="242"/>
      <c r="K704" s="242"/>
    </row>
    <row r="705" spans="7:11">
      <c r="G705" s="242"/>
      <c r="H705" s="242"/>
      <c r="I705" s="242"/>
      <c r="J705" s="242"/>
      <c r="K705" s="242"/>
    </row>
    <row r="706" spans="7:11">
      <c r="G706" s="242"/>
      <c r="H706" s="242"/>
      <c r="I706" s="242"/>
      <c r="J706" s="242"/>
      <c r="K706" s="242"/>
    </row>
    <row r="707" spans="7:11">
      <c r="G707" s="242"/>
      <c r="H707" s="242"/>
      <c r="I707" s="242"/>
      <c r="J707" s="242"/>
      <c r="K707" s="242"/>
    </row>
    <row r="708" spans="7:11">
      <c r="G708" s="242"/>
      <c r="H708" s="242"/>
      <c r="I708" s="242"/>
      <c r="J708" s="242"/>
      <c r="K708" s="242"/>
    </row>
    <row r="709" spans="7:11">
      <c r="G709" s="242"/>
      <c r="H709" s="242"/>
      <c r="I709" s="242"/>
      <c r="J709" s="242"/>
      <c r="K709" s="242"/>
    </row>
    <row r="710" spans="7:11">
      <c r="G710" s="242"/>
      <c r="H710" s="242"/>
      <c r="I710" s="242"/>
      <c r="J710" s="242"/>
      <c r="K710" s="242"/>
    </row>
    <row r="711" spans="7:11">
      <c r="G711" s="242"/>
      <c r="H711" s="242"/>
      <c r="I711" s="242"/>
      <c r="J711" s="242"/>
      <c r="K711" s="242"/>
    </row>
    <row r="712" spans="7:11">
      <c r="G712" s="242"/>
      <c r="H712" s="242"/>
      <c r="I712" s="242"/>
      <c r="J712" s="242"/>
      <c r="K712" s="242"/>
    </row>
    <row r="713" spans="7:11">
      <c r="G713" s="242"/>
      <c r="H713" s="242"/>
      <c r="I713" s="242"/>
      <c r="J713" s="242"/>
      <c r="K713" s="242"/>
    </row>
    <row r="714" spans="7:11">
      <c r="G714" s="242"/>
      <c r="H714" s="242"/>
      <c r="I714" s="242"/>
      <c r="J714" s="242"/>
      <c r="K714" s="242"/>
    </row>
    <row r="715" spans="7:11">
      <c r="G715" s="242"/>
      <c r="H715" s="242"/>
      <c r="I715" s="242"/>
      <c r="J715" s="242"/>
      <c r="K715" s="242"/>
    </row>
    <row r="716" spans="7:11">
      <c r="G716" s="242"/>
      <c r="H716" s="242"/>
      <c r="I716" s="242"/>
      <c r="J716" s="242"/>
      <c r="K716" s="242"/>
    </row>
    <row r="717" spans="7:11">
      <c r="G717" s="242"/>
      <c r="H717" s="242"/>
      <c r="I717" s="242"/>
      <c r="J717" s="242"/>
      <c r="K717" s="242"/>
    </row>
    <row r="718" spans="7:11">
      <c r="G718" s="242"/>
      <c r="H718" s="242"/>
      <c r="I718" s="242"/>
      <c r="J718" s="242"/>
      <c r="K718" s="242"/>
    </row>
    <row r="719" spans="7:11">
      <c r="G719" s="242"/>
      <c r="H719" s="242"/>
      <c r="I719" s="242"/>
      <c r="J719" s="242"/>
      <c r="K719" s="242"/>
    </row>
    <row r="720" spans="7:11">
      <c r="G720" s="242"/>
      <c r="H720" s="242"/>
      <c r="I720" s="242"/>
      <c r="J720" s="242"/>
      <c r="K720" s="242"/>
    </row>
    <row r="721" spans="7:11">
      <c r="G721" s="242"/>
      <c r="H721" s="242"/>
      <c r="I721" s="242"/>
      <c r="J721" s="242"/>
      <c r="K721" s="242"/>
    </row>
    <row r="722" spans="7:11">
      <c r="G722" s="242"/>
      <c r="H722" s="242"/>
      <c r="I722" s="242"/>
      <c r="J722" s="242"/>
      <c r="K722" s="242"/>
    </row>
    <row r="723" spans="7:11">
      <c r="G723" s="242"/>
      <c r="H723" s="242"/>
      <c r="I723" s="242"/>
      <c r="J723" s="242"/>
      <c r="K723" s="242"/>
    </row>
    <row r="724" spans="7:11">
      <c r="G724" s="242"/>
      <c r="H724" s="242"/>
      <c r="I724" s="242"/>
      <c r="J724" s="242"/>
      <c r="K724" s="242"/>
    </row>
    <row r="725" spans="7:11">
      <c r="G725" s="242"/>
      <c r="H725" s="242"/>
      <c r="I725" s="242"/>
      <c r="J725" s="242"/>
      <c r="K725" s="242"/>
    </row>
    <row r="726" spans="7:11">
      <c r="G726" s="242"/>
      <c r="H726" s="242"/>
      <c r="I726" s="242"/>
      <c r="J726" s="242"/>
      <c r="K726" s="242"/>
    </row>
    <row r="727" spans="7:11">
      <c r="G727" s="242"/>
      <c r="H727" s="242"/>
      <c r="I727" s="242"/>
      <c r="J727" s="242"/>
      <c r="K727" s="242"/>
    </row>
    <row r="728" spans="7:11">
      <c r="G728" s="242"/>
      <c r="H728" s="242"/>
      <c r="I728" s="242"/>
      <c r="J728" s="242"/>
      <c r="K728" s="242"/>
    </row>
    <row r="729" spans="7:11">
      <c r="G729" s="242"/>
      <c r="H729" s="242"/>
      <c r="I729" s="242"/>
      <c r="J729" s="242"/>
      <c r="K729" s="242"/>
    </row>
    <row r="730" spans="7:11">
      <c r="G730" s="242"/>
      <c r="H730" s="242"/>
      <c r="I730" s="242"/>
      <c r="J730" s="242"/>
      <c r="K730" s="242"/>
    </row>
    <row r="731" spans="7:11">
      <c r="G731" s="242"/>
      <c r="H731" s="242"/>
      <c r="I731" s="242"/>
      <c r="J731" s="242"/>
      <c r="K731" s="242"/>
    </row>
    <row r="732" spans="7:11">
      <c r="G732" s="242"/>
      <c r="H732" s="242"/>
      <c r="I732" s="242"/>
      <c r="J732" s="242"/>
      <c r="K732" s="242"/>
    </row>
    <row r="733" spans="7:11">
      <c r="G733" s="242"/>
      <c r="H733" s="242"/>
      <c r="I733" s="242"/>
      <c r="J733" s="242"/>
      <c r="K733" s="242"/>
    </row>
    <row r="734" spans="7:11">
      <c r="G734" s="242"/>
      <c r="H734" s="242"/>
      <c r="I734" s="242"/>
      <c r="J734" s="242"/>
      <c r="K734" s="242"/>
    </row>
    <row r="735" spans="7:11">
      <c r="G735" s="242"/>
      <c r="H735" s="242"/>
      <c r="I735" s="242"/>
      <c r="J735" s="242"/>
      <c r="K735" s="242"/>
    </row>
    <row r="736" spans="7:11">
      <c r="G736" s="242"/>
      <c r="H736" s="242"/>
      <c r="I736" s="242"/>
      <c r="J736" s="242"/>
      <c r="K736" s="242"/>
    </row>
    <row r="737" spans="7:11">
      <c r="G737" s="242"/>
      <c r="H737" s="242"/>
      <c r="I737" s="242"/>
      <c r="J737" s="242"/>
      <c r="K737" s="242"/>
    </row>
    <row r="738" spans="7:11">
      <c r="G738" s="242"/>
      <c r="H738" s="242"/>
      <c r="I738" s="242"/>
      <c r="J738" s="242"/>
      <c r="K738" s="242"/>
    </row>
    <row r="739" spans="7:11">
      <c r="G739" s="242"/>
      <c r="H739" s="242"/>
      <c r="I739" s="242"/>
      <c r="J739" s="242"/>
      <c r="K739" s="242"/>
    </row>
    <row r="740" spans="7:11">
      <c r="G740" s="242"/>
      <c r="H740" s="242"/>
      <c r="I740" s="242"/>
      <c r="J740" s="242"/>
      <c r="K740" s="242"/>
    </row>
    <row r="741" spans="7:11">
      <c r="G741" s="242"/>
      <c r="H741" s="242"/>
      <c r="I741" s="242"/>
      <c r="J741" s="242"/>
      <c r="K741" s="242"/>
    </row>
    <row r="742" spans="7:11">
      <c r="G742" s="242"/>
      <c r="H742" s="242"/>
      <c r="I742" s="242"/>
      <c r="J742" s="242"/>
      <c r="K742" s="242"/>
    </row>
    <row r="743" spans="7:11">
      <c r="G743" s="242"/>
      <c r="H743" s="242"/>
      <c r="I743" s="242"/>
      <c r="J743" s="242"/>
      <c r="K743" s="242"/>
    </row>
    <row r="744" spans="7:11">
      <c r="I744" s="242"/>
      <c r="J744" s="242"/>
      <c r="K744" s="242"/>
    </row>
  </sheetData>
  <sheetProtection password="D64E" sheet="1" objects="1" scenarios="1"/>
  <mergeCells count="48">
    <mergeCell ref="A1:F1"/>
    <mergeCell ref="D50:E50"/>
    <mergeCell ref="D51:E51"/>
    <mergeCell ref="D46:E46"/>
    <mergeCell ref="D47:E47"/>
    <mergeCell ref="D44:E44"/>
    <mergeCell ref="D45:E45"/>
    <mergeCell ref="D38:E38"/>
    <mergeCell ref="D39:E39"/>
    <mergeCell ref="D40:E40"/>
    <mergeCell ref="D16:E16"/>
    <mergeCell ref="D42:E42"/>
    <mergeCell ref="D43:E43"/>
    <mergeCell ref="D41:E41"/>
    <mergeCell ref="D37:E37"/>
    <mergeCell ref="D23:E23"/>
    <mergeCell ref="D25:E25"/>
    <mergeCell ref="D26:E26"/>
    <mergeCell ref="D27:E27"/>
    <mergeCell ref="D32:E32"/>
    <mergeCell ref="D33:E33"/>
    <mergeCell ref="D34:E34"/>
    <mergeCell ref="D35:E35"/>
    <mergeCell ref="D36:E36"/>
    <mergeCell ref="G58:L58"/>
    <mergeCell ref="D56:E56"/>
    <mergeCell ref="D52:E52"/>
    <mergeCell ref="D53:E53"/>
    <mergeCell ref="D54:E54"/>
    <mergeCell ref="D55:E55"/>
    <mergeCell ref="D48:E48"/>
    <mergeCell ref="D49:E49"/>
    <mergeCell ref="G59:L59"/>
    <mergeCell ref="A3:F3"/>
    <mergeCell ref="A14:F14"/>
    <mergeCell ref="A58:F58"/>
    <mergeCell ref="D20:E20"/>
    <mergeCell ref="D21:E21"/>
    <mergeCell ref="D28:E28"/>
    <mergeCell ref="D29:E29"/>
    <mergeCell ref="A59:F59"/>
    <mergeCell ref="D30:E30"/>
    <mergeCell ref="D31:E31"/>
    <mergeCell ref="D17:E17"/>
    <mergeCell ref="D18:E18"/>
    <mergeCell ref="D19:E19"/>
    <mergeCell ref="D22:E22"/>
    <mergeCell ref="D24:E24"/>
  </mergeCells>
  <phoneticPr fontId="6" type="noConversion"/>
  <printOptions horizontalCentered="1"/>
  <pageMargins left="0.75" right="0.75" top="0.9" bottom="0.65" header="0.5" footer="0.25"/>
  <pageSetup fitToHeight="0" orientation="portrait" r:id="rId1"/>
  <headerFooter alignWithMargins="0">
    <oddHeader>&amp;C&amp;11 2011 Office of Affordable Housing Funding Application&amp;10
&amp;"Arial,Bold"&amp;11USDA 538 Guaranteed Loan Calculations</oddHeader>
    <oddFooter>&amp;L&amp;8Georgia Department of Community Affairs&amp;C&amp;8&amp;A&amp;R&amp;8&amp;P of &amp;N</oddFooter>
  </headerFooter>
  <rowBreaks count="10" manualBreakCount="10">
    <brk id="57" max="16383" man="1"/>
    <brk id="111" max="16383" man="1"/>
    <brk id="159" max="16383" man="1"/>
    <brk id="207" max="16383" man="1"/>
    <brk id="255" max="16383" man="1"/>
    <brk id="303" max="16383" man="1"/>
    <brk id="351" max="16383" man="1"/>
    <brk id="399" max="16383" man="1"/>
    <brk id="447" max="16383" man="1"/>
    <brk id="495" max="16383" man="1"/>
  </rowBreaks>
  <ignoredErrors>
    <ignoredError sqref="D11:D12 E11:E12 C11:C12" evalError="1"/>
  </ignoredErrors>
</worksheet>
</file>

<file path=xl/worksheets/sheet6.xml><?xml version="1.0" encoding="utf-8"?>
<worksheet xmlns="http://schemas.openxmlformats.org/spreadsheetml/2006/main" xmlns:r="http://schemas.openxmlformats.org/officeDocument/2006/relationships">
  <sheetPr codeName="Sheet7"/>
  <dimension ref="A1:Q654"/>
  <sheetViews>
    <sheetView showGridLines="0" workbookViewId="0">
      <selection activeCell="J42" sqref="J42"/>
    </sheetView>
  </sheetViews>
  <sheetFormatPr defaultColWidth="8.85546875" defaultRowHeight="12.75"/>
  <cols>
    <col min="1" max="1" width="7.140625" style="31" customWidth="1"/>
    <col min="2" max="6" width="16.7109375" style="31" customWidth="1"/>
    <col min="7" max="7" width="11.5703125" style="31" customWidth="1"/>
    <col min="8" max="8" width="2.28515625" style="94" customWidth="1"/>
    <col min="9" max="9" width="10.42578125" style="31" bestFit="1" customWidth="1"/>
    <col min="10" max="10" width="12.28515625" style="31" customWidth="1"/>
    <col min="11" max="11" width="10.7109375" style="31" customWidth="1"/>
    <col min="12" max="16384" width="8.85546875" style="31"/>
  </cols>
  <sheetData>
    <row r="1" spans="1:17" s="204" customFormat="1" ht="16.149999999999999" customHeight="1">
      <c r="A1" s="1622" t="str">
        <f>CONCATENATE("PART III C  - HUD INSURED LOAN","  -  ",'Part I-Project Information'!$O$4," ",'Part I-Project Information'!$F$23,", ",'Part I-Project Information'!$F$27,", ",'Part I-Project Information'!$J$28," County")</f>
        <v>PART III C  - HUD INSURED LOAN  -  2014-028 Highland Estates, Rome, Floyd County</v>
      </c>
      <c r="B1" s="1623"/>
      <c r="C1" s="1623"/>
      <c r="D1" s="1623"/>
      <c r="E1" s="1623"/>
      <c r="F1" s="1624"/>
      <c r="G1" s="201"/>
      <c r="H1" s="201"/>
      <c r="I1" s="201"/>
      <c r="J1" s="201"/>
      <c r="K1" s="201"/>
      <c r="L1" s="201"/>
      <c r="M1" s="201"/>
      <c r="N1" s="201"/>
      <c r="O1" s="201"/>
      <c r="P1" s="201"/>
      <c r="Q1" s="201"/>
    </row>
    <row r="2" spans="1:17">
      <c r="A2" s="16"/>
      <c r="B2" s="227"/>
      <c r="C2" s="227"/>
      <c r="D2" s="227"/>
    </row>
    <row r="3" spans="1:17" ht="15.6" customHeight="1">
      <c r="A3" s="1615" t="s">
        <v>226</v>
      </c>
      <c r="B3" s="1615"/>
      <c r="C3" s="1615"/>
      <c r="D3" s="1615"/>
      <c r="E3" s="1615"/>
      <c r="F3" s="1615"/>
      <c r="G3" s="272"/>
      <c r="H3" s="272"/>
    </row>
    <row r="4" spans="1:17">
      <c r="A4" s="16"/>
      <c r="B4" s="227"/>
      <c r="C4" s="227"/>
      <c r="D4" s="227"/>
    </row>
    <row r="5" spans="1:17" ht="13.15" customHeight="1">
      <c r="A5" s="31" t="s">
        <v>2395</v>
      </c>
      <c r="D5" s="267"/>
      <c r="E5" s="1626" t="s">
        <v>1007</v>
      </c>
      <c r="F5" s="1627"/>
      <c r="G5" s="190"/>
    </row>
    <row r="6" spans="1:17">
      <c r="E6" s="1627"/>
      <c r="F6" s="1627"/>
      <c r="G6" s="190"/>
    </row>
    <row r="7" spans="1:17">
      <c r="A7" s="31" t="s">
        <v>2622</v>
      </c>
      <c r="C7" s="31" t="s">
        <v>2623</v>
      </c>
      <c r="D7" s="268"/>
      <c r="E7" s="1627"/>
      <c r="F7" s="1627"/>
      <c r="G7" s="190"/>
    </row>
    <row r="8" spans="1:17">
      <c r="C8" s="31" t="s">
        <v>2624</v>
      </c>
      <c r="D8" s="268"/>
      <c r="E8" s="1627"/>
      <c r="F8" s="1627"/>
      <c r="G8" s="190"/>
    </row>
    <row r="9" spans="1:17">
      <c r="C9" s="31" t="s">
        <v>2625</v>
      </c>
      <c r="D9" s="268"/>
      <c r="E9" s="1627"/>
      <c r="F9" s="1627"/>
      <c r="G9" s="190"/>
    </row>
    <row r="10" spans="1:17">
      <c r="C10" s="31" t="s">
        <v>2638</v>
      </c>
      <c r="D10" s="273">
        <f>D7+D8+D9</f>
        <v>0</v>
      </c>
      <c r="E10" s="1627"/>
      <c r="F10" s="1627"/>
      <c r="G10" s="190"/>
    </row>
    <row r="11" spans="1:17">
      <c r="F11" s="190"/>
      <c r="G11" s="190"/>
    </row>
    <row r="12" spans="1:17">
      <c r="A12" s="31" t="s">
        <v>1828</v>
      </c>
      <c r="D12" s="266"/>
      <c r="E12" s="31" t="s">
        <v>2264</v>
      </c>
      <c r="F12" s="190"/>
      <c r="G12" s="190"/>
    </row>
    <row r="13" spans="1:17">
      <c r="D13" s="237"/>
      <c r="F13" s="190"/>
      <c r="G13" s="190"/>
    </row>
    <row r="14" spans="1:17">
      <c r="A14" s="31" t="s">
        <v>2627</v>
      </c>
      <c r="D14" s="265"/>
      <c r="E14" s="31" t="s">
        <v>2628</v>
      </c>
      <c r="F14" s="274"/>
    </row>
    <row r="15" spans="1:17">
      <c r="D15" s="257"/>
      <c r="F15" s="274"/>
    </row>
    <row r="16" spans="1:17">
      <c r="A16" s="31" t="s">
        <v>2629</v>
      </c>
      <c r="D16" s="265"/>
      <c r="E16" s="31" t="s">
        <v>2628</v>
      </c>
      <c r="F16" s="274"/>
    </row>
    <row r="17" spans="1:10">
      <c r="D17" s="237"/>
      <c r="F17" s="274"/>
    </row>
    <row r="18" spans="1:10">
      <c r="A18" s="31" t="s">
        <v>980</v>
      </c>
      <c r="D18" s="275" t="e">
        <f>PMT(D10/12,D16*12,-D5,0,0)*12</f>
        <v>#NUM!</v>
      </c>
      <c r="E18" s="31" t="s">
        <v>1595</v>
      </c>
      <c r="F18" s="274"/>
    </row>
    <row r="19" spans="1:10">
      <c r="D19" s="237"/>
      <c r="F19" s="274"/>
    </row>
    <row r="20" spans="1:10">
      <c r="A20" s="31" t="s">
        <v>1596</v>
      </c>
      <c r="D20" s="237" t="e">
        <f>D18/12</f>
        <v>#NUM!</v>
      </c>
      <c r="E20" s="31" t="s">
        <v>1595</v>
      </c>
      <c r="F20" s="274"/>
    </row>
    <row r="24" spans="1:10" ht="18" customHeight="1">
      <c r="A24" s="1616" t="s">
        <v>1829</v>
      </c>
      <c r="B24" s="1616"/>
      <c r="C24" s="1616"/>
      <c r="D24" s="1616"/>
      <c r="E24" s="1616"/>
      <c r="F24" s="1616"/>
      <c r="J24" s="276"/>
    </row>
    <row r="25" spans="1:10">
      <c r="C25" s="237"/>
      <c r="J25" s="276"/>
    </row>
    <row r="26" spans="1:10">
      <c r="A26" s="121"/>
      <c r="B26" s="94"/>
      <c r="C26" s="1628" t="s">
        <v>2394</v>
      </c>
      <c r="D26" s="271"/>
      <c r="E26" s="94"/>
      <c r="F26" s="1628" t="s">
        <v>2394</v>
      </c>
      <c r="J26" s="276"/>
    </row>
    <row r="27" spans="1:10">
      <c r="A27" s="277" t="s">
        <v>2639</v>
      </c>
      <c r="B27" s="84" t="s">
        <v>1082</v>
      </c>
      <c r="C27" s="1629"/>
      <c r="D27" s="278" t="s">
        <v>2639</v>
      </c>
      <c r="E27" s="84" t="s">
        <v>1082</v>
      </c>
      <c r="F27" s="1629"/>
      <c r="J27" s="276"/>
    </row>
    <row r="28" spans="1:10">
      <c r="A28" s="279">
        <v>1</v>
      </c>
      <c r="B28" s="307">
        <f>IF(A28&gt;D14,0,E55*$D$12)</f>
        <v>0</v>
      </c>
      <c r="C28" s="307">
        <f>IF(A28&gt;$D$14,0,$D$18+B28)</f>
        <v>0</v>
      </c>
      <c r="D28" s="280">
        <v>21</v>
      </c>
      <c r="E28" s="307">
        <f>IF(D28&gt;$D$14,0,E295*$D$12)</f>
        <v>0</v>
      </c>
      <c r="F28" s="307">
        <f>IF(D28&gt;$D$14,0,$D$18+E28)</f>
        <v>0</v>
      </c>
      <c r="J28" s="276"/>
    </row>
    <row r="29" spans="1:10">
      <c r="A29" s="279">
        <v>2</v>
      </c>
      <c r="B29" s="308">
        <f>IF(A29&gt;D14,0,E67*$D$12)</f>
        <v>0</v>
      </c>
      <c r="C29" s="307">
        <f t="shared" ref="C29:C47" si="0">IF(A29&gt;$D$14,0,$D$18+B29)</f>
        <v>0</v>
      </c>
      <c r="D29" s="280">
        <v>22</v>
      </c>
      <c r="E29" s="307">
        <f>IF(D29&gt;$D$14,0,E307*$D$12)</f>
        <v>0</v>
      </c>
      <c r="F29" s="307">
        <f t="shared" ref="F29:F47" si="1">IF(D29&gt;$D$14,0,$D$18+E29)</f>
        <v>0</v>
      </c>
      <c r="J29" s="276"/>
    </row>
    <row r="30" spans="1:10">
      <c r="A30" s="279">
        <v>3</v>
      </c>
      <c r="B30" s="307">
        <f>IF(A30&gt;D14,0,E79*$D$12)</f>
        <v>0</v>
      </c>
      <c r="C30" s="307">
        <f t="shared" si="0"/>
        <v>0</v>
      </c>
      <c r="D30" s="280">
        <v>23</v>
      </c>
      <c r="E30" s="307">
        <f>IF(D30&gt;$D$14,0,E319*$D$12)</f>
        <v>0</v>
      </c>
      <c r="F30" s="307">
        <f t="shared" si="1"/>
        <v>0</v>
      </c>
      <c r="J30" s="276"/>
    </row>
    <row r="31" spans="1:10">
      <c r="A31" s="279">
        <v>4</v>
      </c>
      <c r="B31" s="307">
        <f>IF(A31&gt;D14,0,E91*$D$12)</f>
        <v>0</v>
      </c>
      <c r="C31" s="307">
        <f t="shared" si="0"/>
        <v>0</v>
      </c>
      <c r="D31" s="280">
        <v>24</v>
      </c>
      <c r="E31" s="307">
        <f>IF(D31&gt;$D$14,0,E331*$D$12)</f>
        <v>0</v>
      </c>
      <c r="F31" s="307">
        <f t="shared" si="1"/>
        <v>0</v>
      </c>
      <c r="J31" s="276"/>
    </row>
    <row r="32" spans="1:10">
      <c r="A32" s="279">
        <v>5</v>
      </c>
      <c r="B32" s="307">
        <f>IF(A32&gt;D14,0,E103*$D$12)</f>
        <v>0</v>
      </c>
      <c r="C32" s="309">
        <f t="shared" si="0"/>
        <v>0</v>
      </c>
      <c r="D32" s="280">
        <v>25</v>
      </c>
      <c r="E32" s="307">
        <f>IF(D32&gt;$D$14,0,E343*$D$12)</f>
        <v>0</v>
      </c>
      <c r="F32" s="309">
        <f t="shared" si="1"/>
        <v>0</v>
      </c>
      <c r="J32" s="276"/>
    </row>
    <row r="33" spans="1:10">
      <c r="A33" s="281">
        <v>6</v>
      </c>
      <c r="B33" s="310">
        <f>IF(A33&gt;D14,0,E115*$D$12)</f>
        <v>0</v>
      </c>
      <c r="C33" s="307">
        <f t="shared" si="0"/>
        <v>0</v>
      </c>
      <c r="D33" s="282">
        <v>26</v>
      </c>
      <c r="E33" s="310">
        <f>IF(D33&gt;$D$14,0,E355*$D$12)</f>
        <v>0</v>
      </c>
      <c r="F33" s="307">
        <f t="shared" si="1"/>
        <v>0</v>
      </c>
      <c r="J33" s="276"/>
    </row>
    <row r="34" spans="1:10">
      <c r="A34" s="283">
        <v>7</v>
      </c>
      <c r="B34" s="311">
        <f>IF(A34&gt;D14,0,E127*$D$12)</f>
        <v>0</v>
      </c>
      <c r="C34" s="307">
        <f t="shared" si="0"/>
        <v>0</v>
      </c>
      <c r="D34" s="280">
        <v>27</v>
      </c>
      <c r="E34" s="311">
        <f>IF(D34&gt;$D$14,0,E367*$D$12)</f>
        <v>0</v>
      </c>
      <c r="F34" s="307">
        <f t="shared" si="1"/>
        <v>0</v>
      </c>
      <c r="J34" s="276"/>
    </row>
    <row r="35" spans="1:10">
      <c r="A35" s="283">
        <v>8</v>
      </c>
      <c r="B35" s="311">
        <f>IF(A35&gt;D14,0,E139*$D$12)</f>
        <v>0</v>
      </c>
      <c r="C35" s="307">
        <f t="shared" si="0"/>
        <v>0</v>
      </c>
      <c r="D35" s="280">
        <v>28</v>
      </c>
      <c r="E35" s="311">
        <f>IF(D35&gt;$D$14,0,E379*$D$12)</f>
        <v>0</v>
      </c>
      <c r="F35" s="307">
        <f t="shared" si="1"/>
        <v>0</v>
      </c>
      <c r="J35" s="276"/>
    </row>
    <row r="36" spans="1:10">
      <c r="A36" s="283">
        <v>9</v>
      </c>
      <c r="B36" s="311">
        <f>IF(A36&gt;D14,0,E151*$D$12)</f>
        <v>0</v>
      </c>
      <c r="C36" s="307">
        <f t="shared" si="0"/>
        <v>0</v>
      </c>
      <c r="D36" s="280">
        <v>29</v>
      </c>
      <c r="E36" s="311">
        <f>IF(D36&gt;$D$14,0,E391*$D$12)</f>
        <v>0</v>
      </c>
      <c r="F36" s="307">
        <f t="shared" si="1"/>
        <v>0</v>
      </c>
      <c r="J36" s="276"/>
    </row>
    <row r="37" spans="1:10">
      <c r="A37" s="284">
        <v>10</v>
      </c>
      <c r="B37" s="309">
        <f>IF(A37&gt;D14,0,E163*$D$12)</f>
        <v>0</v>
      </c>
      <c r="C37" s="309">
        <f t="shared" si="0"/>
        <v>0</v>
      </c>
      <c r="D37" s="285">
        <v>30</v>
      </c>
      <c r="E37" s="309">
        <f>IF(D37&gt;$D$14,0,E403*$D$12)</f>
        <v>0</v>
      </c>
      <c r="F37" s="309">
        <f t="shared" si="1"/>
        <v>0</v>
      </c>
      <c r="J37" s="276"/>
    </row>
    <row r="38" spans="1:10">
      <c r="A38" s="286">
        <v>11</v>
      </c>
      <c r="B38" s="307">
        <f>IF(A38&gt;D14,0,E175*$D$12)</f>
        <v>0</v>
      </c>
      <c r="C38" s="307">
        <f t="shared" si="0"/>
        <v>0</v>
      </c>
      <c r="D38" s="280">
        <v>31</v>
      </c>
      <c r="E38" s="307">
        <f>IF(D38&gt;$D$14,0,E415*$D$12)</f>
        <v>0</v>
      </c>
      <c r="F38" s="307">
        <f t="shared" si="1"/>
        <v>0</v>
      </c>
      <c r="J38" s="276"/>
    </row>
    <row r="39" spans="1:10">
      <c r="A39" s="286">
        <v>12</v>
      </c>
      <c r="B39" s="307">
        <f>IF(A39&gt;D14,0,E187*$D$12)</f>
        <v>0</v>
      </c>
      <c r="C39" s="307">
        <f t="shared" si="0"/>
        <v>0</v>
      </c>
      <c r="D39" s="280">
        <v>32</v>
      </c>
      <c r="E39" s="307">
        <f>IF(D39&gt;$D$14,0,E427*$D$12)</f>
        <v>0</v>
      </c>
      <c r="F39" s="307">
        <f t="shared" si="1"/>
        <v>0</v>
      </c>
      <c r="J39" s="276"/>
    </row>
    <row r="40" spans="1:10">
      <c r="A40" s="286">
        <v>13</v>
      </c>
      <c r="B40" s="307">
        <f>IF(A40&gt;D14,0,E199*$D$12)</f>
        <v>0</v>
      </c>
      <c r="C40" s="307">
        <f t="shared" si="0"/>
        <v>0</v>
      </c>
      <c r="D40" s="280">
        <v>33</v>
      </c>
      <c r="E40" s="307">
        <f>IF(D40&gt;$D$14,0,E439*$D$12)</f>
        <v>0</v>
      </c>
      <c r="F40" s="307">
        <f t="shared" si="1"/>
        <v>0</v>
      </c>
      <c r="J40" s="276"/>
    </row>
    <row r="41" spans="1:10">
      <c r="A41" s="286">
        <v>14</v>
      </c>
      <c r="B41" s="307">
        <f>IF(A41&gt;D14,0,E211*$D$12)</f>
        <v>0</v>
      </c>
      <c r="C41" s="307">
        <f t="shared" si="0"/>
        <v>0</v>
      </c>
      <c r="D41" s="280">
        <v>34</v>
      </c>
      <c r="E41" s="307">
        <f>IF(D41&gt;$D$14,0,E451*$D$12)</f>
        <v>0</v>
      </c>
      <c r="F41" s="307">
        <f t="shared" si="1"/>
        <v>0</v>
      </c>
      <c r="J41" s="276"/>
    </row>
    <row r="42" spans="1:10">
      <c r="A42" s="286">
        <v>15</v>
      </c>
      <c r="B42" s="307">
        <f>IF(A42&gt;D14,0,E223*$D$12)</f>
        <v>0</v>
      </c>
      <c r="C42" s="309">
        <f t="shared" si="0"/>
        <v>0</v>
      </c>
      <c r="D42" s="280">
        <v>35</v>
      </c>
      <c r="E42" s="307">
        <f>IF(D42&gt;$D$14,0,E463*$D$12)</f>
        <v>0</v>
      </c>
      <c r="F42" s="309">
        <f t="shared" si="1"/>
        <v>0</v>
      </c>
      <c r="J42" s="276"/>
    </row>
    <row r="43" spans="1:10">
      <c r="A43" s="287">
        <v>16</v>
      </c>
      <c r="B43" s="310">
        <f>IF(A43&gt;D14,0,E235*$D$12)</f>
        <v>0</v>
      </c>
      <c r="C43" s="307">
        <f t="shared" si="0"/>
        <v>0</v>
      </c>
      <c r="D43" s="282">
        <v>36</v>
      </c>
      <c r="E43" s="310">
        <f>IF(D43&gt;$D$14,0,E475*$D$12)</f>
        <v>0</v>
      </c>
      <c r="F43" s="307">
        <f t="shared" si="1"/>
        <v>0</v>
      </c>
      <c r="J43" s="276"/>
    </row>
    <row r="44" spans="1:10">
      <c r="A44" s="283">
        <v>17</v>
      </c>
      <c r="B44" s="311">
        <f>IF(A44&gt;D14,0,E247*$D$12)</f>
        <v>0</v>
      </c>
      <c r="C44" s="307">
        <f t="shared" si="0"/>
        <v>0</v>
      </c>
      <c r="D44" s="280">
        <v>37</v>
      </c>
      <c r="E44" s="311">
        <f>IF(D44&gt;$D$14,0,E487*$D$12)</f>
        <v>0</v>
      </c>
      <c r="F44" s="307">
        <f t="shared" si="1"/>
        <v>0</v>
      </c>
      <c r="J44" s="276"/>
    </row>
    <row r="45" spans="1:10">
      <c r="A45" s="283">
        <v>18</v>
      </c>
      <c r="B45" s="311">
        <f>IF(A45&gt;D14,0,E259*$D$12)</f>
        <v>0</v>
      </c>
      <c r="C45" s="307">
        <f t="shared" si="0"/>
        <v>0</v>
      </c>
      <c r="D45" s="280">
        <v>38</v>
      </c>
      <c r="E45" s="311">
        <f>IF(D45&gt;$D$14,0,E499*$D$12)</f>
        <v>0</v>
      </c>
      <c r="F45" s="307">
        <f t="shared" si="1"/>
        <v>0</v>
      </c>
      <c r="J45" s="276"/>
    </row>
    <row r="46" spans="1:10">
      <c r="A46" s="283">
        <v>19</v>
      </c>
      <c r="B46" s="311">
        <f>IF(A46&gt;D14,0,E271*$D$12)</f>
        <v>0</v>
      </c>
      <c r="C46" s="307">
        <f t="shared" si="0"/>
        <v>0</v>
      </c>
      <c r="D46" s="280">
        <v>39</v>
      </c>
      <c r="E46" s="311">
        <f>IF(D46&gt;$D$14,0,E511*$D$12)</f>
        <v>0</v>
      </c>
      <c r="F46" s="307">
        <f t="shared" si="1"/>
        <v>0</v>
      </c>
      <c r="J46" s="276"/>
    </row>
    <row r="47" spans="1:10">
      <c r="A47" s="284">
        <v>20</v>
      </c>
      <c r="B47" s="309">
        <f>IF(A47&gt;D14,0,E283*$D$12)</f>
        <v>0</v>
      </c>
      <c r="C47" s="309">
        <f t="shared" si="0"/>
        <v>0</v>
      </c>
      <c r="D47" s="285">
        <v>40</v>
      </c>
      <c r="E47" s="309">
        <f>IF(D47&gt;$D$14,0,E523*$D$12)</f>
        <v>0</v>
      </c>
      <c r="F47" s="309">
        <f t="shared" si="1"/>
        <v>0</v>
      </c>
      <c r="J47" s="276"/>
    </row>
    <row r="48" spans="1:10">
      <c r="C48" s="237"/>
      <c r="J48" s="276"/>
    </row>
    <row r="49" spans="1:10">
      <c r="C49" s="237"/>
      <c r="J49" s="276"/>
    </row>
    <row r="50" spans="1:10" ht="13.9" customHeight="1">
      <c r="A50" s="1617" t="str">
        <f>CONCATENATE('Part I-Project Information'!$O$4," ",'Part I-Project Information'!$F$23,", ",'Part I-Project Information'!$F$27,", ",'Part I-Project Information'!$J$28," County")</f>
        <v>2014-028 Highland Estates, Rome, Floyd County</v>
      </c>
      <c r="B50" s="1617"/>
      <c r="C50" s="1617"/>
      <c r="D50" s="1617"/>
      <c r="E50" s="1617"/>
      <c r="F50" s="1617"/>
      <c r="G50" s="262"/>
      <c r="H50" s="262"/>
    </row>
    <row r="51" spans="1:10" ht="15">
      <c r="A51" s="1614" t="s">
        <v>2630</v>
      </c>
      <c r="B51" s="1614"/>
      <c r="C51" s="1614"/>
      <c r="D51" s="1614"/>
      <c r="E51" s="1614"/>
      <c r="F51" s="1614"/>
      <c r="G51" s="288"/>
      <c r="H51" s="288"/>
      <c r="I51" s="288"/>
      <c r="J51" s="288"/>
    </row>
    <row r="52" spans="1:10" ht="5.45" customHeight="1">
      <c r="C52" s="237"/>
      <c r="D52" s="237"/>
      <c r="G52" s="242"/>
      <c r="H52" s="236"/>
      <c r="I52" s="242"/>
    </row>
    <row r="53" spans="1:10">
      <c r="A53" s="240" t="s">
        <v>2631</v>
      </c>
      <c r="B53" s="240" t="s">
        <v>2632</v>
      </c>
      <c r="C53" s="240" t="s">
        <v>1374</v>
      </c>
      <c r="D53" s="240" t="s">
        <v>2633</v>
      </c>
      <c r="E53" s="240" t="s">
        <v>2634</v>
      </c>
      <c r="F53" s="269" t="s">
        <v>2639</v>
      </c>
      <c r="G53" s="289"/>
      <c r="H53" s="289"/>
      <c r="I53" s="289"/>
    </row>
    <row r="54" spans="1:10" ht="3.6" customHeight="1">
      <c r="F54" s="94"/>
      <c r="G54" s="242"/>
      <c r="H54" s="236"/>
      <c r="I54" s="242"/>
    </row>
    <row r="55" spans="1:10">
      <c r="A55" s="31" t="s">
        <v>2635</v>
      </c>
      <c r="E55" s="237">
        <f>D5</f>
        <v>0</v>
      </c>
      <c r="F55" s="94"/>
      <c r="G55" s="242"/>
      <c r="H55" s="236"/>
      <c r="I55" s="242"/>
    </row>
    <row r="56" spans="1:10">
      <c r="A56" s="290">
        <v>1</v>
      </c>
      <c r="B56" s="248">
        <f t="shared" ref="B56:B119" si="2">IF(A56&gt;12*$D$14,0,$D$20)</f>
        <v>0</v>
      </c>
      <c r="C56" s="248">
        <f t="shared" ref="C56:C119" si="3">IF(A56&gt;12*$D$14,0,E55*$D$10/12)</f>
        <v>0</v>
      </c>
      <c r="D56" s="248">
        <f t="shared" ref="D56:D119" si="4">IF(A56&gt;12*$D$14,0,B56-C56)</f>
        <v>0</v>
      </c>
      <c r="E56" s="248">
        <f t="shared" ref="E56:E119" si="5">IF(A56&gt;12*$D$14,0,E55-D56)</f>
        <v>0</v>
      </c>
      <c r="F56" s="247"/>
      <c r="G56" s="291"/>
      <c r="H56" s="256"/>
      <c r="I56" s="242"/>
    </row>
    <row r="57" spans="1:10">
      <c r="A57" s="290">
        <v>2</v>
      </c>
      <c r="B57" s="248">
        <f t="shared" si="2"/>
        <v>0</v>
      </c>
      <c r="C57" s="248">
        <f t="shared" si="3"/>
        <v>0</v>
      </c>
      <c r="D57" s="248">
        <f t="shared" si="4"/>
        <v>0</v>
      </c>
      <c r="E57" s="248">
        <f t="shared" si="5"/>
        <v>0</v>
      </c>
      <c r="F57" s="247"/>
      <c r="G57" s="291"/>
      <c r="H57" s="256"/>
      <c r="I57" s="242"/>
    </row>
    <row r="58" spans="1:10">
      <c r="A58" s="290">
        <v>3</v>
      </c>
      <c r="B58" s="248">
        <f t="shared" si="2"/>
        <v>0</v>
      </c>
      <c r="C58" s="248">
        <f t="shared" si="3"/>
        <v>0</v>
      </c>
      <c r="D58" s="248">
        <f t="shared" si="4"/>
        <v>0</v>
      </c>
      <c r="E58" s="248">
        <f t="shared" si="5"/>
        <v>0</v>
      </c>
      <c r="F58" s="247"/>
      <c r="G58" s="291"/>
      <c r="H58" s="256"/>
      <c r="I58" s="242"/>
    </row>
    <row r="59" spans="1:10">
      <c r="A59" s="290">
        <v>4</v>
      </c>
      <c r="B59" s="248">
        <f t="shared" si="2"/>
        <v>0</v>
      </c>
      <c r="C59" s="248">
        <f t="shared" si="3"/>
        <v>0</v>
      </c>
      <c r="D59" s="248">
        <f t="shared" si="4"/>
        <v>0</v>
      </c>
      <c r="E59" s="248">
        <f t="shared" si="5"/>
        <v>0</v>
      </c>
      <c r="F59" s="247"/>
      <c r="G59" s="291"/>
      <c r="H59" s="256"/>
      <c r="I59" s="242"/>
    </row>
    <row r="60" spans="1:10">
      <c r="A60" s="290">
        <v>5</v>
      </c>
      <c r="B60" s="248">
        <f t="shared" si="2"/>
        <v>0</v>
      </c>
      <c r="C60" s="248">
        <f t="shared" si="3"/>
        <v>0</v>
      </c>
      <c r="D60" s="248">
        <f t="shared" si="4"/>
        <v>0</v>
      </c>
      <c r="E60" s="248">
        <f t="shared" si="5"/>
        <v>0</v>
      </c>
      <c r="F60" s="247"/>
      <c r="G60" s="291"/>
      <c r="H60" s="256"/>
      <c r="I60" s="242"/>
    </row>
    <row r="61" spans="1:10">
      <c r="A61" s="290">
        <v>6</v>
      </c>
      <c r="B61" s="248">
        <f t="shared" si="2"/>
        <v>0</v>
      </c>
      <c r="C61" s="248">
        <f t="shared" si="3"/>
        <v>0</v>
      </c>
      <c r="D61" s="248">
        <f t="shared" si="4"/>
        <v>0</v>
      </c>
      <c r="E61" s="248">
        <f t="shared" si="5"/>
        <v>0</v>
      </c>
      <c r="F61" s="247"/>
      <c r="G61" s="291"/>
      <c r="H61" s="256"/>
      <c r="I61" s="242"/>
    </row>
    <row r="62" spans="1:10">
      <c r="A62" s="290">
        <v>7</v>
      </c>
      <c r="B62" s="248">
        <f t="shared" si="2"/>
        <v>0</v>
      </c>
      <c r="C62" s="248">
        <f t="shared" si="3"/>
        <v>0</v>
      </c>
      <c r="D62" s="248">
        <f t="shared" si="4"/>
        <v>0</v>
      </c>
      <c r="E62" s="248">
        <f t="shared" si="5"/>
        <v>0</v>
      </c>
      <c r="F62" s="247"/>
      <c r="G62" s="291"/>
      <c r="H62" s="256"/>
      <c r="I62" s="242"/>
    </row>
    <row r="63" spans="1:10">
      <c r="A63" s="290">
        <v>8</v>
      </c>
      <c r="B63" s="248">
        <f t="shared" si="2"/>
        <v>0</v>
      </c>
      <c r="C63" s="248">
        <f t="shared" si="3"/>
        <v>0</v>
      </c>
      <c r="D63" s="248">
        <f t="shared" si="4"/>
        <v>0</v>
      </c>
      <c r="E63" s="248">
        <f t="shared" si="5"/>
        <v>0</v>
      </c>
      <c r="F63" s="247"/>
      <c r="G63" s="291"/>
      <c r="H63" s="256"/>
      <c r="I63" s="242"/>
    </row>
    <row r="64" spans="1:10">
      <c r="A64" s="290">
        <v>9</v>
      </c>
      <c r="B64" s="248">
        <f t="shared" si="2"/>
        <v>0</v>
      </c>
      <c r="C64" s="248">
        <f t="shared" si="3"/>
        <v>0</v>
      </c>
      <c r="D64" s="248">
        <f t="shared" si="4"/>
        <v>0</v>
      </c>
      <c r="E64" s="248">
        <f t="shared" si="5"/>
        <v>0</v>
      </c>
      <c r="F64" s="247"/>
      <c r="G64" s="291"/>
      <c r="H64" s="256"/>
      <c r="I64" s="242"/>
    </row>
    <row r="65" spans="1:9">
      <c r="A65" s="290">
        <v>10</v>
      </c>
      <c r="B65" s="248">
        <f t="shared" si="2"/>
        <v>0</v>
      </c>
      <c r="C65" s="248">
        <f t="shared" si="3"/>
        <v>0</v>
      </c>
      <c r="D65" s="248">
        <f t="shared" si="4"/>
        <v>0</v>
      </c>
      <c r="E65" s="248">
        <f t="shared" si="5"/>
        <v>0</v>
      </c>
      <c r="F65" s="247"/>
      <c r="G65" s="242"/>
      <c r="H65" s="236"/>
      <c r="I65" s="242"/>
    </row>
    <row r="66" spans="1:9">
      <c r="A66" s="290">
        <v>11</v>
      </c>
      <c r="B66" s="248">
        <f t="shared" si="2"/>
        <v>0</v>
      </c>
      <c r="C66" s="248">
        <f t="shared" si="3"/>
        <v>0</v>
      </c>
      <c r="D66" s="248">
        <f t="shared" si="4"/>
        <v>0</v>
      </c>
      <c r="E66" s="248">
        <f t="shared" si="5"/>
        <v>0</v>
      </c>
      <c r="F66" s="247"/>
      <c r="G66" s="242"/>
      <c r="H66" s="236"/>
      <c r="I66" s="242"/>
    </row>
    <row r="67" spans="1:9">
      <c r="A67" s="290">
        <v>12</v>
      </c>
      <c r="B67" s="248">
        <f t="shared" si="2"/>
        <v>0</v>
      </c>
      <c r="C67" s="248">
        <f t="shared" si="3"/>
        <v>0</v>
      </c>
      <c r="D67" s="248">
        <f t="shared" si="4"/>
        <v>0</v>
      </c>
      <c r="E67" s="248">
        <f t="shared" si="5"/>
        <v>0</v>
      </c>
      <c r="F67" s="247">
        <v>1</v>
      </c>
      <c r="G67" s="291"/>
      <c r="H67" s="256"/>
      <c r="I67" s="291"/>
    </row>
    <row r="68" spans="1:9">
      <c r="A68" s="290">
        <v>13</v>
      </c>
      <c r="B68" s="248">
        <f t="shared" si="2"/>
        <v>0</v>
      </c>
      <c r="C68" s="248">
        <f t="shared" si="3"/>
        <v>0</v>
      </c>
      <c r="D68" s="248">
        <f t="shared" si="4"/>
        <v>0</v>
      </c>
      <c r="E68" s="248">
        <f t="shared" si="5"/>
        <v>0</v>
      </c>
      <c r="F68" s="247"/>
      <c r="G68" s="242"/>
      <c r="H68" s="236"/>
      <c r="I68" s="291"/>
    </row>
    <row r="69" spans="1:9">
      <c r="A69" s="290">
        <v>14</v>
      </c>
      <c r="B69" s="248">
        <f t="shared" si="2"/>
        <v>0</v>
      </c>
      <c r="C69" s="248">
        <f t="shared" si="3"/>
        <v>0</v>
      </c>
      <c r="D69" s="248">
        <f t="shared" si="4"/>
        <v>0</v>
      </c>
      <c r="E69" s="248">
        <f t="shared" si="5"/>
        <v>0</v>
      </c>
      <c r="F69" s="247"/>
      <c r="G69" s="242"/>
      <c r="H69" s="236"/>
      <c r="I69" s="242"/>
    </row>
    <row r="70" spans="1:9">
      <c r="A70" s="290">
        <v>15</v>
      </c>
      <c r="B70" s="248">
        <f t="shared" si="2"/>
        <v>0</v>
      </c>
      <c r="C70" s="248">
        <f t="shared" si="3"/>
        <v>0</v>
      </c>
      <c r="D70" s="248">
        <f t="shared" si="4"/>
        <v>0</v>
      </c>
      <c r="E70" s="248">
        <f t="shared" si="5"/>
        <v>0</v>
      </c>
      <c r="F70" s="247"/>
      <c r="G70" s="242"/>
      <c r="H70" s="236"/>
      <c r="I70" s="242"/>
    </row>
    <row r="71" spans="1:9">
      <c r="A71" s="290">
        <v>16</v>
      </c>
      <c r="B71" s="248">
        <f t="shared" si="2"/>
        <v>0</v>
      </c>
      <c r="C71" s="248">
        <f t="shared" si="3"/>
        <v>0</v>
      </c>
      <c r="D71" s="248">
        <f t="shared" si="4"/>
        <v>0</v>
      </c>
      <c r="E71" s="248">
        <f t="shared" si="5"/>
        <v>0</v>
      </c>
      <c r="F71" s="247"/>
      <c r="G71" s="242"/>
      <c r="H71" s="236"/>
      <c r="I71" s="242"/>
    </row>
    <row r="72" spans="1:9">
      <c r="A72" s="290">
        <v>17</v>
      </c>
      <c r="B72" s="248">
        <f t="shared" si="2"/>
        <v>0</v>
      </c>
      <c r="C72" s="248">
        <f t="shared" si="3"/>
        <v>0</v>
      </c>
      <c r="D72" s="248">
        <f t="shared" si="4"/>
        <v>0</v>
      </c>
      <c r="E72" s="248">
        <f t="shared" si="5"/>
        <v>0</v>
      </c>
      <c r="F72" s="247"/>
      <c r="G72" s="242"/>
      <c r="H72" s="236"/>
      <c r="I72" s="242"/>
    </row>
    <row r="73" spans="1:9">
      <c r="A73" s="290">
        <v>18</v>
      </c>
      <c r="B73" s="248">
        <f t="shared" si="2"/>
        <v>0</v>
      </c>
      <c r="C73" s="248">
        <f t="shared" si="3"/>
        <v>0</v>
      </c>
      <c r="D73" s="248">
        <f t="shared" si="4"/>
        <v>0</v>
      </c>
      <c r="E73" s="248">
        <f t="shared" si="5"/>
        <v>0</v>
      </c>
      <c r="F73" s="247"/>
      <c r="G73" s="291"/>
      <c r="H73" s="256"/>
      <c r="I73" s="242"/>
    </row>
    <row r="74" spans="1:9">
      <c r="A74" s="290">
        <v>19</v>
      </c>
      <c r="B74" s="248">
        <f t="shared" si="2"/>
        <v>0</v>
      </c>
      <c r="C74" s="248">
        <f t="shared" si="3"/>
        <v>0</v>
      </c>
      <c r="D74" s="248">
        <f t="shared" si="4"/>
        <v>0</v>
      </c>
      <c r="E74" s="248">
        <f t="shared" si="5"/>
        <v>0</v>
      </c>
      <c r="F74" s="247"/>
      <c r="G74" s="291"/>
      <c r="H74" s="256"/>
      <c r="I74" s="242"/>
    </row>
    <row r="75" spans="1:9">
      <c r="A75" s="290">
        <v>20</v>
      </c>
      <c r="B75" s="248">
        <f t="shared" si="2"/>
        <v>0</v>
      </c>
      <c r="C75" s="248">
        <f t="shared" si="3"/>
        <v>0</v>
      </c>
      <c r="D75" s="248">
        <f t="shared" si="4"/>
        <v>0</v>
      </c>
      <c r="E75" s="248">
        <f t="shared" si="5"/>
        <v>0</v>
      </c>
      <c r="F75" s="247"/>
      <c r="G75" s="291"/>
      <c r="H75" s="256"/>
      <c r="I75" s="242"/>
    </row>
    <row r="76" spans="1:9">
      <c r="A76" s="290">
        <v>21</v>
      </c>
      <c r="B76" s="248">
        <f t="shared" si="2"/>
        <v>0</v>
      </c>
      <c r="C76" s="248">
        <f t="shared" si="3"/>
        <v>0</v>
      </c>
      <c r="D76" s="248">
        <f t="shared" si="4"/>
        <v>0</v>
      </c>
      <c r="E76" s="248">
        <f t="shared" si="5"/>
        <v>0</v>
      </c>
      <c r="F76" s="247"/>
      <c r="G76" s="291"/>
      <c r="H76" s="256"/>
      <c r="I76" s="242"/>
    </row>
    <row r="77" spans="1:9">
      <c r="A77" s="290">
        <v>22</v>
      </c>
      <c r="B77" s="248">
        <f t="shared" si="2"/>
        <v>0</v>
      </c>
      <c r="C77" s="248">
        <f t="shared" si="3"/>
        <v>0</v>
      </c>
      <c r="D77" s="248">
        <f t="shared" si="4"/>
        <v>0</v>
      </c>
      <c r="E77" s="248">
        <f t="shared" si="5"/>
        <v>0</v>
      </c>
      <c r="F77" s="247"/>
      <c r="G77" s="242"/>
      <c r="H77" s="236"/>
      <c r="I77" s="242"/>
    </row>
    <row r="78" spans="1:9">
      <c r="A78" s="290">
        <v>23</v>
      </c>
      <c r="B78" s="248">
        <f t="shared" si="2"/>
        <v>0</v>
      </c>
      <c r="C78" s="248">
        <f t="shared" si="3"/>
        <v>0</v>
      </c>
      <c r="D78" s="248">
        <f t="shared" si="4"/>
        <v>0</v>
      </c>
      <c r="E78" s="248">
        <f t="shared" si="5"/>
        <v>0</v>
      </c>
      <c r="F78" s="247"/>
      <c r="G78" s="242"/>
      <c r="H78" s="236"/>
      <c r="I78" s="242"/>
    </row>
    <row r="79" spans="1:9">
      <c r="A79" s="290">
        <v>24</v>
      </c>
      <c r="B79" s="248">
        <f t="shared" si="2"/>
        <v>0</v>
      </c>
      <c r="C79" s="248">
        <f t="shared" si="3"/>
        <v>0</v>
      </c>
      <c r="D79" s="248">
        <f t="shared" si="4"/>
        <v>0</v>
      </c>
      <c r="E79" s="248">
        <f t="shared" si="5"/>
        <v>0</v>
      </c>
      <c r="F79" s="247">
        <v>2</v>
      </c>
      <c r="G79" s="291"/>
      <c r="H79" s="256"/>
      <c r="I79" s="291"/>
    </row>
    <row r="80" spans="1:9">
      <c r="A80" s="290">
        <v>25</v>
      </c>
      <c r="B80" s="248">
        <f t="shared" si="2"/>
        <v>0</v>
      </c>
      <c r="C80" s="248">
        <f t="shared" si="3"/>
        <v>0</v>
      </c>
      <c r="D80" s="248">
        <f t="shared" si="4"/>
        <v>0</v>
      </c>
      <c r="E80" s="248">
        <f t="shared" si="5"/>
        <v>0</v>
      </c>
      <c r="F80" s="247"/>
      <c r="G80" s="242"/>
      <c r="H80" s="236"/>
      <c r="I80" s="291"/>
    </row>
    <row r="81" spans="1:9">
      <c r="A81" s="290">
        <v>26</v>
      </c>
      <c r="B81" s="248">
        <f t="shared" si="2"/>
        <v>0</v>
      </c>
      <c r="C81" s="248">
        <f t="shared" si="3"/>
        <v>0</v>
      </c>
      <c r="D81" s="248">
        <f t="shared" si="4"/>
        <v>0</v>
      </c>
      <c r="E81" s="248">
        <f t="shared" si="5"/>
        <v>0</v>
      </c>
      <c r="F81" s="247"/>
      <c r="G81" s="242"/>
      <c r="H81" s="236"/>
      <c r="I81" s="242"/>
    </row>
    <row r="82" spans="1:9">
      <c r="A82" s="290">
        <v>27</v>
      </c>
      <c r="B82" s="248">
        <f t="shared" si="2"/>
        <v>0</v>
      </c>
      <c r="C82" s="248">
        <f t="shared" si="3"/>
        <v>0</v>
      </c>
      <c r="D82" s="248">
        <f t="shared" si="4"/>
        <v>0</v>
      </c>
      <c r="E82" s="248">
        <f t="shared" si="5"/>
        <v>0</v>
      </c>
      <c r="F82" s="247"/>
      <c r="G82" s="242"/>
      <c r="H82" s="236"/>
      <c r="I82" s="242"/>
    </row>
    <row r="83" spans="1:9">
      <c r="A83" s="290">
        <v>28</v>
      </c>
      <c r="B83" s="248">
        <f t="shared" si="2"/>
        <v>0</v>
      </c>
      <c r="C83" s="248">
        <f t="shared" si="3"/>
        <v>0</v>
      </c>
      <c r="D83" s="248">
        <f t="shared" si="4"/>
        <v>0</v>
      </c>
      <c r="E83" s="248">
        <f t="shared" si="5"/>
        <v>0</v>
      </c>
      <c r="F83" s="247"/>
      <c r="G83" s="242"/>
      <c r="H83" s="236"/>
      <c r="I83" s="242"/>
    </row>
    <row r="84" spans="1:9">
      <c r="A84" s="290">
        <v>29</v>
      </c>
      <c r="B84" s="248">
        <f t="shared" si="2"/>
        <v>0</v>
      </c>
      <c r="C84" s="248">
        <f t="shared" si="3"/>
        <v>0</v>
      </c>
      <c r="D84" s="248">
        <f t="shared" si="4"/>
        <v>0</v>
      </c>
      <c r="E84" s="248">
        <f t="shared" si="5"/>
        <v>0</v>
      </c>
      <c r="F84" s="247"/>
      <c r="G84" s="242"/>
      <c r="H84" s="236"/>
      <c r="I84" s="242"/>
    </row>
    <row r="85" spans="1:9">
      <c r="A85" s="290">
        <v>30</v>
      </c>
      <c r="B85" s="248">
        <f t="shared" si="2"/>
        <v>0</v>
      </c>
      <c r="C85" s="248">
        <f t="shared" si="3"/>
        <v>0</v>
      </c>
      <c r="D85" s="248">
        <f t="shared" si="4"/>
        <v>0</v>
      </c>
      <c r="E85" s="248">
        <f t="shared" si="5"/>
        <v>0</v>
      </c>
      <c r="F85" s="247"/>
      <c r="G85" s="291"/>
      <c r="H85" s="256"/>
      <c r="I85" s="242"/>
    </row>
    <row r="86" spans="1:9">
      <c r="A86" s="290">
        <v>31</v>
      </c>
      <c r="B86" s="248">
        <f t="shared" si="2"/>
        <v>0</v>
      </c>
      <c r="C86" s="248">
        <f t="shared" si="3"/>
        <v>0</v>
      </c>
      <c r="D86" s="248">
        <f t="shared" si="4"/>
        <v>0</v>
      </c>
      <c r="E86" s="248">
        <f t="shared" si="5"/>
        <v>0</v>
      </c>
      <c r="F86" s="247"/>
      <c r="G86" s="242"/>
      <c r="H86" s="236"/>
      <c r="I86" s="242"/>
    </row>
    <row r="87" spans="1:9">
      <c r="A87" s="290">
        <v>32</v>
      </c>
      <c r="B87" s="248">
        <f t="shared" si="2"/>
        <v>0</v>
      </c>
      <c r="C87" s="248">
        <f t="shared" si="3"/>
        <v>0</v>
      </c>
      <c r="D87" s="248">
        <f t="shared" si="4"/>
        <v>0</v>
      </c>
      <c r="E87" s="248">
        <f t="shared" si="5"/>
        <v>0</v>
      </c>
      <c r="F87" s="247"/>
      <c r="G87" s="242"/>
      <c r="H87" s="236"/>
      <c r="I87" s="242"/>
    </row>
    <row r="88" spans="1:9">
      <c r="A88" s="290">
        <v>33</v>
      </c>
      <c r="B88" s="248">
        <f t="shared" si="2"/>
        <v>0</v>
      </c>
      <c r="C88" s="248">
        <f t="shared" si="3"/>
        <v>0</v>
      </c>
      <c r="D88" s="248">
        <f t="shared" si="4"/>
        <v>0</v>
      </c>
      <c r="E88" s="248">
        <f t="shared" si="5"/>
        <v>0</v>
      </c>
      <c r="F88" s="247"/>
      <c r="G88" s="242"/>
      <c r="H88" s="236"/>
      <c r="I88" s="242"/>
    </row>
    <row r="89" spans="1:9">
      <c r="A89" s="290">
        <v>34</v>
      </c>
      <c r="B89" s="248">
        <f t="shared" si="2"/>
        <v>0</v>
      </c>
      <c r="C89" s="248">
        <f t="shared" si="3"/>
        <v>0</v>
      </c>
      <c r="D89" s="248">
        <f t="shared" si="4"/>
        <v>0</v>
      </c>
      <c r="E89" s="248">
        <f t="shared" si="5"/>
        <v>0</v>
      </c>
      <c r="F89" s="247"/>
      <c r="G89" s="242"/>
      <c r="H89" s="236"/>
      <c r="I89" s="242"/>
    </row>
    <row r="90" spans="1:9">
      <c r="A90" s="290">
        <v>35</v>
      </c>
      <c r="B90" s="248">
        <f t="shared" si="2"/>
        <v>0</v>
      </c>
      <c r="C90" s="248">
        <f t="shared" si="3"/>
        <v>0</v>
      </c>
      <c r="D90" s="248">
        <f t="shared" si="4"/>
        <v>0</v>
      </c>
      <c r="E90" s="248">
        <f t="shared" si="5"/>
        <v>0</v>
      </c>
      <c r="F90" s="247"/>
      <c r="G90" s="242"/>
      <c r="H90" s="236"/>
      <c r="I90" s="242"/>
    </row>
    <row r="91" spans="1:9">
      <c r="A91" s="290">
        <v>36</v>
      </c>
      <c r="B91" s="248">
        <f t="shared" si="2"/>
        <v>0</v>
      </c>
      <c r="C91" s="248">
        <f t="shared" si="3"/>
        <v>0</v>
      </c>
      <c r="D91" s="248">
        <f t="shared" si="4"/>
        <v>0</v>
      </c>
      <c r="E91" s="248">
        <f t="shared" si="5"/>
        <v>0</v>
      </c>
      <c r="F91" s="247">
        <v>3</v>
      </c>
      <c r="G91" s="291"/>
      <c r="H91" s="256"/>
      <c r="I91" s="291"/>
    </row>
    <row r="92" spans="1:9">
      <c r="A92" s="290">
        <v>37</v>
      </c>
      <c r="B92" s="248">
        <f t="shared" si="2"/>
        <v>0</v>
      </c>
      <c r="C92" s="248">
        <f t="shared" si="3"/>
        <v>0</v>
      </c>
      <c r="D92" s="248">
        <f t="shared" si="4"/>
        <v>0</v>
      </c>
      <c r="E92" s="248">
        <f t="shared" si="5"/>
        <v>0</v>
      </c>
      <c r="F92" s="247"/>
      <c r="G92" s="242"/>
      <c r="H92" s="236"/>
      <c r="I92" s="291"/>
    </row>
    <row r="93" spans="1:9">
      <c r="A93" s="290">
        <v>38</v>
      </c>
      <c r="B93" s="248">
        <f t="shared" si="2"/>
        <v>0</v>
      </c>
      <c r="C93" s="248">
        <f t="shared" si="3"/>
        <v>0</v>
      </c>
      <c r="D93" s="248">
        <f t="shared" si="4"/>
        <v>0</v>
      </c>
      <c r="E93" s="248">
        <f t="shared" si="5"/>
        <v>0</v>
      </c>
      <c r="F93" s="247"/>
      <c r="G93" s="242"/>
      <c r="H93" s="236"/>
      <c r="I93" s="242"/>
    </row>
    <row r="94" spans="1:9">
      <c r="A94" s="290">
        <v>39</v>
      </c>
      <c r="B94" s="248">
        <f t="shared" si="2"/>
        <v>0</v>
      </c>
      <c r="C94" s="248">
        <f t="shared" si="3"/>
        <v>0</v>
      </c>
      <c r="D94" s="248">
        <f t="shared" si="4"/>
        <v>0</v>
      </c>
      <c r="E94" s="248">
        <f t="shared" si="5"/>
        <v>0</v>
      </c>
      <c r="F94" s="247"/>
      <c r="G94" s="242"/>
      <c r="H94" s="236"/>
      <c r="I94" s="242"/>
    </row>
    <row r="95" spans="1:9">
      <c r="A95" s="290">
        <v>40</v>
      </c>
      <c r="B95" s="248">
        <f t="shared" si="2"/>
        <v>0</v>
      </c>
      <c r="C95" s="248">
        <f t="shared" si="3"/>
        <v>0</v>
      </c>
      <c r="D95" s="248">
        <f t="shared" si="4"/>
        <v>0</v>
      </c>
      <c r="E95" s="248">
        <f t="shared" si="5"/>
        <v>0</v>
      </c>
      <c r="F95" s="247"/>
      <c r="G95" s="242"/>
      <c r="H95" s="236"/>
      <c r="I95" s="242"/>
    </row>
    <row r="96" spans="1:9">
      <c r="A96" s="290">
        <v>41</v>
      </c>
      <c r="B96" s="248">
        <f t="shared" si="2"/>
        <v>0</v>
      </c>
      <c r="C96" s="248">
        <f t="shared" si="3"/>
        <v>0</v>
      </c>
      <c r="D96" s="248">
        <f t="shared" si="4"/>
        <v>0</v>
      </c>
      <c r="E96" s="248">
        <f t="shared" si="5"/>
        <v>0</v>
      </c>
      <c r="F96" s="247"/>
      <c r="G96" s="242"/>
      <c r="H96" s="236"/>
      <c r="I96" s="242"/>
    </row>
    <row r="97" spans="1:9">
      <c r="A97" s="290">
        <v>42</v>
      </c>
      <c r="B97" s="248">
        <f t="shared" si="2"/>
        <v>0</v>
      </c>
      <c r="C97" s="248">
        <f t="shared" si="3"/>
        <v>0</v>
      </c>
      <c r="D97" s="248">
        <f t="shared" si="4"/>
        <v>0</v>
      </c>
      <c r="E97" s="248">
        <f t="shared" si="5"/>
        <v>0</v>
      </c>
      <c r="F97" s="247"/>
      <c r="G97" s="291"/>
      <c r="H97" s="256"/>
      <c r="I97" s="242"/>
    </row>
    <row r="98" spans="1:9">
      <c r="A98" s="290">
        <v>43</v>
      </c>
      <c r="B98" s="248">
        <f t="shared" si="2"/>
        <v>0</v>
      </c>
      <c r="C98" s="248">
        <f t="shared" si="3"/>
        <v>0</v>
      </c>
      <c r="D98" s="248">
        <f t="shared" si="4"/>
        <v>0</v>
      </c>
      <c r="E98" s="248">
        <f t="shared" si="5"/>
        <v>0</v>
      </c>
      <c r="F98" s="247"/>
      <c r="G98" s="242"/>
      <c r="H98" s="236"/>
      <c r="I98" s="242"/>
    </row>
    <row r="99" spans="1:9">
      <c r="A99" s="290">
        <v>44</v>
      </c>
      <c r="B99" s="248">
        <f t="shared" si="2"/>
        <v>0</v>
      </c>
      <c r="C99" s="248">
        <f t="shared" si="3"/>
        <v>0</v>
      </c>
      <c r="D99" s="248">
        <f t="shared" si="4"/>
        <v>0</v>
      </c>
      <c r="E99" s="248">
        <f t="shared" si="5"/>
        <v>0</v>
      </c>
      <c r="F99" s="247"/>
      <c r="G99" s="242"/>
      <c r="H99" s="236"/>
      <c r="I99" s="242"/>
    </row>
    <row r="100" spans="1:9">
      <c r="A100" s="290">
        <v>45</v>
      </c>
      <c r="B100" s="248">
        <f t="shared" si="2"/>
        <v>0</v>
      </c>
      <c r="C100" s="248">
        <f t="shared" si="3"/>
        <v>0</v>
      </c>
      <c r="D100" s="248">
        <f t="shared" si="4"/>
        <v>0</v>
      </c>
      <c r="E100" s="248">
        <f t="shared" si="5"/>
        <v>0</v>
      </c>
      <c r="F100" s="247"/>
      <c r="G100" s="242"/>
      <c r="H100" s="236"/>
      <c r="I100" s="242"/>
    </row>
    <row r="101" spans="1:9">
      <c r="A101" s="290">
        <v>46</v>
      </c>
      <c r="B101" s="248">
        <f t="shared" si="2"/>
        <v>0</v>
      </c>
      <c r="C101" s="248">
        <f t="shared" si="3"/>
        <v>0</v>
      </c>
      <c r="D101" s="248">
        <f t="shared" si="4"/>
        <v>0</v>
      </c>
      <c r="E101" s="248">
        <f t="shared" si="5"/>
        <v>0</v>
      </c>
      <c r="F101" s="247"/>
      <c r="G101" s="242"/>
      <c r="H101" s="236"/>
      <c r="I101" s="242"/>
    </row>
    <row r="102" spans="1:9">
      <c r="A102" s="290">
        <v>47</v>
      </c>
      <c r="B102" s="248">
        <f t="shared" si="2"/>
        <v>0</v>
      </c>
      <c r="C102" s="248">
        <f t="shared" si="3"/>
        <v>0</v>
      </c>
      <c r="D102" s="248">
        <f t="shared" si="4"/>
        <v>0</v>
      </c>
      <c r="E102" s="248">
        <f t="shared" si="5"/>
        <v>0</v>
      </c>
      <c r="F102" s="247"/>
      <c r="G102" s="242"/>
      <c r="H102" s="236"/>
      <c r="I102" s="242"/>
    </row>
    <row r="103" spans="1:9">
      <c r="A103" s="290">
        <v>48</v>
      </c>
      <c r="B103" s="248">
        <f t="shared" si="2"/>
        <v>0</v>
      </c>
      <c r="C103" s="248">
        <f t="shared" si="3"/>
        <v>0</v>
      </c>
      <c r="D103" s="248">
        <f t="shared" si="4"/>
        <v>0</v>
      </c>
      <c r="E103" s="248">
        <f t="shared" si="5"/>
        <v>0</v>
      </c>
      <c r="F103" s="247">
        <v>4</v>
      </c>
      <c r="G103" s="291"/>
      <c r="H103" s="256"/>
      <c r="I103" s="291"/>
    </row>
    <row r="104" spans="1:9">
      <c r="A104" s="290">
        <v>49</v>
      </c>
      <c r="B104" s="248">
        <f t="shared" si="2"/>
        <v>0</v>
      </c>
      <c r="C104" s="248">
        <f t="shared" si="3"/>
        <v>0</v>
      </c>
      <c r="D104" s="248">
        <f t="shared" si="4"/>
        <v>0</v>
      </c>
      <c r="E104" s="248">
        <f t="shared" si="5"/>
        <v>0</v>
      </c>
      <c r="F104" s="247"/>
      <c r="G104" s="242"/>
      <c r="H104" s="236"/>
      <c r="I104" s="291"/>
    </row>
    <row r="105" spans="1:9">
      <c r="A105" s="290">
        <v>50</v>
      </c>
      <c r="B105" s="248">
        <f t="shared" si="2"/>
        <v>0</v>
      </c>
      <c r="C105" s="248">
        <f t="shared" si="3"/>
        <v>0</v>
      </c>
      <c r="D105" s="248">
        <f t="shared" si="4"/>
        <v>0</v>
      </c>
      <c r="E105" s="248">
        <f t="shared" si="5"/>
        <v>0</v>
      </c>
      <c r="F105" s="247"/>
      <c r="G105" s="242"/>
      <c r="H105" s="236"/>
      <c r="I105" s="242"/>
    </row>
    <row r="106" spans="1:9">
      <c r="A106" s="290">
        <v>51</v>
      </c>
      <c r="B106" s="248">
        <f t="shared" si="2"/>
        <v>0</v>
      </c>
      <c r="C106" s="248">
        <f t="shared" si="3"/>
        <v>0</v>
      </c>
      <c r="D106" s="248">
        <f t="shared" si="4"/>
        <v>0</v>
      </c>
      <c r="E106" s="248">
        <f t="shared" si="5"/>
        <v>0</v>
      </c>
      <c r="F106" s="247"/>
      <c r="G106" s="242"/>
      <c r="H106" s="236"/>
      <c r="I106" s="242"/>
    </row>
    <row r="107" spans="1:9">
      <c r="A107" s="290">
        <v>52</v>
      </c>
      <c r="B107" s="248">
        <f t="shared" si="2"/>
        <v>0</v>
      </c>
      <c r="C107" s="248">
        <f t="shared" si="3"/>
        <v>0</v>
      </c>
      <c r="D107" s="248">
        <f t="shared" si="4"/>
        <v>0</v>
      </c>
      <c r="E107" s="248">
        <f t="shared" si="5"/>
        <v>0</v>
      </c>
      <c r="F107" s="247"/>
      <c r="G107" s="242"/>
      <c r="H107" s="236"/>
      <c r="I107" s="242"/>
    </row>
    <row r="108" spans="1:9">
      <c r="A108" s="290">
        <v>53</v>
      </c>
      <c r="B108" s="248">
        <f t="shared" si="2"/>
        <v>0</v>
      </c>
      <c r="C108" s="248">
        <f t="shared" si="3"/>
        <v>0</v>
      </c>
      <c r="D108" s="248">
        <f t="shared" si="4"/>
        <v>0</v>
      </c>
      <c r="E108" s="248">
        <f t="shared" si="5"/>
        <v>0</v>
      </c>
      <c r="F108" s="247"/>
      <c r="G108" s="242"/>
      <c r="H108" s="236"/>
      <c r="I108" s="242"/>
    </row>
    <row r="109" spans="1:9">
      <c r="A109" s="290">
        <v>54</v>
      </c>
      <c r="B109" s="248">
        <f t="shared" si="2"/>
        <v>0</v>
      </c>
      <c r="C109" s="248">
        <f t="shared" si="3"/>
        <v>0</v>
      </c>
      <c r="D109" s="248">
        <f t="shared" si="4"/>
        <v>0</v>
      </c>
      <c r="E109" s="248">
        <f t="shared" si="5"/>
        <v>0</v>
      </c>
      <c r="F109" s="247"/>
      <c r="G109" s="291"/>
      <c r="H109" s="256"/>
      <c r="I109" s="242"/>
    </row>
    <row r="110" spans="1:9">
      <c r="A110" s="290">
        <v>55</v>
      </c>
      <c r="B110" s="248">
        <f t="shared" si="2"/>
        <v>0</v>
      </c>
      <c r="C110" s="248">
        <f t="shared" si="3"/>
        <v>0</v>
      </c>
      <c r="D110" s="248">
        <f t="shared" si="4"/>
        <v>0</v>
      </c>
      <c r="E110" s="248">
        <f t="shared" si="5"/>
        <v>0</v>
      </c>
      <c r="F110" s="247"/>
      <c r="G110" s="242"/>
      <c r="H110" s="236"/>
      <c r="I110" s="242"/>
    </row>
    <row r="111" spans="1:9">
      <c r="A111" s="290">
        <v>56</v>
      </c>
      <c r="B111" s="248">
        <f t="shared" si="2"/>
        <v>0</v>
      </c>
      <c r="C111" s="248">
        <f t="shared" si="3"/>
        <v>0</v>
      </c>
      <c r="D111" s="248">
        <f t="shared" si="4"/>
        <v>0</v>
      </c>
      <c r="E111" s="248">
        <f t="shared" si="5"/>
        <v>0</v>
      </c>
      <c r="F111" s="247"/>
      <c r="G111" s="242"/>
      <c r="H111" s="236"/>
      <c r="I111" s="242"/>
    </row>
    <row r="112" spans="1:9">
      <c r="A112" s="290">
        <v>57</v>
      </c>
      <c r="B112" s="248">
        <f t="shared" si="2"/>
        <v>0</v>
      </c>
      <c r="C112" s="248">
        <f t="shared" si="3"/>
        <v>0</v>
      </c>
      <c r="D112" s="248">
        <f t="shared" si="4"/>
        <v>0</v>
      </c>
      <c r="E112" s="248">
        <f t="shared" si="5"/>
        <v>0</v>
      </c>
      <c r="F112" s="247"/>
      <c r="G112" s="242"/>
      <c r="H112" s="236"/>
      <c r="I112" s="242"/>
    </row>
    <row r="113" spans="1:9">
      <c r="A113" s="290">
        <v>58</v>
      </c>
      <c r="B113" s="248">
        <f t="shared" si="2"/>
        <v>0</v>
      </c>
      <c r="C113" s="248">
        <f t="shared" si="3"/>
        <v>0</v>
      </c>
      <c r="D113" s="248">
        <f t="shared" si="4"/>
        <v>0</v>
      </c>
      <c r="E113" s="248">
        <f t="shared" si="5"/>
        <v>0</v>
      </c>
      <c r="F113" s="247"/>
      <c r="G113" s="242"/>
      <c r="H113" s="236"/>
      <c r="I113" s="242"/>
    </row>
    <row r="114" spans="1:9">
      <c r="A114" s="290">
        <v>59</v>
      </c>
      <c r="B114" s="248">
        <f t="shared" si="2"/>
        <v>0</v>
      </c>
      <c r="C114" s="248">
        <f t="shared" si="3"/>
        <v>0</v>
      </c>
      <c r="D114" s="248">
        <f t="shared" si="4"/>
        <v>0</v>
      </c>
      <c r="E114" s="248">
        <f t="shared" si="5"/>
        <v>0</v>
      </c>
      <c r="F114" s="247"/>
      <c r="G114" s="242"/>
      <c r="H114" s="236"/>
      <c r="I114" s="242"/>
    </row>
    <row r="115" spans="1:9">
      <c r="A115" s="290">
        <v>60</v>
      </c>
      <c r="B115" s="248">
        <f t="shared" si="2"/>
        <v>0</v>
      </c>
      <c r="C115" s="248">
        <f t="shared" si="3"/>
        <v>0</v>
      </c>
      <c r="D115" s="248">
        <f t="shared" si="4"/>
        <v>0</v>
      </c>
      <c r="E115" s="248">
        <f t="shared" si="5"/>
        <v>0</v>
      </c>
      <c r="F115" s="247"/>
      <c r="G115" s="291"/>
      <c r="H115" s="256"/>
      <c r="I115" s="291"/>
    </row>
    <row r="116" spans="1:9">
      <c r="A116" s="290">
        <v>61</v>
      </c>
      <c r="B116" s="248">
        <f t="shared" si="2"/>
        <v>0</v>
      </c>
      <c r="C116" s="248">
        <f t="shared" si="3"/>
        <v>0</v>
      </c>
      <c r="D116" s="248">
        <f t="shared" si="4"/>
        <v>0</v>
      </c>
      <c r="E116" s="248">
        <f t="shared" si="5"/>
        <v>0</v>
      </c>
      <c r="F116" s="247"/>
      <c r="G116" s="242"/>
      <c r="H116" s="236"/>
      <c r="I116" s="291"/>
    </row>
    <row r="117" spans="1:9">
      <c r="A117" s="290">
        <v>62</v>
      </c>
      <c r="B117" s="248">
        <f t="shared" si="2"/>
        <v>0</v>
      </c>
      <c r="C117" s="248">
        <f t="shared" si="3"/>
        <v>0</v>
      </c>
      <c r="D117" s="248">
        <f t="shared" si="4"/>
        <v>0</v>
      </c>
      <c r="E117" s="248">
        <f t="shared" si="5"/>
        <v>0</v>
      </c>
      <c r="F117" s="247">
        <v>5</v>
      </c>
      <c r="G117" s="242"/>
      <c r="H117" s="236"/>
      <c r="I117" s="242"/>
    </row>
    <row r="118" spans="1:9">
      <c r="A118" s="290">
        <v>63</v>
      </c>
      <c r="B118" s="248">
        <f t="shared" si="2"/>
        <v>0</v>
      </c>
      <c r="C118" s="248">
        <f t="shared" si="3"/>
        <v>0</v>
      </c>
      <c r="D118" s="248">
        <f t="shared" si="4"/>
        <v>0</v>
      </c>
      <c r="E118" s="248">
        <f t="shared" si="5"/>
        <v>0</v>
      </c>
      <c r="F118" s="247"/>
      <c r="G118" s="242"/>
      <c r="H118" s="236"/>
      <c r="I118" s="242"/>
    </row>
    <row r="119" spans="1:9">
      <c r="A119" s="290">
        <v>64</v>
      </c>
      <c r="B119" s="248">
        <f t="shared" si="2"/>
        <v>0</v>
      </c>
      <c r="C119" s="248">
        <f t="shared" si="3"/>
        <v>0</v>
      </c>
      <c r="D119" s="248">
        <f t="shared" si="4"/>
        <v>0</v>
      </c>
      <c r="E119" s="248">
        <f t="shared" si="5"/>
        <v>0</v>
      </c>
      <c r="F119" s="247"/>
      <c r="G119" s="242"/>
      <c r="H119" s="236"/>
      <c r="I119" s="242"/>
    </row>
    <row r="120" spans="1:9">
      <c r="A120" s="290">
        <v>65</v>
      </c>
      <c r="B120" s="248">
        <f t="shared" ref="B120:B183" si="6">IF(A120&gt;12*$D$14,0,$D$20)</f>
        <v>0</v>
      </c>
      <c r="C120" s="248">
        <f t="shared" ref="C120:C183" si="7">IF(A120&gt;12*$D$14,0,E119*$D$10/12)</f>
        <v>0</v>
      </c>
      <c r="D120" s="248">
        <f t="shared" ref="D120:D183" si="8">IF(A120&gt;12*$D$14,0,B120-C120)</f>
        <v>0</v>
      </c>
      <c r="E120" s="248">
        <f t="shared" ref="E120:E183" si="9">IF(A120&gt;12*$D$14,0,E119-D120)</f>
        <v>0</v>
      </c>
      <c r="F120" s="247"/>
      <c r="G120" s="242"/>
      <c r="H120" s="236"/>
      <c r="I120" s="242"/>
    </row>
    <row r="121" spans="1:9">
      <c r="A121" s="290">
        <v>66</v>
      </c>
      <c r="B121" s="248">
        <f t="shared" si="6"/>
        <v>0</v>
      </c>
      <c r="C121" s="248">
        <f t="shared" si="7"/>
        <v>0</v>
      </c>
      <c r="D121" s="248">
        <f t="shared" si="8"/>
        <v>0</v>
      </c>
      <c r="E121" s="248">
        <f t="shared" si="9"/>
        <v>0</v>
      </c>
      <c r="F121" s="247"/>
      <c r="G121" s="291"/>
      <c r="H121" s="256"/>
      <c r="I121" s="242"/>
    </row>
    <row r="122" spans="1:9">
      <c r="A122" s="290">
        <v>67</v>
      </c>
      <c r="B122" s="248">
        <f t="shared" si="6"/>
        <v>0</v>
      </c>
      <c r="C122" s="248">
        <f t="shared" si="7"/>
        <v>0</v>
      </c>
      <c r="D122" s="248">
        <f t="shared" si="8"/>
        <v>0</v>
      </c>
      <c r="E122" s="248">
        <f t="shared" si="9"/>
        <v>0</v>
      </c>
      <c r="F122" s="247"/>
      <c r="G122" s="242"/>
      <c r="H122" s="236"/>
      <c r="I122" s="242"/>
    </row>
    <row r="123" spans="1:9">
      <c r="A123" s="290">
        <v>68</v>
      </c>
      <c r="B123" s="248">
        <f t="shared" si="6"/>
        <v>0</v>
      </c>
      <c r="C123" s="248">
        <f t="shared" si="7"/>
        <v>0</v>
      </c>
      <c r="D123" s="248">
        <f t="shared" si="8"/>
        <v>0</v>
      </c>
      <c r="E123" s="248">
        <f t="shared" si="9"/>
        <v>0</v>
      </c>
      <c r="F123" s="247"/>
      <c r="G123" s="242"/>
      <c r="H123" s="236"/>
      <c r="I123" s="242"/>
    </row>
    <row r="124" spans="1:9">
      <c r="A124" s="290">
        <v>69</v>
      </c>
      <c r="B124" s="248">
        <f t="shared" si="6"/>
        <v>0</v>
      </c>
      <c r="C124" s="248">
        <f t="shared" si="7"/>
        <v>0</v>
      </c>
      <c r="D124" s="248">
        <f t="shared" si="8"/>
        <v>0</v>
      </c>
      <c r="E124" s="248">
        <f t="shared" si="9"/>
        <v>0</v>
      </c>
      <c r="F124" s="247"/>
      <c r="G124" s="242"/>
      <c r="H124" s="236"/>
      <c r="I124" s="242"/>
    </row>
    <row r="125" spans="1:9">
      <c r="A125" s="290">
        <v>70</v>
      </c>
      <c r="B125" s="248">
        <f t="shared" si="6"/>
        <v>0</v>
      </c>
      <c r="C125" s="248">
        <f t="shared" si="7"/>
        <v>0</v>
      </c>
      <c r="D125" s="248">
        <f t="shared" si="8"/>
        <v>0</v>
      </c>
      <c r="E125" s="248">
        <f t="shared" si="9"/>
        <v>0</v>
      </c>
      <c r="F125" s="247"/>
      <c r="G125" s="242"/>
      <c r="H125" s="236"/>
      <c r="I125" s="242"/>
    </row>
    <row r="126" spans="1:9">
      <c r="A126" s="290">
        <v>71</v>
      </c>
      <c r="B126" s="248">
        <f t="shared" si="6"/>
        <v>0</v>
      </c>
      <c r="C126" s="248">
        <f t="shared" si="7"/>
        <v>0</v>
      </c>
      <c r="D126" s="248">
        <f t="shared" si="8"/>
        <v>0</v>
      </c>
      <c r="E126" s="248">
        <f t="shared" si="9"/>
        <v>0</v>
      </c>
      <c r="F126" s="247"/>
      <c r="G126" s="242"/>
      <c r="H126" s="236"/>
      <c r="I126" s="242"/>
    </row>
    <row r="127" spans="1:9">
      <c r="A127" s="290">
        <v>72</v>
      </c>
      <c r="B127" s="248">
        <f t="shared" si="6"/>
        <v>0</v>
      </c>
      <c r="C127" s="248">
        <f t="shared" si="7"/>
        <v>0</v>
      </c>
      <c r="D127" s="248">
        <f t="shared" si="8"/>
        <v>0</v>
      </c>
      <c r="E127" s="248">
        <f t="shared" si="9"/>
        <v>0</v>
      </c>
      <c r="F127" s="247"/>
      <c r="G127" s="291"/>
      <c r="H127" s="256"/>
      <c r="I127" s="291"/>
    </row>
    <row r="128" spans="1:9">
      <c r="A128" s="290">
        <v>73</v>
      </c>
      <c r="B128" s="248">
        <f t="shared" si="6"/>
        <v>0</v>
      </c>
      <c r="C128" s="248">
        <f t="shared" si="7"/>
        <v>0</v>
      </c>
      <c r="D128" s="248">
        <f t="shared" si="8"/>
        <v>0</v>
      </c>
      <c r="E128" s="248">
        <f t="shared" si="9"/>
        <v>0</v>
      </c>
      <c r="F128" s="247"/>
      <c r="G128" s="242"/>
      <c r="H128" s="236"/>
      <c r="I128" s="291"/>
    </row>
    <row r="129" spans="1:9">
      <c r="A129" s="290">
        <v>74</v>
      </c>
      <c r="B129" s="248">
        <f t="shared" si="6"/>
        <v>0</v>
      </c>
      <c r="C129" s="248">
        <f t="shared" si="7"/>
        <v>0</v>
      </c>
      <c r="D129" s="248">
        <f t="shared" si="8"/>
        <v>0</v>
      </c>
      <c r="E129" s="248">
        <f t="shared" si="9"/>
        <v>0</v>
      </c>
      <c r="F129" s="247">
        <v>6</v>
      </c>
      <c r="G129" s="242"/>
      <c r="H129" s="236"/>
      <c r="I129" s="242"/>
    </row>
    <row r="130" spans="1:9">
      <c r="A130" s="290">
        <v>75</v>
      </c>
      <c r="B130" s="248">
        <f t="shared" si="6"/>
        <v>0</v>
      </c>
      <c r="C130" s="248">
        <f t="shared" si="7"/>
        <v>0</v>
      </c>
      <c r="D130" s="248">
        <f t="shared" si="8"/>
        <v>0</v>
      </c>
      <c r="E130" s="248">
        <f t="shared" si="9"/>
        <v>0</v>
      </c>
      <c r="F130" s="247"/>
      <c r="G130" s="242"/>
      <c r="H130" s="236"/>
      <c r="I130" s="242"/>
    </row>
    <row r="131" spans="1:9">
      <c r="A131" s="290">
        <v>76</v>
      </c>
      <c r="B131" s="248">
        <f t="shared" si="6"/>
        <v>0</v>
      </c>
      <c r="C131" s="248">
        <f t="shared" si="7"/>
        <v>0</v>
      </c>
      <c r="D131" s="248">
        <f t="shared" si="8"/>
        <v>0</v>
      </c>
      <c r="E131" s="248">
        <f t="shared" si="9"/>
        <v>0</v>
      </c>
      <c r="F131" s="247"/>
      <c r="G131" s="242"/>
      <c r="H131" s="236"/>
      <c r="I131" s="242"/>
    </row>
    <row r="132" spans="1:9">
      <c r="A132" s="290">
        <v>77</v>
      </c>
      <c r="B132" s="248">
        <f t="shared" si="6"/>
        <v>0</v>
      </c>
      <c r="C132" s="248">
        <f t="shared" si="7"/>
        <v>0</v>
      </c>
      <c r="D132" s="248">
        <f t="shared" si="8"/>
        <v>0</v>
      </c>
      <c r="E132" s="248">
        <f t="shared" si="9"/>
        <v>0</v>
      </c>
      <c r="F132" s="247"/>
      <c r="G132" s="242"/>
      <c r="H132" s="236"/>
      <c r="I132" s="242"/>
    </row>
    <row r="133" spans="1:9">
      <c r="A133" s="290">
        <v>78</v>
      </c>
      <c r="B133" s="248">
        <f t="shared" si="6"/>
        <v>0</v>
      </c>
      <c r="C133" s="248">
        <f t="shared" si="7"/>
        <v>0</v>
      </c>
      <c r="D133" s="248">
        <f t="shared" si="8"/>
        <v>0</v>
      </c>
      <c r="E133" s="248">
        <f t="shared" si="9"/>
        <v>0</v>
      </c>
      <c r="F133" s="247"/>
      <c r="G133" s="291"/>
      <c r="H133" s="256"/>
      <c r="I133" s="242"/>
    </row>
    <row r="134" spans="1:9">
      <c r="A134" s="290">
        <v>79</v>
      </c>
      <c r="B134" s="248">
        <f t="shared" si="6"/>
        <v>0</v>
      </c>
      <c r="C134" s="248">
        <f t="shared" si="7"/>
        <v>0</v>
      </c>
      <c r="D134" s="248">
        <f t="shared" si="8"/>
        <v>0</v>
      </c>
      <c r="E134" s="248">
        <f t="shared" si="9"/>
        <v>0</v>
      </c>
      <c r="F134" s="247"/>
      <c r="G134" s="242"/>
      <c r="H134" s="236"/>
      <c r="I134" s="242"/>
    </row>
    <row r="135" spans="1:9">
      <c r="A135" s="290">
        <v>80</v>
      </c>
      <c r="B135" s="248">
        <f t="shared" si="6"/>
        <v>0</v>
      </c>
      <c r="C135" s="248">
        <f t="shared" si="7"/>
        <v>0</v>
      </c>
      <c r="D135" s="248">
        <f t="shared" si="8"/>
        <v>0</v>
      </c>
      <c r="E135" s="248">
        <f t="shared" si="9"/>
        <v>0</v>
      </c>
      <c r="F135" s="247"/>
      <c r="G135" s="242"/>
      <c r="H135" s="236"/>
      <c r="I135" s="242"/>
    </row>
    <row r="136" spans="1:9">
      <c r="A136" s="290">
        <v>81</v>
      </c>
      <c r="B136" s="248">
        <f t="shared" si="6"/>
        <v>0</v>
      </c>
      <c r="C136" s="248">
        <f t="shared" si="7"/>
        <v>0</v>
      </c>
      <c r="D136" s="248">
        <f t="shared" si="8"/>
        <v>0</v>
      </c>
      <c r="E136" s="248">
        <f t="shared" si="9"/>
        <v>0</v>
      </c>
      <c r="F136" s="247"/>
      <c r="G136" s="242"/>
      <c r="H136" s="236"/>
      <c r="I136" s="242"/>
    </row>
    <row r="137" spans="1:9">
      <c r="A137" s="290">
        <v>82</v>
      </c>
      <c r="B137" s="248">
        <f t="shared" si="6"/>
        <v>0</v>
      </c>
      <c r="C137" s="248">
        <f t="shared" si="7"/>
        <v>0</v>
      </c>
      <c r="D137" s="248">
        <f t="shared" si="8"/>
        <v>0</v>
      </c>
      <c r="E137" s="248">
        <f t="shared" si="9"/>
        <v>0</v>
      </c>
      <c r="F137" s="247"/>
      <c r="G137" s="242"/>
      <c r="H137" s="236"/>
      <c r="I137" s="242"/>
    </row>
    <row r="138" spans="1:9">
      <c r="A138" s="290">
        <v>83</v>
      </c>
      <c r="B138" s="248">
        <f t="shared" si="6"/>
        <v>0</v>
      </c>
      <c r="C138" s="248">
        <f t="shared" si="7"/>
        <v>0</v>
      </c>
      <c r="D138" s="248">
        <f t="shared" si="8"/>
        <v>0</v>
      </c>
      <c r="E138" s="248">
        <f t="shared" si="9"/>
        <v>0</v>
      </c>
      <c r="F138" s="247"/>
      <c r="G138" s="242"/>
      <c r="H138" s="236"/>
      <c r="I138" s="242"/>
    </row>
    <row r="139" spans="1:9">
      <c r="A139" s="290">
        <v>84</v>
      </c>
      <c r="B139" s="248">
        <f t="shared" si="6"/>
        <v>0</v>
      </c>
      <c r="C139" s="248">
        <f t="shared" si="7"/>
        <v>0</v>
      </c>
      <c r="D139" s="248">
        <f t="shared" si="8"/>
        <v>0</v>
      </c>
      <c r="E139" s="248">
        <f t="shared" si="9"/>
        <v>0</v>
      </c>
      <c r="F139" s="247">
        <v>7</v>
      </c>
      <c r="G139" s="291"/>
      <c r="H139" s="256"/>
      <c r="I139" s="291"/>
    </row>
    <row r="140" spans="1:9">
      <c r="A140" s="290">
        <v>85</v>
      </c>
      <c r="B140" s="248">
        <f t="shared" si="6"/>
        <v>0</v>
      </c>
      <c r="C140" s="248">
        <f t="shared" si="7"/>
        <v>0</v>
      </c>
      <c r="D140" s="248">
        <f t="shared" si="8"/>
        <v>0</v>
      </c>
      <c r="E140" s="248">
        <f t="shared" si="9"/>
        <v>0</v>
      </c>
      <c r="F140" s="247"/>
      <c r="G140" s="242"/>
      <c r="H140" s="236"/>
      <c r="I140" s="291"/>
    </row>
    <row r="141" spans="1:9">
      <c r="A141" s="290">
        <v>86</v>
      </c>
      <c r="B141" s="248">
        <f t="shared" si="6"/>
        <v>0</v>
      </c>
      <c r="C141" s="248">
        <f t="shared" si="7"/>
        <v>0</v>
      </c>
      <c r="D141" s="248">
        <f t="shared" si="8"/>
        <v>0</v>
      </c>
      <c r="E141" s="248">
        <f t="shared" si="9"/>
        <v>0</v>
      </c>
      <c r="F141" s="247"/>
      <c r="G141" s="242"/>
      <c r="H141" s="236"/>
      <c r="I141" s="242"/>
    </row>
    <row r="142" spans="1:9">
      <c r="A142" s="290">
        <v>87</v>
      </c>
      <c r="B142" s="248">
        <f t="shared" si="6"/>
        <v>0</v>
      </c>
      <c r="C142" s="248">
        <f t="shared" si="7"/>
        <v>0</v>
      </c>
      <c r="D142" s="248">
        <f t="shared" si="8"/>
        <v>0</v>
      </c>
      <c r="E142" s="248">
        <f t="shared" si="9"/>
        <v>0</v>
      </c>
      <c r="F142" s="247"/>
      <c r="G142" s="242"/>
      <c r="H142" s="236"/>
      <c r="I142" s="242"/>
    </row>
    <row r="143" spans="1:9">
      <c r="A143" s="290">
        <v>88</v>
      </c>
      <c r="B143" s="248">
        <f t="shared" si="6"/>
        <v>0</v>
      </c>
      <c r="C143" s="248">
        <f t="shared" si="7"/>
        <v>0</v>
      </c>
      <c r="D143" s="248">
        <f t="shared" si="8"/>
        <v>0</v>
      </c>
      <c r="E143" s="248">
        <f t="shared" si="9"/>
        <v>0</v>
      </c>
      <c r="F143" s="247"/>
      <c r="G143" s="242"/>
      <c r="H143" s="236"/>
      <c r="I143" s="242"/>
    </row>
    <row r="144" spans="1:9">
      <c r="A144" s="290">
        <v>89</v>
      </c>
      <c r="B144" s="248">
        <f t="shared" si="6"/>
        <v>0</v>
      </c>
      <c r="C144" s="248">
        <f t="shared" si="7"/>
        <v>0</v>
      </c>
      <c r="D144" s="248">
        <f t="shared" si="8"/>
        <v>0</v>
      </c>
      <c r="E144" s="248">
        <f t="shared" si="9"/>
        <v>0</v>
      </c>
      <c r="F144" s="247"/>
      <c r="G144" s="242"/>
      <c r="H144" s="236"/>
      <c r="I144" s="242"/>
    </row>
    <row r="145" spans="1:9">
      <c r="A145" s="290">
        <v>90</v>
      </c>
      <c r="B145" s="248">
        <f t="shared" si="6"/>
        <v>0</v>
      </c>
      <c r="C145" s="248">
        <f t="shared" si="7"/>
        <v>0</v>
      </c>
      <c r="D145" s="248">
        <f t="shared" si="8"/>
        <v>0</v>
      </c>
      <c r="E145" s="248">
        <f t="shared" si="9"/>
        <v>0</v>
      </c>
      <c r="F145" s="247"/>
      <c r="G145" s="291"/>
      <c r="H145" s="256"/>
      <c r="I145" s="242"/>
    </row>
    <row r="146" spans="1:9">
      <c r="A146" s="290">
        <v>91</v>
      </c>
      <c r="B146" s="248">
        <f t="shared" si="6"/>
        <v>0</v>
      </c>
      <c r="C146" s="248">
        <f t="shared" si="7"/>
        <v>0</v>
      </c>
      <c r="D146" s="248">
        <f t="shared" si="8"/>
        <v>0</v>
      </c>
      <c r="E146" s="248">
        <f t="shared" si="9"/>
        <v>0</v>
      </c>
      <c r="F146" s="247"/>
      <c r="G146" s="242"/>
      <c r="H146" s="236"/>
      <c r="I146" s="242"/>
    </row>
    <row r="147" spans="1:9">
      <c r="A147" s="290">
        <v>92</v>
      </c>
      <c r="B147" s="248">
        <f t="shared" si="6"/>
        <v>0</v>
      </c>
      <c r="C147" s="248">
        <f t="shared" si="7"/>
        <v>0</v>
      </c>
      <c r="D147" s="248">
        <f t="shared" si="8"/>
        <v>0</v>
      </c>
      <c r="E147" s="248">
        <f t="shared" si="9"/>
        <v>0</v>
      </c>
      <c r="F147" s="247"/>
      <c r="G147" s="242"/>
      <c r="H147" s="236"/>
      <c r="I147" s="242"/>
    </row>
    <row r="148" spans="1:9">
      <c r="A148" s="290">
        <v>93</v>
      </c>
      <c r="B148" s="248">
        <f t="shared" si="6"/>
        <v>0</v>
      </c>
      <c r="C148" s="248">
        <f t="shared" si="7"/>
        <v>0</v>
      </c>
      <c r="D148" s="248">
        <f t="shared" si="8"/>
        <v>0</v>
      </c>
      <c r="E148" s="248">
        <f t="shared" si="9"/>
        <v>0</v>
      </c>
      <c r="F148" s="247"/>
      <c r="G148" s="242"/>
      <c r="H148" s="236"/>
      <c r="I148" s="242"/>
    </row>
    <row r="149" spans="1:9">
      <c r="A149" s="290">
        <v>94</v>
      </c>
      <c r="B149" s="248">
        <f t="shared" si="6"/>
        <v>0</v>
      </c>
      <c r="C149" s="248">
        <f t="shared" si="7"/>
        <v>0</v>
      </c>
      <c r="D149" s="248">
        <f t="shared" si="8"/>
        <v>0</v>
      </c>
      <c r="E149" s="248">
        <f t="shared" si="9"/>
        <v>0</v>
      </c>
      <c r="F149" s="247"/>
      <c r="G149" s="242"/>
      <c r="H149" s="236"/>
      <c r="I149" s="242"/>
    </row>
    <row r="150" spans="1:9">
      <c r="A150" s="290">
        <v>95</v>
      </c>
      <c r="B150" s="248">
        <f t="shared" si="6"/>
        <v>0</v>
      </c>
      <c r="C150" s="248">
        <f t="shared" si="7"/>
        <v>0</v>
      </c>
      <c r="D150" s="248">
        <f t="shared" si="8"/>
        <v>0</v>
      </c>
      <c r="E150" s="248">
        <f t="shared" si="9"/>
        <v>0</v>
      </c>
      <c r="F150" s="247"/>
      <c r="G150" s="242"/>
      <c r="H150" s="236"/>
      <c r="I150" s="242"/>
    </row>
    <row r="151" spans="1:9">
      <c r="A151" s="290">
        <v>96</v>
      </c>
      <c r="B151" s="248">
        <f t="shared" si="6"/>
        <v>0</v>
      </c>
      <c r="C151" s="248">
        <f t="shared" si="7"/>
        <v>0</v>
      </c>
      <c r="D151" s="248">
        <f t="shared" si="8"/>
        <v>0</v>
      </c>
      <c r="E151" s="248">
        <f t="shared" si="9"/>
        <v>0</v>
      </c>
      <c r="F151" s="247">
        <v>8</v>
      </c>
      <c r="G151" s="291"/>
      <c r="H151" s="256"/>
      <c r="I151" s="291"/>
    </row>
    <row r="152" spans="1:9">
      <c r="A152" s="290">
        <v>97</v>
      </c>
      <c r="B152" s="248">
        <f t="shared" si="6"/>
        <v>0</v>
      </c>
      <c r="C152" s="248">
        <f t="shared" si="7"/>
        <v>0</v>
      </c>
      <c r="D152" s="248">
        <f t="shared" si="8"/>
        <v>0</v>
      </c>
      <c r="E152" s="248">
        <f t="shared" si="9"/>
        <v>0</v>
      </c>
      <c r="F152" s="247"/>
      <c r="G152" s="242"/>
      <c r="H152" s="236"/>
      <c r="I152" s="291"/>
    </row>
    <row r="153" spans="1:9">
      <c r="A153" s="290">
        <v>98</v>
      </c>
      <c r="B153" s="248">
        <f t="shared" si="6"/>
        <v>0</v>
      </c>
      <c r="C153" s="248">
        <f t="shared" si="7"/>
        <v>0</v>
      </c>
      <c r="D153" s="248">
        <f t="shared" si="8"/>
        <v>0</v>
      </c>
      <c r="E153" s="248">
        <f t="shared" si="9"/>
        <v>0</v>
      </c>
      <c r="F153" s="247"/>
      <c r="G153" s="242"/>
      <c r="H153" s="236"/>
      <c r="I153" s="242"/>
    </row>
    <row r="154" spans="1:9">
      <c r="A154" s="290">
        <v>99</v>
      </c>
      <c r="B154" s="248">
        <f t="shared" si="6"/>
        <v>0</v>
      </c>
      <c r="C154" s="248">
        <f t="shared" si="7"/>
        <v>0</v>
      </c>
      <c r="D154" s="248">
        <f t="shared" si="8"/>
        <v>0</v>
      </c>
      <c r="E154" s="248">
        <f t="shared" si="9"/>
        <v>0</v>
      </c>
      <c r="F154" s="247"/>
      <c r="G154" s="242"/>
      <c r="H154" s="236"/>
      <c r="I154" s="242"/>
    </row>
    <row r="155" spans="1:9">
      <c r="A155" s="290">
        <v>100</v>
      </c>
      <c r="B155" s="248">
        <f t="shared" si="6"/>
        <v>0</v>
      </c>
      <c r="C155" s="248">
        <f t="shared" si="7"/>
        <v>0</v>
      </c>
      <c r="D155" s="248">
        <f t="shared" si="8"/>
        <v>0</v>
      </c>
      <c r="E155" s="248">
        <f t="shared" si="9"/>
        <v>0</v>
      </c>
      <c r="F155" s="247"/>
      <c r="G155" s="242"/>
      <c r="H155" s="236"/>
      <c r="I155" s="242"/>
    </row>
    <row r="156" spans="1:9">
      <c r="A156" s="290">
        <v>101</v>
      </c>
      <c r="B156" s="248">
        <f t="shared" si="6"/>
        <v>0</v>
      </c>
      <c r="C156" s="248">
        <f t="shared" si="7"/>
        <v>0</v>
      </c>
      <c r="D156" s="248">
        <f t="shared" si="8"/>
        <v>0</v>
      </c>
      <c r="E156" s="248">
        <f t="shared" si="9"/>
        <v>0</v>
      </c>
      <c r="F156" s="247"/>
      <c r="G156" s="242"/>
      <c r="H156" s="236"/>
      <c r="I156" s="242"/>
    </row>
    <row r="157" spans="1:9">
      <c r="A157" s="290">
        <v>102</v>
      </c>
      <c r="B157" s="248">
        <f t="shared" si="6"/>
        <v>0</v>
      </c>
      <c r="C157" s="248">
        <f t="shared" si="7"/>
        <v>0</v>
      </c>
      <c r="D157" s="248">
        <f t="shared" si="8"/>
        <v>0</v>
      </c>
      <c r="E157" s="248">
        <f t="shared" si="9"/>
        <v>0</v>
      </c>
      <c r="F157" s="247"/>
      <c r="G157" s="291"/>
      <c r="H157" s="256"/>
      <c r="I157" s="242"/>
    </row>
    <row r="158" spans="1:9">
      <c r="A158" s="290">
        <v>103</v>
      </c>
      <c r="B158" s="248">
        <f t="shared" si="6"/>
        <v>0</v>
      </c>
      <c r="C158" s="248">
        <f t="shared" si="7"/>
        <v>0</v>
      </c>
      <c r="D158" s="248">
        <f t="shared" si="8"/>
        <v>0</v>
      </c>
      <c r="E158" s="248">
        <f t="shared" si="9"/>
        <v>0</v>
      </c>
      <c r="F158" s="247"/>
      <c r="G158" s="242"/>
      <c r="H158" s="236"/>
      <c r="I158" s="242"/>
    </row>
    <row r="159" spans="1:9">
      <c r="A159" s="290">
        <v>104</v>
      </c>
      <c r="B159" s="248">
        <f t="shared" si="6"/>
        <v>0</v>
      </c>
      <c r="C159" s="248">
        <f t="shared" si="7"/>
        <v>0</v>
      </c>
      <c r="D159" s="248">
        <f t="shared" si="8"/>
        <v>0</v>
      </c>
      <c r="E159" s="248">
        <f t="shared" si="9"/>
        <v>0</v>
      </c>
      <c r="F159" s="247"/>
      <c r="G159" s="242"/>
      <c r="H159" s="236"/>
      <c r="I159" s="242"/>
    </row>
    <row r="160" spans="1:9">
      <c r="A160" s="290">
        <v>105</v>
      </c>
      <c r="B160" s="248">
        <f t="shared" si="6"/>
        <v>0</v>
      </c>
      <c r="C160" s="248">
        <f t="shared" si="7"/>
        <v>0</v>
      </c>
      <c r="D160" s="248">
        <f t="shared" si="8"/>
        <v>0</v>
      </c>
      <c r="E160" s="248">
        <f t="shared" si="9"/>
        <v>0</v>
      </c>
      <c r="F160" s="247"/>
      <c r="G160" s="242"/>
      <c r="H160" s="236"/>
      <c r="I160" s="242"/>
    </row>
    <row r="161" spans="1:9">
      <c r="A161" s="290">
        <v>106</v>
      </c>
      <c r="B161" s="248">
        <f t="shared" si="6"/>
        <v>0</v>
      </c>
      <c r="C161" s="248">
        <f t="shared" si="7"/>
        <v>0</v>
      </c>
      <c r="D161" s="248">
        <f t="shared" si="8"/>
        <v>0</v>
      </c>
      <c r="E161" s="248">
        <f t="shared" si="9"/>
        <v>0</v>
      </c>
      <c r="F161" s="247"/>
      <c r="G161" s="242"/>
      <c r="H161" s="236"/>
      <c r="I161" s="242"/>
    </row>
    <row r="162" spans="1:9">
      <c r="A162" s="290">
        <v>107</v>
      </c>
      <c r="B162" s="248">
        <f t="shared" si="6"/>
        <v>0</v>
      </c>
      <c r="C162" s="248">
        <f t="shared" si="7"/>
        <v>0</v>
      </c>
      <c r="D162" s="248">
        <f t="shared" si="8"/>
        <v>0</v>
      </c>
      <c r="E162" s="248">
        <f t="shared" si="9"/>
        <v>0</v>
      </c>
      <c r="F162" s="247"/>
      <c r="G162" s="242"/>
      <c r="H162" s="236"/>
      <c r="I162" s="242"/>
    </row>
    <row r="163" spans="1:9">
      <c r="A163" s="290">
        <v>108</v>
      </c>
      <c r="B163" s="248">
        <f t="shared" si="6"/>
        <v>0</v>
      </c>
      <c r="C163" s="248">
        <f t="shared" si="7"/>
        <v>0</v>
      </c>
      <c r="D163" s="248">
        <f t="shared" si="8"/>
        <v>0</v>
      </c>
      <c r="E163" s="248">
        <f t="shared" si="9"/>
        <v>0</v>
      </c>
      <c r="F163" s="247">
        <v>9</v>
      </c>
      <c r="G163" s="291"/>
      <c r="H163" s="256"/>
      <c r="I163" s="291"/>
    </row>
    <row r="164" spans="1:9">
      <c r="A164" s="290">
        <v>109</v>
      </c>
      <c r="B164" s="248">
        <f t="shared" si="6"/>
        <v>0</v>
      </c>
      <c r="C164" s="248">
        <f t="shared" si="7"/>
        <v>0</v>
      </c>
      <c r="D164" s="248">
        <f t="shared" si="8"/>
        <v>0</v>
      </c>
      <c r="E164" s="248">
        <f t="shared" si="9"/>
        <v>0</v>
      </c>
      <c r="F164" s="247"/>
      <c r="G164" s="242"/>
      <c r="H164" s="236"/>
      <c r="I164" s="291"/>
    </row>
    <row r="165" spans="1:9">
      <c r="A165" s="290">
        <v>110</v>
      </c>
      <c r="B165" s="248">
        <f t="shared" si="6"/>
        <v>0</v>
      </c>
      <c r="C165" s="248">
        <f t="shared" si="7"/>
        <v>0</v>
      </c>
      <c r="D165" s="248">
        <f t="shared" si="8"/>
        <v>0</v>
      </c>
      <c r="E165" s="248">
        <f t="shared" si="9"/>
        <v>0</v>
      </c>
      <c r="F165" s="247"/>
      <c r="G165" s="242"/>
      <c r="H165" s="236"/>
      <c r="I165" s="242"/>
    </row>
    <row r="166" spans="1:9">
      <c r="A166" s="290">
        <v>111</v>
      </c>
      <c r="B166" s="248">
        <f t="shared" si="6"/>
        <v>0</v>
      </c>
      <c r="C166" s="248">
        <f t="shared" si="7"/>
        <v>0</v>
      </c>
      <c r="D166" s="248">
        <f t="shared" si="8"/>
        <v>0</v>
      </c>
      <c r="E166" s="248">
        <f t="shared" si="9"/>
        <v>0</v>
      </c>
      <c r="F166" s="247"/>
      <c r="G166" s="242"/>
      <c r="H166" s="236"/>
      <c r="I166" s="242"/>
    </row>
    <row r="167" spans="1:9">
      <c r="A167" s="290">
        <v>112</v>
      </c>
      <c r="B167" s="248">
        <f t="shared" si="6"/>
        <v>0</v>
      </c>
      <c r="C167" s="248">
        <f t="shared" si="7"/>
        <v>0</v>
      </c>
      <c r="D167" s="248">
        <f t="shared" si="8"/>
        <v>0</v>
      </c>
      <c r="E167" s="248">
        <f t="shared" si="9"/>
        <v>0</v>
      </c>
      <c r="F167" s="247"/>
      <c r="G167" s="242"/>
      <c r="H167" s="236"/>
      <c r="I167" s="242"/>
    </row>
    <row r="168" spans="1:9">
      <c r="A168" s="290">
        <v>113</v>
      </c>
      <c r="B168" s="248">
        <f t="shared" si="6"/>
        <v>0</v>
      </c>
      <c r="C168" s="248">
        <f t="shared" si="7"/>
        <v>0</v>
      </c>
      <c r="D168" s="248">
        <f t="shared" si="8"/>
        <v>0</v>
      </c>
      <c r="E168" s="248">
        <f t="shared" si="9"/>
        <v>0</v>
      </c>
      <c r="F168" s="247"/>
      <c r="G168" s="242"/>
      <c r="H168" s="236"/>
      <c r="I168" s="242"/>
    </row>
    <row r="169" spans="1:9">
      <c r="A169" s="290">
        <v>114</v>
      </c>
      <c r="B169" s="248">
        <f t="shared" si="6"/>
        <v>0</v>
      </c>
      <c r="C169" s="248">
        <f t="shared" si="7"/>
        <v>0</v>
      </c>
      <c r="D169" s="248">
        <f t="shared" si="8"/>
        <v>0</v>
      </c>
      <c r="E169" s="248">
        <f t="shared" si="9"/>
        <v>0</v>
      </c>
      <c r="F169" s="247"/>
      <c r="G169" s="291"/>
      <c r="H169" s="256"/>
      <c r="I169" s="242"/>
    </row>
    <row r="170" spans="1:9">
      <c r="A170" s="290">
        <v>115</v>
      </c>
      <c r="B170" s="248">
        <f t="shared" si="6"/>
        <v>0</v>
      </c>
      <c r="C170" s="248">
        <f t="shared" si="7"/>
        <v>0</v>
      </c>
      <c r="D170" s="248">
        <f t="shared" si="8"/>
        <v>0</v>
      </c>
      <c r="E170" s="248">
        <f t="shared" si="9"/>
        <v>0</v>
      </c>
      <c r="F170" s="247"/>
      <c r="G170" s="242"/>
      <c r="H170" s="236"/>
      <c r="I170" s="242"/>
    </row>
    <row r="171" spans="1:9">
      <c r="A171" s="290">
        <v>116</v>
      </c>
      <c r="B171" s="248">
        <f t="shared" si="6"/>
        <v>0</v>
      </c>
      <c r="C171" s="248">
        <f t="shared" si="7"/>
        <v>0</v>
      </c>
      <c r="D171" s="248">
        <f t="shared" si="8"/>
        <v>0</v>
      </c>
      <c r="E171" s="248">
        <f t="shared" si="9"/>
        <v>0</v>
      </c>
      <c r="F171" s="247"/>
      <c r="G171" s="242"/>
      <c r="H171" s="236"/>
      <c r="I171" s="242"/>
    </row>
    <row r="172" spans="1:9">
      <c r="A172" s="290">
        <v>117</v>
      </c>
      <c r="B172" s="248">
        <f t="shared" si="6"/>
        <v>0</v>
      </c>
      <c r="C172" s="248">
        <f t="shared" si="7"/>
        <v>0</v>
      </c>
      <c r="D172" s="248">
        <f t="shared" si="8"/>
        <v>0</v>
      </c>
      <c r="E172" s="248">
        <f t="shared" si="9"/>
        <v>0</v>
      </c>
      <c r="F172" s="247"/>
      <c r="G172" s="242"/>
      <c r="H172" s="236"/>
      <c r="I172" s="242"/>
    </row>
    <row r="173" spans="1:9">
      <c r="A173" s="290">
        <v>118</v>
      </c>
      <c r="B173" s="248">
        <f t="shared" si="6"/>
        <v>0</v>
      </c>
      <c r="C173" s="248">
        <f t="shared" si="7"/>
        <v>0</v>
      </c>
      <c r="D173" s="248">
        <f t="shared" si="8"/>
        <v>0</v>
      </c>
      <c r="E173" s="248">
        <f t="shared" si="9"/>
        <v>0</v>
      </c>
      <c r="F173" s="247"/>
      <c r="G173" s="242"/>
      <c r="H173" s="236"/>
      <c r="I173" s="242"/>
    </row>
    <row r="174" spans="1:9">
      <c r="A174" s="290">
        <v>119</v>
      </c>
      <c r="B174" s="248">
        <f t="shared" si="6"/>
        <v>0</v>
      </c>
      <c r="C174" s="248">
        <f t="shared" si="7"/>
        <v>0</v>
      </c>
      <c r="D174" s="248">
        <f t="shared" si="8"/>
        <v>0</v>
      </c>
      <c r="E174" s="248">
        <f t="shared" si="9"/>
        <v>0</v>
      </c>
      <c r="F174" s="247"/>
      <c r="G174" s="242"/>
      <c r="H174" s="236"/>
      <c r="I174" s="242"/>
    </row>
    <row r="175" spans="1:9">
      <c r="A175" s="290">
        <v>120</v>
      </c>
      <c r="B175" s="248">
        <f t="shared" si="6"/>
        <v>0</v>
      </c>
      <c r="C175" s="248">
        <f t="shared" si="7"/>
        <v>0</v>
      </c>
      <c r="D175" s="248">
        <f t="shared" si="8"/>
        <v>0</v>
      </c>
      <c r="E175" s="248">
        <f t="shared" si="9"/>
        <v>0</v>
      </c>
      <c r="F175" s="247">
        <v>10</v>
      </c>
      <c r="G175" s="291"/>
      <c r="H175" s="256"/>
      <c r="I175" s="291"/>
    </row>
    <row r="176" spans="1:9">
      <c r="A176" s="290">
        <v>121</v>
      </c>
      <c r="B176" s="248">
        <f t="shared" si="6"/>
        <v>0</v>
      </c>
      <c r="C176" s="248">
        <f t="shared" si="7"/>
        <v>0</v>
      </c>
      <c r="D176" s="248">
        <f t="shared" si="8"/>
        <v>0</v>
      </c>
      <c r="E176" s="248">
        <f t="shared" si="9"/>
        <v>0</v>
      </c>
      <c r="F176" s="247"/>
      <c r="G176" s="242"/>
      <c r="H176" s="236"/>
      <c r="I176" s="291"/>
    </row>
    <row r="177" spans="1:9">
      <c r="A177" s="290">
        <v>122</v>
      </c>
      <c r="B177" s="248">
        <f t="shared" si="6"/>
        <v>0</v>
      </c>
      <c r="C177" s="248">
        <f t="shared" si="7"/>
        <v>0</v>
      </c>
      <c r="D177" s="248">
        <f t="shared" si="8"/>
        <v>0</v>
      </c>
      <c r="E177" s="248">
        <f t="shared" si="9"/>
        <v>0</v>
      </c>
      <c r="F177" s="247"/>
      <c r="G177" s="242"/>
      <c r="H177" s="236"/>
      <c r="I177" s="242"/>
    </row>
    <row r="178" spans="1:9">
      <c r="A178" s="290">
        <v>123</v>
      </c>
      <c r="B178" s="248">
        <f t="shared" si="6"/>
        <v>0</v>
      </c>
      <c r="C178" s="248">
        <f t="shared" si="7"/>
        <v>0</v>
      </c>
      <c r="D178" s="248">
        <f t="shared" si="8"/>
        <v>0</v>
      </c>
      <c r="E178" s="248">
        <f t="shared" si="9"/>
        <v>0</v>
      </c>
      <c r="F178" s="247"/>
      <c r="G178" s="242"/>
      <c r="H178" s="236"/>
      <c r="I178" s="242"/>
    </row>
    <row r="179" spans="1:9">
      <c r="A179" s="290">
        <v>124</v>
      </c>
      <c r="B179" s="248">
        <f t="shared" si="6"/>
        <v>0</v>
      </c>
      <c r="C179" s="248">
        <f t="shared" si="7"/>
        <v>0</v>
      </c>
      <c r="D179" s="248">
        <f t="shared" si="8"/>
        <v>0</v>
      </c>
      <c r="E179" s="248">
        <f t="shared" si="9"/>
        <v>0</v>
      </c>
      <c r="F179" s="247"/>
      <c r="G179" s="242"/>
      <c r="H179" s="236"/>
      <c r="I179" s="242"/>
    </row>
    <row r="180" spans="1:9">
      <c r="A180" s="290">
        <v>125</v>
      </c>
      <c r="B180" s="248">
        <f t="shared" si="6"/>
        <v>0</v>
      </c>
      <c r="C180" s="248">
        <f t="shared" si="7"/>
        <v>0</v>
      </c>
      <c r="D180" s="248">
        <f t="shared" si="8"/>
        <v>0</v>
      </c>
      <c r="E180" s="248">
        <f t="shared" si="9"/>
        <v>0</v>
      </c>
      <c r="F180" s="247"/>
      <c r="G180" s="242"/>
      <c r="H180" s="236"/>
      <c r="I180" s="242"/>
    </row>
    <row r="181" spans="1:9">
      <c r="A181" s="290">
        <v>126</v>
      </c>
      <c r="B181" s="248">
        <f t="shared" si="6"/>
        <v>0</v>
      </c>
      <c r="C181" s="248">
        <f t="shared" si="7"/>
        <v>0</v>
      </c>
      <c r="D181" s="248">
        <f t="shared" si="8"/>
        <v>0</v>
      </c>
      <c r="E181" s="248">
        <f t="shared" si="9"/>
        <v>0</v>
      </c>
      <c r="F181" s="247"/>
      <c r="G181" s="291"/>
      <c r="H181" s="256"/>
      <c r="I181" s="242"/>
    </row>
    <row r="182" spans="1:9">
      <c r="A182" s="290">
        <v>127</v>
      </c>
      <c r="B182" s="248">
        <f t="shared" si="6"/>
        <v>0</v>
      </c>
      <c r="C182" s="248">
        <f t="shared" si="7"/>
        <v>0</v>
      </c>
      <c r="D182" s="248">
        <f t="shared" si="8"/>
        <v>0</v>
      </c>
      <c r="E182" s="248">
        <f t="shared" si="9"/>
        <v>0</v>
      </c>
      <c r="F182" s="247"/>
      <c r="G182" s="242"/>
      <c r="H182" s="236"/>
      <c r="I182" s="242"/>
    </row>
    <row r="183" spans="1:9">
      <c r="A183" s="290">
        <v>128</v>
      </c>
      <c r="B183" s="248">
        <f t="shared" si="6"/>
        <v>0</v>
      </c>
      <c r="C183" s="248">
        <f t="shared" si="7"/>
        <v>0</v>
      </c>
      <c r="D183" s="248">
        <f t="shared" si="8"/>
        <v>0</v>
      </c>
      <c r="E183" s="248">
        <f t="shared" si="9"/>
        <v>0</v>
      </c>
      <c r="F183" s="247"/>
      <c r="G183" s="242"/>
      <c r="H183" s="236"/>
      <c r="I183" s="242"/>
    </row>
    <row r="184" spans="1:9">
      <c r="A184" s="290">
        <v>129</v>
      </c>
      <c r="B184" s="248">
        <f t="shared" ref="B184:B247" si="10">IF(A184&gt;12*$D$14,0,$D$20)</f>
        <v>0</v>
      </c>
      <c r="C184" s="248">
        <f t="shared" ref="C184:C247" si="11">IF(A184&gt;12*$D$14,0,E183*$D$10/12)</f>
        <v>0</v>
      </c>
      <c r="D184" s="248">
        <f t="shared" ref="D184:D247" si="12">IF(A184&gt;12*$D$14,0,B184-C184)</f>
        <v>0</v>
      </c>
      <c r="E184" s="248">
        <f t="shared" ref="E184:E247" si="13">IF(A184&gt;12*$D$14,0,E183-D184)</f>
        <v>0</v>
      </c>
      <c r="F184" s="247"/>
      <c r="G184" s="242"/>
      <c r="H184" s="236"/>
      <c r="I184" s="242"/>
    </row>
    <row r="185" spans="1:9">
      <c r="A185" s="290">
        <v>130</v>
      </c>
      <c r="B185" s="248">
        <f t="shared" si="10"/>
        <v>0</v>
      </c>
      <c r="C185" s="248">
        <f t="shared" si="11"/>
        <v>0</v>
      </c>
      <c r="D185" s="248">
        <f t="shared" si="12"/>
        <v>0</v>
      </c>
      <c r="E185" s="248">
        <f t="shared" si="13"/>
        <v>0</v>
      </c>
      <c r="F185" s="247"/>
      <c r="G185" s="242"/>
      <c r="H185" s="236"/>
      <c r="I185" s="242"/>
    </row>
    <row r="186" spans="1:9">
      <c r="A186" s="290">
        <v>131</v>
      </c>
      <c r="B186" s="248">
        <f t="shared" si="10"/>
        <v>0</v>
      </c>
      <c r="C186" s="248">
        <f t="shared" si="11"/>
        <v>0</v>
      </c>
      <c r="D186" s="248">
        <f t="shared" si="12"/>
        <v>0</v>
      </c>
      <c r="E186" s="248">
        <f t="shared" si="13"/>
        <v>0</v>
      </c>
      <c r="F186" s="247"/>
      <c r="G186" s="242"/>
      <c r="H186" s="236"/>
      <c r="I186" s="242"/>
    </row>
    <row r="187" spans="1:9">
      <c r="A187" s="290">
        <v>132</v>
      </c>
      <c r="B187" s="248">
        <f t="shared" si="10"/>
        <v>0</v>
      </c>
      <c r="C187" s="248">
        <f t="shared" si="11"/>
        <v>0</v>
      </c>
      <c r="D187" s="248">
        <f t="shared" si="12"/>
        <v>0</v>
      </c>
      <c r="E187" s="248">
        <f t="shared" si="13"/>
        <v>0</v>
      </c>
      <c r="F187" s="247">
        <v>11</v>
      </c>
      <c r="G187" s="291"/>
      <c r="H187" s="256"/>
      <c r="I187" s="291"/>
    </row>
    <row r="188" spans="1:9">
      <c r="A188" s="290">
        <v>133</v>
      </c>
      <c r="B188" s="248">
        <f t="shared" si="10"/>
        <v>0</v>
      </c>
      <c r="C188" s="248">
        <f t="shared" si="11"/>
        <v>0</v>
      </c>
      <c r="D188" s="248">
        <f t="shared" si="12"/>
        <v>0</v>
      </c>
      <c r="E188" s="248">
        <f t="shared" si="13"/>
        <v>0</v>
      </c>
      <c r="F188" s="247"/>
      <c r="G188" s="242"/>
      <c r="H188" s="236"/>
      <c r="I188" s="291"/>
    </row>
    <row r="189" spans="1:9">
      <c r="A189" s="290">
        <v>134</v>
      </c>
      <c r="B189" s="248">
        <f t="shared" si="10"/>
        <v>0</v>
      </c>
      <c r="C189" s="248">
        <f t="shared" si="11"/>
        <v>0</v>
      </c>
      <c r="D189" s="248">
        <f t="shared" si="12"/>
        <v>0</v>
      </c>
      <c r="E189" s="248">
        <f t="shared" si="13"/>
        <v>0</v>
      </c>
      <c r="F189" s="247"/>
      <c r="G189" s="242"/>
      <c r="H189" s="236"/>
      <c r="I189" s="242"/>
    </row>
    <row r="190" spans="1:9">
      <c r="A190" s="290">
        <v>135</v>
      </c>
      <c r="B190" s="248">
        <f t="shared" si="10"/>
        <v>0</v>
      </c>
      <c r="C190" s="248">
        <f t="shared" si="11"/>
        <v>0</v>
      </c>
      <c r="D190" s="248">
        <f t="shared" si="12"/>
        <v>0</v>
      </c>
      <c r="E190" s="248">
        <f t="shared" si="13"/>
        <v>0</v>
      </c>
      <c r="F190" s="247"/>
      <c r="G190" s="242"/>
      <c r="H190" s="236"/>
      <c r="I190" s="242"/>
    </row>
    <row r="191" spans="1:9">
      <c r="A191" s="290">
        <v>136</v>
      </c>
      <c r="B191" s="248">
        <f t="shared" si="10"/>
        <v>0</v>
      </c>
      <c r="C191" s="248">
        <f t="shared" si="11"/>
        <v>0</v>
      </c>
      <c r="D191" s="248">
        <f t="shared" si="12"/>
        <v>0</v>
      </c>
      <c r="E191" s="248">
        <f t="shared" si="13"/>
        <v>0</v>
      </c>
      <c r="F191" s="247"/>
      <c r="G191" s="242"/>
      <c r="H191" s="236"/>
      <c r="I191" s="242"/>
    </row>
    <row r="192" spans="1:9">
      <c r="A192" s="290">
        <v>137</v>
      </c>
      <c r="B192" s="248">
        <f t="shared" si="10"/>
        <v>0</v>
      </c>
      <c r="C192" s="248">
        <f t="shared" si="11"/>
        <v>0</v>
      </c>
      <c r="D192" s="248">
        <f t="shared" si="12"/>
        <v>0</v>
      </c>
      <c r="E192" s="248">
        <f t="shared" si="13"/>
        <v>0</v>
      </c>
      <c r="F192" s="247"/>
      <c r="G192" s="242"/>
      <c r="H192" s="236"/>
      <c r="I192" s="242"/>
    </row>
    <row r="193" spans="1:9">
      <c r="A193" s="290">
        <v>138</v>
      </c>
      <c r="B193" s="248">
        <f t="shared" si="10"/>
        <v>0</v>
      </c>
      <c r="C193" s="248">
        <f t="shared" si="11"/>
        <v>0</v>
      </c>
      <c r="D193" s="248">
        <f t="shared" si="12"/>
        <v>0</v>
      </c>
      <c r="E193" s="248">
        <f t="shared" si="13"/>
        <v>0</v>
      </c>
      <c r="F193" s="247"/>
      <c r="G193" s="291"/>
      <c r="H193" s="256"/>
      <c r="I193" s="242"/>
    </row>
    <row r="194" spans="1:9">
      <c r="A194" s="290">
        <v>139</v>
      </c>
      <c r="B194" s="248">
        <f t="shared" si="10"/>
        <v>0</v>
      </c>
      <c r="C194" s="248">
        <f t="shared" si="11"/>
        <v>0</v>
      </c>
      <c r="D194" s="248">
        <f t="shared" si="12"/>
        <v>0</v>
      </c>
      <c r="E194" s="248">
        <f t="shared" si="13"/>
        <v>0</v>
      </c>
      <c r="F194" s="247"/>
      <c r="G194" s="242"/>
      <c r="H194" s="236"/>
      <c r="I194" s="242"/>
    </row>
    <row r="195" spans="1:9">
      <c r="A195" s="290">
        <v>140</v>
      </c>
      <c r="B195" s="248">
        <f t="shared" si="10"/>
        <v>0</v>
      </c>
      <c r="C195" s="248">
        <f t="shared" si="11"/>
        <v>0</v>
      </c>
      <c r="D195" s="248">
        <f t="shared" si="12"/>
        <v>0</v>
      </c>
      <c r="E195" s="248">
        <f t="shared" si="13"/>
        <v>0</v>
      </c>
      <c r="F195" s="247"/>
      <c r="G195" s="242"/>
      <c r="H195" s="236"/>
      <c r="I195" s="242"/>
    </row>
    <row r="196" spans="1:9">
      <c r="A196" s="290">
        <v>141</v>
      </c>
      <c r="B196" s="248">
        <f t="shared" si="10"/>
        <v>0</v>
      </c>
      <c r="C196" s="248">
        <f t="shared" si="11"/>
        <v>0</v>
      </c>
      <c r="D196" s="248">
        <f t="shared" si="12"/>
        <v>0</v>
      </c>
      <c r="E196" s="248">
        <f t="shared" si="13"/>
        <v>0</v>
      </c>
      <c r="F196" s="247"/>
      <c r="G196" s="242"/>
      <c r="H196" s="236"/>
      <c r="I196" s="242"/>
    </row>
    <row r="197" spans="1:9">
      <c r="A197" s="290">
        <v>142</v>
      </c>
      <c r="B197" s="248">
        <f t="shared" si="10"/>
        <v>0</v>
      </c>
      <c r="C197" s="248">
        <f t="shared" si="11"/>
        <v>0</v>
      </c>
      <c r="D197" s="248">
        <f t="shared" si="12"/>
        <v>0</v>
      </c>
      <c r="E197" s="248">
        <f t="shared" si="13"/>
        <v>0</v>
      </c>
      <c r="F197" s="247"/>
      <c r="G197" s="242"/>
      <c r="H197" s="236"/>
      <c r="I197" s="242"/>
    </row>
    <row r="198" spans="1:9">
      <c r="A198" s="290">
        <v>143</v>
      </c>
      <c r="B198" s="248">
        <f t="shared" si="10"/>
        <v>0</v>
      </c>
      <c r="C198" s="248">
        <f t="shared" si="11"/>
        <v>0</v>
      </c>
      <c r="D198" s="248">
        <f t="shared" si="12"/>
        <v>0</v>
      </c>
      <c r="E198" s="248">
        <f t="shared" si="13"/>
        <v>0</v>
      </c>
      <c r="F198" s="247"/>
      <c r="G198" s="242"/>
      <c r="H198" s="236"/>
      <c r="I198" s="242"/>
    </row>
    <row r="199" spans="1:9">
      <c r="A199" s="292">
        <v>144</v>
      </c>
      <c r="B199" s="248">
        <f t="shared" si="10"/>
        <v>0</v>
      </c>
      <c r="C199" s="248">
        <f t="shared" si="11"/>
        <v>0</v>
      </c>
      <c r="D199" s="248">
        <f t="shared" si="12"/>
        <v>0</v>
      </c>
      <c r="E199" s="248">
        <f t="shared" si="13"/>
        <v>0</v>
      </c>
      <c r="F199" s="249">
        <v>12</v>
      </c>
      <c r="G199" s="291"/>
      <c r="H199" s="256"/>
      <c r="I199" s="291"/>
    </row>
    <row r="200" spans="1:9">
      <c r="A200" s="290">
        <v>145</v>
      </c>
      <c r="B200" s="248">
        <f t="shared" si="10"/>
        <v>0</v>
      </c>
      <c r="C200" s="248">
        <f t="shared" si="11"/>
        <v>0</v>
      </c>
      <c r="D200" s="248">
        <f t="shared" si="12"/>
        <v>0</v>
      </c>
      <c r="E200" s="248">
        <f t="shared" si="13"/>
        <v>0</v>
      </c>
      <c r="F200" s="247"/>
      <c r="G200" s="242"/>
      <c r="H200" s="236"/>
      <c r="I200" s="291"/>
    </row>
    <row r="201" spans="1:9">
      <c r="A201" s="290">
        <v>146</v>
      </c>
      <c r="B201" s="248">
        <f t="shared" si="10"/>
        <v>0</v>
      </c>
      <c r="C201" s="248">
        <f t="shared" si="11"/>
        <v>0</v>
      </c>
      <c r="D201" s="248">
        <f t="shared" si="12"/>
        <v>0</v>
      </c>
      <c r="E201" s="248">
        <f t="shared" si="13"/>
        <v>0</v>
      </c>
      <c r="F201" s="247"/>
      <c r="G201" s="242"/>
      <c r="H201" s="236"/>
      <c r="I201" s="242"/>
    </row>
    <row r="202" spans="1:9">
      <c r="A202" s="290">
        <v>147</v>
      </c>
      <c r="B202" s="248">
        <f t="shared" si="10"/>
        <v>0</v>
      </c>
      <c r="C202" s="248">
        <f t="shared" si="11"/>
        <v>0</v>
      </c>
      <c r="D202" s="248">
        <f t="shared" si="12"/>
        <v>0</v>
      </c>
      <c r="E202" s="248">
        <f t="shared" si="13"/>
        <v>0</v>
      </c>
      <c r="F202" s="247"/>
      <c r="G202" s="242"/>
      <c r="H202" s="236"/>
      <c r="I202" s="242"/>
    </row>
    <row r="203" spans="1:9">
      <c r="A203" s="290">
        <v>148</v>
      </c>
      <c r="B203" s="248">
        <f t="shared" si="10"/>
        <v>0</v>
      </c>
      <c r="C203" s="248">
        <f t="shared" si="11"/>
        <v>0</v>
      </c>
      <c r="D203" s="248">
        <f t="shared" si="12"/>
        <v>0</v>
      </c>
      <c r="E203" s="248">
        <f t="shared" si="13"/>
        <v>0</v>
      </c>
      <c r="F203" s="247"/>
      <c r="G203" s="242"/>
      <c r="H203" s="236"/>
      <c r="I203" s="242"/>
    </row>
    <row r="204" spans="1:9">
      <c r="A204" s="290">
        <v>149</v>
      </c>
      <c r="B204" s="248">
        <f t="shared" si="10"/>
        <v>0</v>
      </c>
      <c r="C204" s="248">
        <f t="shared" si="11"/>
        <v>0</v>
      </c>
      <c r="D204" s="248">
        <f t="shared" si="12"/>
        <v>0</v>
      </c>
      <c r="E204" s="248">
        <f t="shared" si="13"/>
        <v>0</v>
      </c>
      <c r="F204" s="247"/>
      <c r="G204" s="242"/>
      <c r="H204" s="236"/>
      <c r="I204" s="242"/>
    </row>
    <row r="205" spans="1:9">
      <c r="A205" s="290">
        <v>150</v>
      </c>
      <c r="B205" s="248">
        <f t="shared" si="10"/>
        <v>0</v>
      </c>
      <c r="C205" s="248">
        <f t="shared" si="11"/>
        <v>0</v>
      </c>
      <c r="D205" s="248">
        <f t="shared" si="12"/>
        <v>0</v>
      </c>
      <c r="E205" s="248">
        <f t="shared" si="13"/>
        <v>0</v>
      </c>
      <c r="F205" s="247"/>
      <c r="G205" s="291"/>
      <c r="H205" s="256"/>
      <c r="I205" s="242"/>
    </row>
    <row r="206" spans="1:9">
      <c r="A206" s="290">
        <v>151</v>
      </c>
      <c r="B206" s="248">
        <f t="shared" si="10"/>
        <v>0</v>
      </c>
      <c r="C206" s="248">
        <f t="shared" si="11"/>
        <v>0</v>
      </c>
      <c r="D206" s="248">
        <f t="shared" si="12"/>
        <v>0</v>
      </c>
      <c r="E206" s="248">
        <f t="shared" si="13"/>
        <v>0</v>
      </c>
      <c r="F206" s="247"/>
      <c r="G206" s="242"/>
      <c r="H206" s="236"/>
      <c r="I206" s="242"/>
    </row>
    <row r="207" spans="1:9">
      <c r="A207" s="290">
        <v>152</v>
      </c>
      <c r="B207" s="248">
        <f t="shared" si="10"/>
        <v>0</v>
      </c>
      <c r="C207" s="248">
        <f t="shared" si="11"/>
        <v>0</v>
      </c>
      <c r="D207" s="248">
        <f t="shared" si="12"/>
        <v>0</v>
      </c>
      <c r="E207" s="248">
        <f t="shared" si="13"/>
        <v>0</v>
      </c>
      <c r="F207" s="247"/>
      <c r="G207" s="242"/>
      <c r="H207" s="236"/>
      <c r="I207" s="242"/>
    </row>
    <row r="208" spans="1:9">
      <c r="A208" s="290">
        <v>153</v>
      </c>
      <c r="B208" s="248">
        <f t="shared" si="10"/>
        <v>0</v>
      </c>
      <c r="C208" s="248">
        <f t="shared" si="11"/>
        <v>0</v>
      </c>
      <c r="D208" s="248">
        <f t="shared" si="12"/>
        <v>0</v>
      </c>
      <c r="E208" s="248">
        <f t="shared" si="13"/>
        <v>0</v>
      </c>
      <c r="F208" s="247"/>
      <c r="G208" s="242"/>
      <c r="H208" s="236"/>
      <c r="I208" s="242"/>
    </row>
    <row r="209" spans="1:9">
      <c r="A209" s="290">
        <v>154</v>
      </c>
      <c r="B209" s="248">
        <f t="shared" si="10"/>
        <v>0</v>
      </c>
      <c r="C209" s="248">
        <f t="shared" si="11"/>
        <v>0</v>
      </c>
      <c r="D209" s="248">
        <f t="shared" si="12"/>
        <v>0</v>
      </c>
      <c r="E209" s="248">
        <f t="shared" si="13"/>
        <v>0</v>
      </c>
      <c r="F209" s="247"/>
      <c r="G209" s="242"/>
      <c r="H209" s="236"/>
      <c r="I209" s="242"/>
    </row>
    <row r="210" spans="1:9">
      <c r="A210" s="290">
        <v>155</v>
      </c>
      <c r="B210" s="248">
        <f t="shared" si="10"/>
        <v>0</v>
      </c>
      <c r="C210" s="248">
        <f t="shared" si="11"/>
        <v>0</v>
      </c>
      <c r="D210" s="248">
        <f t="shared" si="12"/>
        <v>0</v>
      </c>
      <c r="E210" s="248">
        <f t="shared" si="13"/>
        <v>0</v>
      </c>
      <c r="F210" s="247"/>
      <c r="G210" s="242"/>
      <c r="H210" s="236"/>
      <c r="I210" s="242"/>
    </row>
    <row r="211" spans="1:9">
      <c r="A211" s="292">
        <v>156</v>
      </c>
      <c r="B211" s="248">
        <f t="shared" si="10"/>
        <v>0</v>
      </c>
      <c r="C211" s="248">
        <f t="shared" si="11"/>
        <v>0</v>
      </c>
      <c r="D211" s="248">
        <f t="shared" si="12"/>
        <v>0</v>
      </c>
      <c r="E211" s="248">
        <f t="shared" si="13"/>
        <v>0</v>
      </c>
      <c r="F211" s="249">
        <v>13</v>
      </c>
      <c r="G211" s="291"/>
      <c r="H211" s="256"/>
      <c r="I211" s="291"/>
    </row>
    <row r="212" spans="1:9">
      <c r="A212" s="290">
        <v>157</v>
      </c>
      <c r="B212" s="248">
        <f t="shared" si="10"/>
        <v>0</v>
      </c>
      <c r="C212" s="248">
        <f t="shared" si="11"/>
        <v>0</v>
      </c>
      <c r="D212" s="248">
        <f t="shared" si="12"/>
        <v>0</v>
      </c>
      <c r="E212" s="248">
        <f t="shared" si="13"/>
        <v>0</v>
      </c>
      <c r="F212" s="247"/>
      <c r="G212" s="242"/>
      <c r="H212" s="236"/>
      <c r="I212" s="291"/>
    </row>
    <row r="213" spans="1:9">
      <c r="A213" s="290">
        <v>158</v>
      </c>
      <c r="B213" s="248">
        <f t="shared" si="10"/>
        <v>0</v>
      </c>
      <c r="C213" s="248">
        <f t="shared" si="11"/>
        <v>0</v>
      </c>
      <c r="D213" s="248">
        <f t="shared" si="12"/>
        <v>0</v>
      </c>
      <c r="E213" s="248">
        <f t="shared" si="13"/>
        <v>0</v>
      </c>
      <c r="F213" s="247"/>
      <c r="G213" s="242"/>
      <c r="H213" s="236"/>
      <c r="I213" s="242"/>
    </row>
    <row r="214" spans="1:9">
      <c r="A214" s="290">
        <v>159</v>
      </c>
      <c r="B214" s="248">
        <f t="shared" si="10"/>
        <v>0</v>
      </c>
      <c r="C214" s="248">
        <f t="shared" si="11"/>
        <v>0</v>
      </c>
      <c r="D214" s="248">
        <f t="shared" si="12"/>
        <v>0</v>
      </c>
      <c r="E214" s="248">
        <f t="shared" si="13"/>
        <v>0</v>
      </c>
      <c r="F214" s="247"/>
      <c r="G214" s="242"/>
      <c r="H214" s="236"/>
      <c r="I214" s="242"/>
    </row>
    <row r="215" spans="1:9">
      <c r="A215" s="290">
        <v>160</v>
      </c>
      <c r="B215" s="248">
        <f t="shared" si="10"/>
        <v>0</v>
      </c>
      <c r="C215" s="248">
        <f t="shared" si="11"/>
        <v>0</v>
      </c>
      <c r="D215" s="248">
        <f t="shared" si="12"/>
        <v>0</v>
      </c>
      <c r="E215" s="248">
        <f t="shared" si="13"/>
        <v>0</v>
      </c>
      <c r="F215" s="247"/>
      <c r="G215" s="242"/>
      <c r="H215" s="236"/>
      <c r="I215" s="242"/>
    </row>
    <row r="216" spans="1:9">
      <c r="A216" s="290">
        <v>161</v>
      </c>
      <c r="B216" s="248">
        <f t="shared" si="10"/>
        <v>0</v>
      </c>
      <c r="C216" s="248">
        <f t="shared" si="11"/>
        <v>0</v>
      </c>
      <c r="D216" s="248">
        <f t="shared" si="12"/>
        <v>0</v>
      </c>
      <c r="E216" s="248">
        <f t="shared" si="13"/>
        <v>0</v>
      </c>
      <c r="F216" s="247"/>
      <c r="G216" s="242"/>
      <c r="H216" s="236"/>
      <c r="I216" s="242"/>
    </row>
    <row r="217" spans="1:9">
      <c r="A217" s="290">
        <v>162</v>
      </c>
      <c r="B217" s="248">
        <f t="shared" si="10"/>
        <v>0</v>
      </c>
      <c r="C217" s="248">
        <f t="shared" si="11"/>
        <v>0</v>
      </c>
      <c r="D217" s="248">
        <f t="shared" si="12"/>
        <v>0</v>
      </c>
      <c r="E217" s="248">
        <f t="shared" si="13"/>
        <v>0</v>
      </c>
      <c r="F217" s="247"/>
      <c r="G217" s="291"/>
      <c r="H217" s="256"/>
      <c r="I217" s="242"/>
    </row>
    <row r="218" spans="1:9">
      <c r="A218" s="290">
        <v>163</v>
      </c>
      <c r="B218" s="248">
        <f t="shared" si="10"/>
        <v>0</v>
      </c>
      <c r="C218" s="248">
        <f t="shared" si="11"/>
        <v>0</v>
      </c>
      <c r="D218" s="248">
        <f t="shared" si="12"/>
        <v>0</v>
      </c>
      <c r="E218" s="248">
        <f t="shared" si="13"/>
        <v>0</v>
      </c>
      <c r="F218" s="247"/>
      <c r="G218" s="242"/>
      <c r="H218" s="236"/>
      <c r="I218" s="242"/>
    </row>
    <row r="219" spans="1:9">
      <c r="A219" s="290">
        <v>164</v>
      </c>
      <c r="B219" s="248">
        <f t="shared" si="10"/>
        <v>0</v>
      </c>
      <c r="C219" s="248">
        <f t="shared" si="11"/>
        <v>0</v>
      </c>
      <c r="D219" s="248">
        <f t="shared" si="12"/>
        <v>0</v>
      </c>
      <c r="E219" s="248">
        <f t="shared" si="13"/>
        <v>0</v>
      </c>
      <c r="F219" s="247"/>
      <c r="G219" s="242"/>
      <c r="H219" s="236"/>
      <c r="I219" s="242"/>
    </row>
    <row r="220" spans="1:9">
      <c r="A220" s="290">
        <v>165</v>
      </c>
      <c r="B220" s="248">
        <f t="shared" si="10"/>
        <v>0</v>
      </c>
      <c r="C220" s="248">
        <f t="shared" si="11"/>
        <v>0</v>
      </c>
      <c r="D220" s="248">
        <f t="shared" si="12"/>
        <v>0</v>
      </c>
      <c r="E220" s="248">
        <f t="shared" si="13"/>
        <v>0</v>
      </c>
      <c r="F220" s="247"/>
      <c r="G220" s="242"/>
      <c r="H220" s="236"/>
      <c r="I220" s="242"/>
    </row>
    <row r="221" spans="1:9">
      <c r="A221" s="290">
        <v>166</v>
      </c>
      <c r="B221" s="248">
        <f t="shared" si="10"/>
        <v>0</v>
      </c>
      <c r="C221" s="248">
        <f t="shared" si="11"/>
        <v>0</v>
      </c>
      <c r="D221" s="248">
        <f t="shared" si="12"/>
        <v>0</v>
      </c>
      <c r="E221" s="248">
        <f t="shared" si="13"/>
        <v>0</v>
      </c>
      <c r="F221" s="247"/>
      <c r="G221" s="242"/>
      <c r="H221" s="236"/>
      <c r="I221" s="242"/>
    </row>
    <row r="222" spans="1:9">
      <c r="A222" s="290">
        <v>167</v>
      </c>
      <c r="B222" s="248">
        <f t="shared" si="10"/>
        <v>0</v>
      </c>
      <c r="C222" s="248">
        <f t="shared" si="11"/>
        <v>0</v>
      </c>
      <c r="D222" s="248">
        <f t="shared" si="12"/>
        <v>0</v>
      </c>
      <c r="E222" s="248">
        <f t="shared" si="13"/>
        <v>0</v>
      </c>
      <c r="F222" s="247"/>
      <c r="G222" s="242"/>
      <c r="H222" s="236"/>
      <c r="I222" s="242"/>
    </row>
    <row r="223" spans="1:9">
      <c r="A223" s="292">
        <v>168</v>
      </c>
      <c r="B223" s="248">
        <f t="shared" si="10"/>
        <v>0</v>
      </c>
      <c r="C223" s="248">
        <f t="shared" si="11"/>
        <v>0</v>
      </c>
      <c r="D223" s="248">
        <f t="shared" si="12"/>
        <v>0</v>
      </c>
      <c r="E223" s="248">
        <f t="shared" si="13"/>
        <v>0</v>
      </c>
      <c r="F223" s="249">
        <v>14</v>
      </c>
      <c r="G223" s="291"/>
      <c r="H223" s="256"/>
      <c r="I223" s="291"/>
    </row>
    <row r="224" spans="1:9">
      <c r="A224" s="290">
        <v>169</v>
      </c>
      <c r="B224" s="248">
        <f t="shared" si="10"/>
        <v>0</v>
      </c>
      <c r="C224" s="248">
        <f t="shared" si="11"/>
        <v>0</v>
      </c>
      <c r="D224" s="248">
        <f t="shared" si="12"/>
        <v>0</v>
      </c>
      <c r="E224" s="248">
        <f t="shared" si="13"/>
        <v>0</v>
      </c>
      <c r="F224" s="247"/>
      <c r="G224" s="242"/>
      <c r="H224" s="236"/>
      <c r="I224" s="291"/>
    </row>
    <row r="225" spans="1:9">
      <c r="A225" s="290">
        <v>170</v>
      </c>
      <c r="B225" s="248">
        <f t="shared" si="10"/>
        <v>0</v>
      </c>
      <c r="C225" s="248">
        <f t="shared" si="11"/>
        <v>0</v>
      </c>
      <c r="D225" s="248">
        <f t="shared" si="12"/>
        <v>0</v>
      </c>
      <c r="E225" s="248">
        <f t="shared" si="13"/>
        <v>0</v>
      </c>
      <c r="F225" s="247"/>
      <c r="G225" s="242"/>
      <c r="H225" s="236"/>
      <c r="I225" s="242"/>
    </row>
    <row r="226" spans="1:9">
      <c r="A226" s="290">
        <v>171</v>
      </c>
      <c r="B226" s="248">
        <f t="shared" si="10"/>
        <v>0</v>
      </c>
      <c r="C226" s="248">
        <f t="shared" si="11"/>
        <v>0</v>
      </c>
      <c r="D226" s="248">
        <f t="shared" si="12"/>
        <v>0</v>
      </c>
      <c r="E226" s="248">
        <f t="shared" si="13"/>
        <v>0</v>
      </c>
      <c r="F226" s="247"/>
      <c r="G226" s="242"/>
      <c r="H226" s="236"/>
      <c r="I226" s="242"/>
    </row>
    <row r="227" spans="1:9">
      <c r="A227" s="290">
        <v>172</v>
      </c>
      <c r="B227" s="248">
        <f t="shared" si="10"/>
        <v>0</v>
      </c>
      <c r="C227" s="248">
        <f t="shared" si="11"/>
        <v>0</v>
      </c>
      <c r="D227" s="248">
        <f t="shared" si="12"/>
        <v>0</v>
      </c>
      <c r="E227" s="248">
        <f t="shared" si="13"/>
        <v>0</v>
      </c>
      <c r="F227" s="247"/>
      <c r="G227" s="242"/>
      <c r="H227" s="236"/>
      <c r="I227" s="242"/>
    </row>
    <row r="228" spans="1:9">
      <c r="A228" s="290">
        <v>173</v>
      </c>
      <c r="B228" s="248">
        <f t="shared" si="10"/>
        <v>0</v>
      </c>
      <c r="C228" s="248">
        <f t="shared" si="11"/>
        <v>0</v>
      </c>
      <c r="D228" s="248">
        <f t="shared" si="12"/>
        <v>0</v>
      </c>
      <c r="E228" s="248">
        <f t="shared" si="13"/>
        <v>0</v>
      </c>
      <c r="F228" s="247"/>
      <c r="G228" s="242"/>
      <c r="H228" s="236"/>
      <c r="I228" s="242"/>
    </row>
    <row r="229" spans="1:9">
      <c r="A229" s="290">
        <v>174</v>
      </c>
      <c r="B229" s="248">
        <f t="shared" si="10"/>
        <v>0</v>
      </c>
      <c r="C229" s="248">
        <f t="shared" si="11"/>
        <v>0</v>
      </c>
      <c r="D229" s="248">
        <f t="shared" si="12"/>
        <v>0</v>
      </c>
      <c r="E229" s="248">
        <f t="shared" si="13"/>
        <v>0</v>
      </c>
      <c r="F229" s="247"/>
      <c r="G229" s="291"/>
      <c r="H229" s="256"/>
      <c r="I229" s="242"/>
    </row>
    <row r="230" spans="1:9">
      <c r="A230" s="290">
        <v>175</v>
      </c>
      <c r="B230" s="248">
        <f t="shared" si="10"/>
        <v>0</v>
      </c>
      <c r="C230" s="248">
        <f t="shared" si="11"/>
        <v>0</v>
      </c>
      <c r="D230" s="248">
        <f t="shared" si="12"/>
        <v>0</v>
      </c>
      <c r="E230" s="248">
        <f t="shared" si="13"/>
        <v>0</v>
      </c>
      <c r="F230" s="247"/>
      <c r="G230" s="242"/>
      <c r="H230" s="236"/>
      <c r="I230" s="242"/>
    </row>
    <row r="231" spans="1:9">
      <c r="A231" s="290">
        <v>176</v>
      </c>
      <c r="B231" s="248">
        <f t="shared" si="10"/>
        <v>0</v>
      </c>
      <c r="C231" s="248">
        <f t="shared" si="11"/>
        <v>0</v>
      </c>
      <c r="D231" s="248">
        <f t="shared" si="12"/>
        <v>0</v>
      </c>
      <c r="E231" s="248">
        <f t="shared" si="13"/>
        <v>0</v>
      </c>
      <c r="F231" s="247"/>
      <c r="G231" s="242"/>
      <c r="H231" s="236"/>
      <c r="I231" s="242"/>
    </row>
    <row r="232" spans="1:9">
      <c r="A232" s="290">
        <v>177</v>
      </c>
      <c r="B232" s="248">
        <f t="shared" si="10"/>
        <v>0</v>
      </c>
      <c r="C232" s="248">
        <f t="shared" si="11"/>
        <v>0</v>
      </c>
      <c r="D232" s="248">
        <f t="shared" si="12"/>
        <v>0</v>
      </c>
      <c r="E232" s="248">
        <f t="shared" si="13"/>
        <v>0</v>
      </c>
      <c r="F232" s="247"/>
      <c r="G232" s="242"/>
      <c r="H232" s="236"/>
      <c r="I232" s="242"/>
    </row>
    <row r="233" spans="1:9">
      <c r="A233" s="290">
        <v>178</v>
      </c>
      <c r="B233" s="248">
        <f t="shared" si="10"/>
        <v>0</v>
      </c>
      <c r="C233" s="248">
        <f t="shared" si="11"/>
        <v>0</v>
      </c>
      <c r="D233" s="248">
        <f t="shared" si="12"/>
        <v>0</v>
      </c>
      <c r="E233" s="248">
        <f t="shared" si="13"/>
        <v>0</v>
      </c>
      <c r="F233" s="247"/>
      <c r="G233" s="242"/>
      <c r="H233" s="236"/>
      <c r="I233" s="242"/>
    </row>
    <row r="234" spans="1:9">
      <c r="A234" s="290">
        <v>179</v>
      </c>
      <c r="B234" s="248">
        <f t="shared" si="10"/>
        <v>0</v>
      </c>
      <c r="C234" s="248">
        <f t="shared" si="11"/>
        <v>0</v>
      </c>
      <c r="D234" s="248">
        <f t="shared" si="12"/>
        <v>0</v>
      </c>
      <c r="E234" s="248">
        <f t="shared" si="13"/>
        <v>0</v>
      </c>
      <c r="F234" s="247"/>
      <c r="G234" s="242"/>
      <c r="H234" s="236"/>
      <c r="I234" s="242"/>
    </row>
    <row r="235" spans="1:9">
      <c r="A235" s="292">
        <v>180</v>
      </c>
      <c r="B235" s="248">
        <f t="shared" si="10"/>
        <v>0</v>
      </c>
      <c r="C235" s="248">
        <f t="shared" si="11"/>
        <v>0</v>
      </c>
      <c r="D235" s="248">
        <f t="shared" si="12"/>
        <v>0</v>
      </c>
      <c r="E235" s="248">
        <f t="shared" si="13"/>
        <v>0</v>
      </c>
      <c r="F235" s="249">
        <v>15</v>
      </c>
      <c r="G235" s="291"/>
      <c r="H235" s="256"/>
      <c r="I235" s="291"/>
    </row>
    <row r="236" spans="1:9">
      <c r="A236" s="290">
        <v>181</v>
      </c>
      <c r="B236" s="248">
        <f t="shared" si="10"/>
        <v>0</v>
      </c>
      <c r="C236" s="248">
        <f t="shared" si="11"/>
        <v>0</v>
      </c>
      <c r="D236" s="248">
        <f t="shared" si="12"/>
        <v>0</v>
      </c>
      <c r="E236" s="248">
        <f t="shared" si="13"/>
        <v>0</v>
      </c>
      <c r="F236" s="247"/>
      <c r="G236" s="242"/>
      <c r="H236" s="236"/>
      <c r="I236" s="291"/>
    </row>
    <row r="237" spans="1:9">
      <c r="A237" s="292">
        <v>182</v>
      </c>
      <c r="B237" s="248">
        <f t="shared" si="10"/>
        <v>0</v>
      </c>
      <c r="C237" s="248">
        <f t="shared" si="11"/>
        <v>0</v>
      </c>
      <c r="D237" s="248">
        <f t="shared" si="12"/>
        <v>0</v>
      </c>
      <c r="E237" s="248">
        <f t="shared" si="13"/>
        <v>0</v>
      </c>
      <c r="F237" s="247"/>
      <c r="G237" s="242"/>
      <c r="H237" s="236"/>
      <c r="I237" s="242"/>
    </row>
    <row r="238" spans="1:9">
      <c r="A238" s="292">
        <v>183</v>
      </c>
      <c r="B238" s="248">
        <f t="shared" si="10"/>
        <v>0</v>
      </c>
      <c r="C238" s="248">
        <f t="shared" si="11"/>
        <v>0</v>
      </c>
      <c r="D238" s="248">
        <f t="shared" si="12"/>
        <v>0</v>
      </c>
      <c r="E238" s="248">
        <f t="shared" si="13"/>
        <v>0</v>
      </c>
      <c r="F238" s="247"/>
      <c r="G238" s="242"/>
      <c r="H238" s="236"/>
      <c r="I238" s="242"/>
    </row>
    <row r="239" spans="1:9">
      <c r="A239" s="292">
        <v>184</v>
      </c>
      <c r="B239" s="248">
        <f t="shared" si="10"/>
        <v>0</v>
      </c>
      <c r="C239" s="248">
        <f t="shared" si="11"/>
        <v>0</v>
      </c>
      <c r="D239" s="248">
        <f t="shared" si="12"/>
        <v>0</v>
      </c>
      <c r="E239" s="248">
        <f t="shared" si="13"/>
        <v>0</v>
      </c>
      <c r="F239" s="247"/>
      <c r="G239" s="242"/>
      <c r="H239" s="236"/>
      <c r="I239" s="242"/>
    </row>
    <row r="240" spans="1:9">
      <c r="A240" s="292">
        <v>185</v>
      </c>
      <c r="B240" s="248">
        <f t="shared" si="10"/>
        <v>0</v>
      </c>
      <c r="C240" s="248">
        <f t="shared" si="11"/>
        <v>0</v>
      </c>
      <c r="D240" s="248">
        <f t="shared" si="12"/>
        <v>0</v>
      </c>
      <c r="E240" s="248">
        <f t="shared" si="13"/>
        <v>0</v>
      </c>
      <c r="F240" s="247"/>
      <c r="G240" s="242"/>
      <c r="H240" s="236"/>
      <c r="I240" s="242"/>
    </row>
    <row r="241" spans="1:9">
      <c r="A241" s="292">
        <v>186</v>
      </c>
      <c r="B241" s="248">
        <f t="shared" si="10"/>
        <v>0</v>
      </c>
      <c r="C241" s="248">
        <f t="shared" si="11"/>
        <v>0</v>
      </c>
      <c r="D241" s="248">
        <f t="shared" si="12"/>
        <v>0</v>
      </c>
      <c r="E241" s="248">
        <f t="shared" si="13"/>
        <v>0</v>
      </c>
      <c r="F241" s="247"/>
      <c r="G241" s="291"/>
      <c r="H241" s="256"/>
      <c r="I241" s="242"/>
    </row>
    <row r="242" spans="1:9">
      <c r="A242" s="292">
        <v>187</v>
      </c>
      <c r="B242" s="248">
        <f t="shared" si="10"/>
        <v>0</v>
      </c>
      <c r="C242" s="248">
        <f t="shared" si="11"/>
        <v>0</v>
      </c>
      <c r="D242" s="248">
        <f t="shared" si="12"/>
        <v>0</v>
      </c>
      <c r="E242" s="248">
        <f t="shared" si="13"/>
        <v>0</v>
      </c>
      <c r="F242" s="247"/>
      <c r="G242" s="242"/>
      <c r="H242" s="236"/>
      <c r="I242" s="242"/>
    </row>
    <row r="243" spans="1:9">
      <c r="A243" s="292">
        <v>188</v>
      </c>
      <c r="B243" s="248">
        <f t="shared" si="10"/>
        <v>0</v>
      </c>
      <c r="C243" s="248">
        <f t="shared" si="11"/>
        <v>0</v>
      </c>
      <c r="D243" s="248">
        <f t="shared" si="12"/>
        <v>0</v>
      </c>
      <c r="E243" s="248">
        <f t="shared" si="13"/>
        <v>0</v>
      </c>
      <c r="F243" s="247"/>
      <c r="G243" s="242"/>
      <c r="H243" s="236"/>
      <c r="I243" s="242"/>
    </row>
    <row r="244" spans="1:9">
      <c r="A244" s="292">
        <v>189</v>
      </c>
      <c r="B244" s="248">
        <f t="shared" si="10"/>
        <v>0</v>
      </c>
      <c r="C244" s="248">
        <f t="shared" si="11"/>
        <v>0</v>
      </c>
      <c r="D244" s="248">
        <f t="shared" si="12"/>
        <v>0</v>
      </c>
      <c r="E244" s="248">
        <f t="shared" si="13"/>
        <v>0</v>
      </c>
      <c r="F244" s="247"/>
      <c r="G244" s="242"/>
      <c r="H244" s="236"/>
      <c r="I244" s="242"/>
    </row>
    <row r="245" spans="1:9">
      <c r="A245" s="292">
        <v>190</v>
      </c>
      <c r="B245" s="248">
        <f t="shared" si="10"/>
        <v>0</v>
      </c>
      <c r="C245" s="248">
        <f t="shared" si="11"/>
        <v>0</v>
      </c>
      <c r="D245" s="248">
        <f t="shared" si="12"/>
        <v>0</v>
      </c>
      <c r="E245" s="248">
        <f t="shared" si="13"/>
        <v>0</v>
      </c>
      <c r="F245" s="247"/>
      <c r="G245" s="242"/>
      <c r="H245" s="236"/>
      <c r="I245" s="242"/>
    </row>
    <row r="246" spans="1:9">
      <c r="A246" s="292">
        <v>191</v>
      </c>
      <c r="B246" s="248">
        <f t="shared" si="10"/>
        <v>0</v>
      </c>
      <c r="C246" s="248">
        <f t="shared" si="11"/>
        <v>0</v>
      </c>
      <c r="D246" s="248">
        <f t="shared" si="12"/>
        <v>0</v>
      </c>
      <c r="E246" s="248">
        <f t="shared" si="13"/>
        <v>0</v>
      </c>
      <c r="F246" s="247"/>
      <c r="G246" s="242"/>
      <c r="H246" s="236"/>
      <c r="I246" s="242"/>
    </row>
    <row r="247" spans="1:9">
      <c r="A247" s="292">
        <v>192</v>
      </c>
      <c r="B247" s="248">
        <f t="shared" si="10"/>
        <v>0</v>
      </c>
      <c r="C247" s="248">
        <f t="shared" si="11"/>
        <v>0</v>
      </c>
      <c r="D247" s="248">
        <f t="shared" si="12"/>
        <v>0</v>
      </c>
      <c r="E247" s="248">
        <f t="shared" si="13"/>
        <v>0</v>
      </c>
      <c r="F247" s="247">
        <v>16</v>
      </c>
      <c r="G247" s="291"/>
      <c r="H247" s="256"/>
      <c r="I247" s="291"/>
    </row>
    <row r="248" spans="1:9">
      <c r="A248" s="292">
        <v>193</v>
      </c>
      <c r="B248" s="248">
        <f t="shared" ref="B248:B311" si="14">IF(A248&gt;12*$D$14,0,$D$20)</f>
        <v>0</v>
      </c>
      <c r="C248" s="248">
        <f t="shared" ref="C248:C311" si="15">IF(A248&gt;12*$D$14,0,E247*$D$10/12)</f>
        <v>0</v>
      </c>
      <c r="D248" s="248">
        <f t="shared" ref="D248:D311" si="16">IF(A248&gt;12*$D$14,0,B248-C248)</f>
        <v>0</v>
      </c>
      <c r="E248" s="248">
        <f t="shared" ref="E248:E311" si="17">IF(A248&gt;12*$D$14,0,E247-D248)</f>
        <v>0</v>
      </c>
      <c r="F248" s="247"/>
      <c r="G248" s="242"/>
      <c r="H248" s="236"/>
      <c r="I248" s="291"/>
    </row>
    <row r="249" spans="1:9">
      <c r="A249" s="292">
        <v>194</v>
      </c>
      <c r="B249" s="248">
        <f t="shared" si="14"/>
        <v>0</v>
      </c>
      <c r="C249" s="248">
        <f t="shared" si="15"/>
        <v>0</v>
      </c>
      <c r="D249" s="248">
        <f t="shared" si="16"/>
        <v>0</v>
      </c>
      <c r="E249" s="248">
        <f t="shared" si="17"/>
        <v>0</v>
      </c>
      <c r="F249" s="247"/>
      <c r="G249" s="242"/>
      <c r="H249" s="236"/>
      <c r="I249" s="242"/>
    </row>
    <row r="250" spans="1:9">
      <c r="A250" s="292">
        <v>195</v>
      </c>
      <c r="B250" s="248">
        <f t="shared" si="14"/>
        <v>0</v>
      </c>
      <c r="C250" s="248">
        <f t="shared" si="15"/>
        <v>0</v>
      </c>
      <c r="D250" s="248">
        <f t="shared" si="16"/>
        <v>0</v>
      </c>
      <c r="E250" s="248">
        <f t="shared" si="17"/>
        <v>0</v>
      </c>
      <c r="F250" s="247"/>
      <c r="G250" s="242"/>
      <c r="H250" s="236"/>
      <c r="I250" s="242"/>
    </row>
    <row r="251" spans="1:9">
      <c r="A251" s="292">
        <v>196</v>
      </c>
      <c r="B251" s="248">
        <f t="shared" si="14"/>
        <v>0</v>
      </c>
      <c r="C251" s="248">
        <f t="shared" si="15"/>
        <v>0</v>
      </c>
      <c r="D251" s="248">
        <f t="shared" si="16"/>
        <v>0</v>
      </c>
      <c r="E251" s="248">
        <f t="shared" si="17"/>
        <v>0</v>
      </c>
      <c r="F251" s="247"/>
      <c r="G251" s="242"/>
      <c r="H251" s="236"/>
      <c r="I251" s="242"/>
    </row>
    <row r="252" spans="1:9">
      <c r="A252" s="292">
        <v>197</v>
      </c>
      <c r="B252" s="248">
        <f t="shared" si="14"/>
        <v>0</v>
      </c>
      <c r="C252" s="248">
        <f t="shared" si="15"/>
        <v>0</v>
      </c>
      <c r="D252" s="248">
        <f t="shared" si="16"/>
        <v>0</v>
      </c>
      <c r="E252" s="248">
        <f t="shared" si="17"/>
        <v>0</v>
      </c>
      <c r="F252" s="247"/>
      <c r="G252" s="242"/>
      <c r="H252" s="236"/>
      <c r="I252" s="242"/>
    </row>
    <row r="253" spans="1:9">
      <c r="A253" s="292">
        <v>198</v>
      </c>
      <c r="B253" s="248">
        <f t="shared" si="14"/>
        <v>0</v>
      </c>
      <c r="C253" s="248">
        <f t="shared" si="15"/>
        <v>0</v>
      </c>
      <c r="D253" s="248">
        <f t="shared" si="16"/>
        <v>0</v>
      </c>
      <c r="E253" s="248">
        <f t="shared" si="17"/>
        <v>0</v>
      </c>
      <c r="F253" s="247"/>
      <c r="G253" s="291"/>
      <c r="H253" s="256"/>
      <c r="I253" s="242"/>
    </row>
    <row r="254" spans="1:9">
      <c r="A254" s="292">
        <v>199</v>
      </c>
      <c r="B254" s="248">
        <f t="shared" si="14"/>
        <v>0</v>
      </c>
      <c r="C254" s="248">
        <f t="shared" si="15"/>
        <v>0</v>
      </c>
      <c r="D254" s="248">
        <f t="shared" si="16"/>
        <v>0</v>
      </c>
      <c r="E254" s="248">
        <f t="shared" si="17"/>
        <v>0</v>
      </c>
      <c r="F254" s="247"/>
      <c r="G254" s="242"/>
      <c r="H254" s="236"/>
      <c r="I254" s="242"/>
    </row>
    <row r="255" spans="1:9">
      <c r="A255" s="292">
        <v>200</v>
      </c>
      <c r="B255" s="248">
        <f t="shared" si="14"/>
        <v>0</v>
      </c>
      <c r="C255" s="248">
        <f t="shared" si="15"/>
        <v>0</v>
      </c>
      <c r="D255" s="248">
        <f t="shared" si="16"/>
        <v>0</v>
      </c>
      <c r="E255" s="248">
        <f t="shared" si="17"/>
        <v>0</v>
      </c>
      <c r="F255" s="247"/>
      <c r="G255" s="242"/>
      <c r="H255" s="236"/>
      <c r="I255" s="242"/>
    </row>
    <row r="256" spans="1:9">
      <c r="A256" s="292">
        <v>201</v>
      </c>
      <c r="B256" s="248">
        <f t="shared" si="14"/>
        <v>0</v>
      </c>
      <c r="C256" s="248">
        <f t="shared" si="15"/>
        <v>0</v>
      </c>
      <c r="D256" s="248">
        <f t="shared" si="16"/>
        <v>0</v>
      </c>
      <c r="E256" s="248">
        <f t="shared" si="17"/>
        <v>0</v>
      </c>
      <c r="F256" s="247"/>
      <c r="G256" s="242"/>
      <c r="H256" s="236"/>
      <c r="I256" s="242"/>
    </row>
    <row r="257" spans="1:9">
      <c r="A257" s="292">
        <v>202</v>
      </c>
      <c r="B257" s="248">
        <f t="shared" si="14"/>
        <v>0</v>
      </c>
      <c r="C257" s="248">
        <f t="shared" si="15"/>
        <v>0</v>
      </c>
      <c r="D257" s="248">
        <f t="shared" si="16"/>
        <v>0</v>
      </c>
      <c r="E257" s="248">
        <f t="shared" si="17"/>
        <v>0</v>
      </c>
      <c r="F257" s="247"/>
      <c r="G257" s="242"/>
      <c r="H257" s="236"/>
      <c r="I257" s="242"/>
    </row>
    <row r="258" spans="1:9">
      <c r="A258" s="292">
        <v>203</v>
      </c>
      <c r="B258" s="248">
        <f t="shared" si="14"/>
        <v>0</v>
      </c>
      <c r="C258" s="248">
        <f t="shared" si="15"/>
        <v>0</v>
      </c>
      <c r="D258" s="248">
        <f t="shared" si="16"/>
        <v>0</v>
      </c>
      <c r="E258" s="248">
        <f t="shared" si="17"/>
        <v>0</v>
      </c>
      <c r="F258" s="247"/>
      <c r="G258" s="242"/>
      <c r="H258" s="236"/>
      <c r="I258" s="242"/>
    </row>
    <row r="259" spans="1:9">
      <c r="A259" s="292">
        <v>204</v>
      </c>
      <c r="B259" s="248">
        <f t="shared" si="14"/>
        <v>0</v>
      </c>
      <c r="C259" s="248">
        <f t="shared" si="15"/>
        <v>0</v>
      </c>
      <c r="D259" s="248">
        <f t="shared" si="16"/>
        <v>0</v>
      </c>
      <c r="E259" s="248">
        <f t="shared" si="17"/>
        <v>0</v>
      </c>
      <c r="F259" s="247">
        <v>17</v>
      </c>
      <c r="G259" s="291"/>
      <c r="H259" s="256"/>
      <c r="I259" s="291"/>
    </row>
    <row r="260" spans="1:9">
      <c r="A260" s="292">
        <v>205</v>
      </c>
      <c r="B260" s="248">
        <f t="shared" si="14"/>
        <v>0</v>
      </c>
      <c r="C260" s="248">
        <f t="shared" si="15"/>
        <v>0</v>
      </c>
      <c r="D260" s="248">
        <f t="shared" si="16"/>
        <v>0</v>
      </c>
      <c r="E260" s="248">
        <f t="shared" si="17"/>
        <v>0</v>
      </c>
      <c r="F260" s="247"/>
      <c r="G260" s="242"/>
      <c r="H260" s="236"/>
      <c r="I260" s="291"/>
    </row>
    <row r="261" spans="1:9">
      <c r="A261" s="292">
        <v>206</v>
      </c>
      <c r="B261" s="248">
        <f t="shared" si="14"/>
        <v>0</v>
      </c>
      <c r="C261" s="248">
        <f t="shared" si="15"/>
        <v>0</v>
      </c>
      <c r="D261" s="248">
        <f t="shared" si="16"/>
        <v>0</v>
      </c>
      <c r="E261" s="248">
        <f t="shared" si="17"/>
        <v>0</v>
      </c>
      <c r="F261" s="247"/>
      <c r="G261" s="242"/>
      <c r="H261" s="236"/>
      <c r="I261" s="242"/>
    </row>
    <row r="262" spans="1:9">
      <c r="A262" s="292">
        <v>207</v>
      </c>
      <c r="B262" s="248">
        <f t="shared" si="14"/>
        <v>0</v>
      </c>
      <c r="C262" s="248">
        <f t="shared" si="15"/>
        <v>0</v>
      </c>
      <c r="D262" s="248">
        <f t="shared" si="16"/>
        <v>0</v>
      </c>
      <c r="E262" s="248">
        <f t="shared" si="17"/>
        <v>0</v>
      </c>
      <c r="F262" s="247"/>
      <c r="G262" s="242"/>
      <c r="H262" s="236"/>
      <c r="I262" s="242"/>
    </row>
    <row r="263" spans="1:9">
      <c r="A263" s="292">
        <v>208</v>
      </c>
      <c r="B263" s="248">
        <f t="shared" si="14"/>
        <v>0</v>
      </c>
      <c r="C263" s="248">
        <f t="shared" si="15"/>
        <v>0</v>
      </c>
      <c r="D263" s="248">
        <f t="shared" si="16"/>
        <v>0</v>
      </c>
      <c r="E263" s="248">
        <f t="shared" si="17"/>
        <v>0</v>
      </c>
      <c r="F263" s="247"/>
      <c r="G263" s="242"/>
      <c r="H263" s="236"/>
      <c r="I263" s="242"/>
    </row>
    <row r="264" spans="1:9">
      <c r="A264" s="292">
        <v>209</v>
      </c>
      <c r="B264" s="248">
        <f t="shared" si="14"/>
        <v>0</v>
      </c>
      <c r="C264" s="248">
        <f t="shared" si="15"/>
        <v>0</v>
      </c>
      <c r="D264" s="248">
        <f t="shared" si="16"/>
        <v>0</v>
      </c>
      <c r="E264" s="248">
        <f t="shared" si="17"/>
        <v>0</v>
      </c>
      <c r="F264" s="247"/>
      <c r="G264" s="242"/>
      <c r="H264" s="236"/>
      <c r="I264" s="242"/>
    </row>
    <row r="265" spans="1:9">
      <c r="A265" s="292">
        <v>210</v>
      </c>
      <c r="B265" s="248">
        <f t="shared" si="14"/>
        <v>0</v>
      </c>
      <c r="C265" s="248">
        <f t="shared" si="15"/>
        <v>0</v>
      </c>
      <c r="D265" s="248">
        <f t="shared" si="16"/>
        <v>0</v>
      </c>
      <c r="E265" s="248">
        <f t="shared" si="17"/>
        <v>0</v>
      </c>
      <c r="F265" s="247"/>
      <c r="G265" s="291"/>
      <c r="H265" s="256"/>
      <c r="I265" s="242"/>
    </row>
    <row r="266" spans="1:9">
      <c r="A266" s="292">
        <v>211</v>
      </c>
      <c r="B266" s="248">
        <f t="shared" si="14"/>
        <v>0</v>
      </c>
      <c r="C266" s="248">
        <f t="shared" si="15"/>
        <v>0</v>
      </c>
      <c r="D266" s="248">
        <f t="shared" si="16"/>
        <v>0</v>
      </c>
      <c r="E266" s="248">
        <f t="shared" si="17"/>
        <v>0</v>
      </c>
      <c r="F266" s="247"/>
      <c r="G266" s="242"/>
      <c r="H266" s="236"/>
      <c r="I266" s="242"/>
    </row>
    <row r="267" spans="1:9">
      <c r="A267" s="292">
        <v>212</v>
      </c>
      <c r="B267" s="248">
        <f t="shared" si="14"/>
        <v>0</v>
      </c>
      <c r="C267" s="248">
        <f t="shared" si="15"/>
        <v>0</v>
      </c>
      <c r="D267" s="248">
        <f t="shared" si="16"/>
        <v>0</v>
      </c>
      <c r="E267" s="248">
        <f t="shared" si="17"/>
        <v>0</v>
      </c>
      <c r="F267" s="247"/>
      <c r="G267" s="242"/>
      <c r="H267" s="236"/>
      <c r="I267" s="242"/>
    </row>
    <row r="268" spans="1:9">
      <c r="A268" s="292">
        <v>213</v>
      </c>
      <c r="B268" s="248">
        <f t="shared" si="14"/>
        <v>0</v>
      </c>
      <c r="C268" s="248">
        <f t="shared" si="15"/>
        <v>0</v>
      </c>
      <c r="D268" s="248">
        <f t="shared" si="16"/>
        <v>0</v>
      </c>
      <c r="E268" s="248">
        <f t="shared" si="17"/>
        <v>0</v>
      </c>
      <c r="F268" s="247"/>
      <c r="G268" s="242"/>
      <c r="H268" s="236"/>
      <c r="I268" s="242"/>
    </row>
    <row r="269" spans="1:9">
      <c r="A269" s="292">
        <v>214</v>
      </c>
      <c r="B269" s="248">
        <f t="shared" si="14"/>
        <v>0</v>
      </c>
      <c r="C269" s="248">
        <f t="shared" si="15"/>
        <v>0</v>
      </c>
      <c r="D269" s="248">
        <f t="shared" si="16"/>
        <v>0</v>
      </c>
      <c r="E269" s="248">
        <f t="shared" si="17"/>
        <v>0</v>
      </c>
      <c r="F269" s="247"/>
      <c r="G269" s="242"/>
      <c r="H269" s="236"/>
      <c r="I269" s="242"/>
    </row>
    <row r="270" spans="1:9">
      <c r="A270" s="292">
        <v>215</v>
      </c>
      <c r="B270" s="248">
        <f t="shared" si="14"/>
        <v>0</v>
      </c>
      <c r="C270" s="248">
        <f t="shared" si="15"/>
        <v>0</v>
      </c>
      <c r="D270" s="248">
        <f t="shared" si="16"/>
        <v>0</v>
      </c>
      <c r="E270" s="248">
        <f t="shared" si="17"/>
        <v>0</v>
      </c>
      <c r="F270" s="247"/>
      <c r="G270" s="242"/>
      <c r="H270" s="236"/>
      <c r="I270" s="242"/>
    </row>
    <row r="271" spans="1:9">
      <c r="A271" s="292">
        <v>216</v>
      </c>
      <c r="B271" s="248">
        <f t="shared" si="14"/>
        <v>0</v>
      </c>
      <c r="C271" s="248">
        <f t="shared" si="15"/>
        <v>0</v>
      </c>
      <c r="D271" s="248">
        <f t="shared" si="16"/>
        <v>0</v>
      </c>
      <c r="E271" s="248">
        <f t="shared" si="17"/>
        <v>0</v>
      </c>
      <c r="F271" s="247">
        <v>18</v>
      </c>
      <c r="G271" s="291"/>
      <c r="H271" s="256"/>
      <c r="I271" s="291"/>
    </row>
    <row r="272" spans="1:9">
      <c r="A272" s="292">
        <v>217</v>
      </c>
      <c r="B272" s="248">
        <f t="shared" si="14"/>
        <v>0</v>
      </c>
      <c r="C272" s="248">
        <f t="shared" si="15"/>
        <v>0</v>
      </c>
      <c r="D272" s="248">
        <f t="shared" si="16"/>
        <v>0</v>
      </c>
      <c r="E272" s="248">
        <f t="shared" si="17"/>
        <v>0</v>
      </c>
      <c r="F272" s="247"/>
      <c r="G272" s="242"/>
      <c r="H272" s="236"/>
      <c r="I272" s="291"/>
    </row>
    <row r="273" spans="1:9">
      <c r="A273" s="292">
        <v>218</v>
      </c>
      <c r="B273" s="248">
        <f t="shared" si="14"/>
        <v>0</v>
      </c>
      <c r="C273" s="248">
        <f t="shared" si="15"/>
        <v>0</v>
      </c>
      <c r="D273" s="248">
        <f t="shared" si="16"/>
        <v>0</v>
      </c>
      <c r="E273" s="248">
        <f t="shared" si="17"/>
        <v>0</v>
      </c>
      <c r="F273" s="247"/>
      <c r="G273" s="242"/>
      <c r="H273" s="236"/>
      <c r="I273" s="242"/>
    </row>
    <row r="274" spans="1:9">
      <c r="A274" s="292">
        <v>219</v>
      </c>
      <c r="B274" s="248">
        <f t="shared" si="14"/>
        <v>0</v>
      </c>
      <c r="C274" s="248">
        <f t="shared" si="15"/>
        <v>0</v>
      </c>
      <c r="D274" s="248">
        <f t="shared" si="16"/>
        <v>0</v>
      </c>
      <c r="E274" s="248">
        <f t="shared" si="17"/>
        <v>0</v>
      </c>
      <c r="F274" s="247"/>
      <c r="G274" s="242"/>
      <c r="H274" s="236"/>
      <c r="I274" s="242"/>
    </row>
    <row r="275" spans="1:9">
      <c r="A275" s="292">
        <v>220</v>
      </c>
      <c r="B275" s="248">
        <f t="shared" si="14"/>
        <v>0</v>
      </c>
      <c r="C275" s="248">
        <f t="shared" si="15"/>
        <v>0</v>
      </c>
      <c r="D275" s="248">
        <f t="shared" si="16"/>
        <v>0</v>
      </c>
      <c r="E275" s="248">
        <f t="shared" si="17"/>
        <v>0</v>
      </c>
      <c r="F275" s="247"/>
      <c r="G275" s="242"/>
      <c r="H275" s="236"/>
      <c r="I275" s="242"/>
    </row>
    <row r="276" spans="1:9">
      <c r="A276" s="292">
        <v>221</v>
      </c>
      <c r="B276" s="248">
        <f t="shared" si="14"/>
        <v>0</v>
      </c>
      <c r="C276" s="248">
        <f t="shared" si="15"/>
        <v>0</v>
      </c>
      <c r="D276" s="248">
        <f t="shared" si="16"/>
        <v>0</v>
      </c>
      <c r="E276" s="248">
        <f t="shared" si="17"/>
        <v>0</v>
      </c>
      <c r="F276" s="247"/>
      <c r="G276" s="242"/>
      <c r="H276" s="236"/>
      <c r="I276" s="242"/>
    </row>
    <row r="277" spans="1:9">
      <c r="A277" s="292">
        <v>222</v>
      </c>
      <c r="B277" s="248">
        <f t="shared" si="14"/>
        <v>0</v>
      </c>
      <c r="C277" s="248">
        <f t="shared" si="15"/>
        <v>0</v>
      </c>
      <c r="D277" s="248">
        <f t="shared" si="16"/>
        <v>0</v>
      </c>
      <c r="E277" s="248">
        <f t="shared" si="17"/>
        <v>0</v>
      </c>
      <c r="F277" s="247"/>
      <c r="G277" s="291"/>
      <c r="H277" s="256"/>
      <c r="I277" s="242"/>
    </row>
    <row r="278" spans="1:9">
      <c r="A278" s="292">
        <v>223</v>
      </c>
      <c r="B278" s="248">
        <f t="shared" si="14"/>
        <v>0</v>
      </c>
      <c r="C278" s="248">
        <f t="shared" si="15"/>
        <v>0</v>
      </c>
      <c r="D278" s="248">
        <f t="shared" si="16"/>
        <v>0</v>
      </c>
      <c r="E278" s="248">
        <f t="shared" si="17"/>
        <v>0</v>
      </c>
      <c r="F278" s="247"/>
      <c r="G278" s="242"/>
      <c r="H278" s="236"/>
      <c r="I278" s="242"/>
    </row>
    <row r="279" spans="1:9">
      <c r="A279" s="292">
        <v>224</v>
      </c>
      <c r="B279" s="248">
        <f t="shared" si="14"/>
        <v>0</v>
      </c>
      <c r="C279" s="248">
        <f t="shared" si="15"/>
        <v>0</v>
      </c>
      <c r="D279" s="248">
        <f t="shared" si="16"/>
        <v>0</v>
      </c>
      <c r="E279" s="248">
        <f t="shared" si="17"/>
        <v>0</v>
      </c>
      <c r="F279" s="247"/>
      <c r="G279" s="242"/>
      <c r="H279" s="236"/>
      <c r="I279" s="242"/>
    </row>
    <row r="280" spans="1:9">
      <c r="A280" s="292">
        <v>225</v>
      </c>
      <c r="B280" s="248">
        <f t="shared" si="14"/>
        <v>0</v>
      </c>
      <c r="C280" s="248">
        <f t="shared" si="15"/>
        <v>0</v>
      </c>
      <c r="D280" s="248">
        <f t="shared" si="16"/>
        <v>0</v>
      </c>
      <c r="E280" s="248">
        <f t="shared" si="17"/>
        <v>0</v>
      </c>
      <c r="F280" s="247"/>
      <c r="G280" s="242"/>
      <c r="H280" s="236"/>
      <c r="I280" s="242"/>
    </row>
    <row r="281" spans="1:9">
      <c r="A281" s="292">
        <v>226</v>
      </c>
      <c r="B281" s="248">
        <f t="shared" si="14"/>
        <v>0</v>
      </c>
      <c r="C281" s="248">
        <f t="shared" si="15"/>
        <v>0</v>
      </c>
      <c r="D281" s="248">
        <f t="shared" si="16"/>
        <v>0</v>
      </c>
      <c r="E281" s="248">
        <f t="shared" si="17"/>
        <v>0</v>
      </c>
      <c r="F281" s="247"/>
      <c r="G281" s="242"/>
      <c r="H281" s="236"/>
      <c r="I281" s="242"/>
    </row>
    <row r="282" spans="1:9">
      <c r="A282" s="292">
        <v>227</v>
      </c>
      <c r="B282" s="248">
        <f t="shared" si="14"/>
        <v>0</v>
      </c>
      <c r="C282" s="248">
        <f t="shared" si="15"/>
        <v>0</v>
      </c>
      <c r="D282" s="248">
        <f t="shared" si="16"/>
        <v>0</v>
      </c>
      <c r="E282" s="248">
        <f t="shared" si="17"/>
        <v>0</v>
      </c>
      <c r="F282" s="247"/>
      <c r="G282" s="242"/>
      <c r="H282" s="236"/>
      <c r="I282" s="242"/>
    </row>
    <row r="283" spans="1:9">
      <c r="A283" s="292">
        <v>228</v>
      </c>
      <c r="B283" s="248">
        <f t="shared" si="14"/>
        <v>0</v>
      </c>
      <c r="C283" s="248">
        <f t="shared" si="15"/>
        <v>0</v>
      </c>
      <c r="D283" s="248">
        <f t="shared" si="16"/>
        <v>0</v>
      </c>
      <c r="E283" s="248">
        <f t="shared" si="17"/>
        <v>0</v>
      </c>
      <c r="F283" s="247">
        <v>19</v>
      </c>
      <c r="G283" s="291"/>
      <c r="H283" s="256"/>
      <c r="I283" s="291"/>
    </row>
    <row r="284" spans="1:9">
      <c r="A284" s="292">
        <v>229</v>
      </c>
      <c r="B284" s="248">
        <f t="shared" si="14"/>
        <v>0</v>
      </c>
      <c r="C284" s="248">
        <f t="shared" si="15"/>
        <v>0</v>
      </c>
      <c r="D284" s="248">
        <f t="shared" si="16"/>
        <v>0</v>
      </c>
      <c r="E284" s="248">
        <f t="shared" si="17"/>
        <v>0</v>
      </c>
      <c r="F284" s="247"/>
      <c r="G284" s="242"/>
      <c r="H284" s="236"/>
      <c r="I284" s="291"/>
    </row>
    <row r="285" spans="1:9">
      <c r="A285" s="292">
        <v>230</v>
      </c>
      <c r="B285" s="248">
        <f t="shared" si="14"/>
        <v>0</v>
      </c>
      <c r="C285" s="248">
        <f t="shared" si="15"/>
        <v>0</v>
      </c>
      <c r="D285" s="248">
        <f t="shared" si="16"/>
        <v>0</v>
      </c>
      <c r="E285" s="248">
        <f t="shared" si="17"/>
        <v>0</v>
      </c>
      <c r="F285" s="247"/>
      <c r="G285" s="242"/>
      <c r="H285" s="236"/>
      <c r="I285" s="242"/>
    </row>
    <row r="286" spans="1:9">
      <c r="A286" s="292">
        <v>231</v>
      </c>
      <c r="B286" s="248">
        <f t="shared" si="14"/>
        <v>0</v>
      </c>
      <c r="C286" s="248">
        <f t="shared" si="15"/>
        <v>0</v>
      </c>
      <c r="D286" s="248">
        <f t="shared" si="16"/>
        <v>0</v>
      </c>
      <c r="E286" s="248">
        <f t="shared" si="17"/>
        <v>0</v>
      </c>
      <c r="F286" s="247"/>
      <c r="G286" s="242"/>
      <c r="H286" s="236"/>
      <c r="I286" s="242"/>
    </row>
    <row r="287" spans="1:9">
      <c r="A287" s="292">
        <v>232</v>
      </c>
      <c r="B287" s="248">
        <f t="shared" si="14"/>
        <v>0</v>
      </c>
      <c r="C287" s="248">
        <f t="shared" si="15"/>
        <v>0</v>
      </c>
      <c r="D287" s="248">
        <f t="shared" si="16"/>
        <v>0</v>
      </c>
      <c r="E287" s="248">
        <f t="shared" si="17"/>
        <v>0</v>
      </c>
      <c r="F287" s="247"/>
      <c r="G287" s="242"/>
      <c r="H287" s="236"/>
      <c r="I287" s="242"/>
    </row>
    <row r="288" spans="1:9">
      <c r="A288" s="292">
        <v>233</v>
      </c>
      <c r="B288" s="248">
        <f t="shared" si="14"/>
        <v>0</v>
      </c>
      <c r="C288" s="248">
        <f t="shared" si="15"/>
        <v>0</v>
      </c>
      <c r="D288" s="248">
        <f t="shared" si="16"/>
        <v>0</v>
      </c>
      <c r="E288" s="248">
        <f t="shared" si="17"/>
        <v>0</v>
      </c>
      <c r="F288" s="247"/>
      <c r="G288" s="242"/>
      <c r="H288" s="236"/>
      <c r="I288" s="242"/>
    </row>
    <row r="289" spans="1:9">
      <c r="A289" s="292">
        <v>234</v>
      </c>
      <c r="B289" s="248">
        <f t="shared" si="14"/>
        <v>0</v>
      </c>
      <c r="C289" s="248">
        <f t="shared" si="15"/>
        <v>0</v>
      </c>
      <c r="D289" s="248">
        <f t="shared" si="16"/>
        <v>0</v>
      </c>
      <c r="E289" s="248">
        <f t="shared" si="17"/>
        <v>0</v>
      </c>
      <c r="F289" s="247"/>
      <c r="G289" s="291"/>
      <c r="H289" s="256"/>
      <c r="I289" s="242"/>
    </row>
    <row r="290" spans="1:9">
      <c r="A290" s="292">
        <v>235</v>
      </c>
      <c r="B290" s="248">
        <f t="shared" si="14"/>
        <v>0</v>
      </c>
      <c r="C290" s="248">
        <f t="shared" si="15"/>
        <v>0</v>
      </c>
      <c r="D290" s="248">
        <f t="shared" si="16"/>
        <v>0</v>
      </c>
      <c r="E290" s="248">
        <f t="shared" si="17"/>
        <v>0</v>
      </c>
      <c r="F290" s="247"/>
      <c r="G290" s="242"/>
      <c r="H290" s="236"/>
      <c r="I290" s="242"/>
    </row>
    <row r="291" spans="1:9">
      <c r="A291" s="292">
        <v>236</v>
      </c>
      <c r="B291" s="248">
        <f t="shared" si="14"/>
        <v>0</v>
      </c>
      <c r="C291" s="248">
        <f t="shared" si="15"/>
        <v>0</v>
      </c>
      <c r="D291" s="248">
        <f t="shared" si="16"/>
        <v>0</v>
      </c>
      <c r="E291" s="248">
        <f t="shared" si="17"/>
        <v>0</v>
      </c>
      <c r="F291" s="247"/>
      <c r="G291" s="242"/>
      <c r="H291" s="236"/>
      <c r="I291" s="242"/>
    </row>
    <row r="292" spans="1:9">
      <c r="A292" s="292">
        <v>237</v>
      </c>
      <c r="B292" s="248">
        <f t="shared" si="14"/>
        <v>0</v>
      </c>
      <c r="C292" s="248">
        <f t="shared" si="15"/>
        <v>0</v>
      </c>
      <c r="D292" s="248">
        <f t="shared" si="16"/>
        <v>0</v>
      </c>
      <c r="E292" s="248">
        <f t="shared" si="17"/>
        <v>0</v>
      </c>
      <c r="F292" s="247"/>
      <c r="G292" s="242"/>
      <c r="H292" s="236"/>
      <c r="I292" s="242"/>
    </row>
    <row r="293" spans="1:9">
      <c r="A293" s="292">
        <v>238</v>
      </c>
      <c r="B293" s="248">
        <f t="shared" si="14"/>
        <v>0</v>
      </c>
      <c r="C293" s="248">
        <f t="shared" si="15"/>
        <v>0</v>
      </c>
      <c r="D293" s="248">
        <f t="shared" si="16"/>
        <v>0</v>
      </c>
      <c r="E293" s="248">
        <f t="shared" si="17"/>
        <v>0</v>
      </c>
      <c r="F293" s="247"/>
      <c r="G293" s="242"/>
      <c r="H293" s="236"/>
      <c r="I293" s="242"/>
    </row>
    <row r="294" spans="1:9">
      <c r="A294" s="292">
        <v>239</v>
      </c>
      <c r="B294" s="248">
        <f t="shared" si="14"/>
        <v>0</v>
      </c>
      <c r="C294" s="248">
        <f t="shared" si="15"/>
        <v>0</v>
      </c>
      <c r="D294" s="248">
        <f t="shared" si="16"/>
        <v>0</v>
      </c>
      <c r="E294" s="248">
        <f t="shared" si="17"/>
        <v>0</v>
      </c>
      <c r="F294" s="247"/>
      <c r="G294" s="242"/>
      <c r="H294" s="236"/>
      <c r="I294" s="242"/>
    </row>
    <row r="295" spans="1:9">
      <c r="A295" s="292">
        <v>240</v>
      </c>
      <c r="B295" s="248">
        <f t="shared" si="14"/>
        <v>0</v>
      </c>
      <c r="C295" s="248">
        <f t="shared" si="15"/>
        <v>0</v>
      </c>
      <c r="D295" s="248">
        <f t="shared" si="16"/>
        <v>0</v>
      </c>
      <c r="E295" s="248">
        <f t="shared" si="17"/>
        <v>0</v>
      </c>
      <c r="F295" s="247">
        <v>20</v>
      </c>
      <c r="G295" s="291"/>
      <c r="H295" s="256"/>
      <c r="I295" s="291"/>
    </row>
    <row r="296" spans="1:9">
      <c r="A296" s="292">
        <v>241</v>
      </c>
      <c r="B296" s="248">
        <f t="shared" si="14"/>
        <v>0</v>
      </c>
      <c r="C296" s="248">
        <f t="shared" si="15"/>
        <v>0</v>
      </c>
      <c r="D296" s="248">
        <f t="shared" si="16"/>
        <v>0</v>
      </c>
      <c r="E296" s="248">
        <f t="shared" si="17"/>
        <v>0</v>
      </c>
      <c r="F296" s="247"/>
      <c r="G296" s="242"/>
      <c r="H296" s="236"/>
      <c r="I296" s="291"/>
    </row>
    <row r="297" spans="1:9">
      <c r="A297" s="292">
        <v>242</v>
      </c>
      <c r="B297" s="248">
        <f t="shared" si="14"/>
        <v>0</v>
      </c>
      <c r="C297" s="248">
        <f t="shared" si="15"/>
        <v>0</v>
      </c>
      <c r="D297" s="248">
        <f t="shared" si="16"/>
        <v>0</v>
      </c>
      <c r="E297" s="248">
        <f t="shared" si="17"/>
        <v>0</v>
      </c>
      <c r="F297" s="247"/>
      <c r="G297" s="242"/>
      <c r="H297" s="236"/>
      <c r="I297" s="242"/>
    </row>
    <row r="298" spans="1:9">
      <c r="A298" s="292">
        <v>243</v>
      </c>
      <c r="B298" s="248">
        <f t="shared" si="14"/>
        <v>0</v>
      </c>
      <c r="C298" s="248">
        <f t="shared" si="15"/>
        <v>0</v>
      </c>
      <c r="D298" s="248">
        <f t="shared" si="16"/>
        <v>0</v>
      </c>
      <c r="E298" s="248">
        <f t="shared" si="17"/>
        <v>0</v>
      </c>
      <c r="F298" s="247"/>
      <c r="G298" s="242"/>
      <c r="H298" s="236"/>
      <c r="I298" s="242"/>
    </row>
    <row r="299" spans="1:9">
      <c r="A299" s="292">
        <v>244</v>
      </c>
      <c r="B299" s="248">
        <f t="shared" si="14"/>
        <v>0</v>
      </c>
      <c r="C299" s="248">
        <f t="shared" si="15"/>
        <v>0</v>
      </c>
      <c r="D299" s="248">
        <f t="shared" si="16"/>
        <v>0</v>
      </c>
      <c r="E299" s="248">
        <f t="shared" si="17"/>
        <v>0</v>
      </c>
      <c r="F299" s="247"/>
      <c r="G299" s="242"/>
      <c r="H299" s="236"/>
      <c r="I299" s="242"/>
    </row>
    <row r="300" spans="1:9">
      <c r="A300" s="292">
        <v>245</v>
      </c>
      <c r="B300" s="248">
        <f t="shared" si="14"/>
        <v>0</v>
      </c>
      <c r="C300" s="248">
        <f t="shared" si="15"/>
        <v>0</v>
      </c>
      <c r="D300" s="248">
        <f t="shared" si="16"/>
        <v>0</v>
      </c>
      <c r="E300" s="248">
        <f t="shared" si="17"/>
        <v>0</v>
      </c>
      <c r="F300" s="247"/>
      <c r="G300" s="242"/>
      <c r="H300" s="236"/>
      <c r="I300" s="242"/>
    </row>
    <row r="301" spans="1:9">
      <c r="A301" s="292">
        <v>246</v>
      </c>
      <c r="B301" s="248">
        <f t="shared" si="14"/>
        <v>0</v>
      </c>
      <c r="C301" s="248">
        <f t="shared" si="15"/>
        <v>0</v>
      </c>
      <c r="D301" s="248">
        <f t="shared" si="16"/>
        <v>0</v>
      </c>
      <c r="E301" s="248">
        <f t="shared" si="17"/>
        <v>0</v>
      </c>
      <c r="F301" s="247"/>
      <c r="G301" s="291"/>
      <c r="H301" s="256"/>
      <c r="I301" s="242"/>
    </row>
    <row r="302" spans="1:9">
      <c r="A302" s="292">
        <v>247</v>
      </c>
      <c r="B302" s="248">
        <f t="shared" si="14"/>
        <v>0</v>
      </c>
      <c r="C302" s="248">
        <f t="shared" si="15"/>
        <v>0</v>
      </c>
      <c r="D302" s="248">
        <f t="shared" si="16"/>
        <v>0</v>
      </c>
      <c r="E302" s="248">
        <f t="shared" si="17"/>
        <v>0</v>
      </c>
      <c r="F302" s="247"/>
      <c r="G302" s="242"/>
      <c r="H302" s="236"/>
      <c r="I302" s="242"/>
    </row>
    <row r="303" spans="1:9">
      <c r="A303" s="292">
        <v>248</v>
      </c>
      <c r="B303" s="248">
        <f t="shared" si="14"/>
        <v>0</v>
      </c>
      <c r="C303" s="248">
        <f t="shared" si="15"/>
        <v>0</v>
      </c>
      <c r="D303" s="248">
        <f t="shared" si="16"/>
        <v>0</v>
      </c>
      <c r="E303" s="248">
        <f t="shared" si="17"/>
        <v>0</v>
      </c>
      <c r="F303" s="247"/>
      <c r="G303" s="242"/>
      <c r="H303" s="236"/>
      <c r="I303" s="242"/>
    </row>
    <row r="304" spans="1:9">
      <c r="A304" s="292">
        <v>249</v>
      </c>
      <c r="B304" s="248">
        <f t="shared" si="14"/>
        <v>0</v>
      </c>
      <c r="C304" s="248">
        <f t="shared" si="15"/>
        <v>0</v>
      </c>
      <c r="D304" s="248">
        <f t="shared" si="16"/>
        <v>0</v>
      </c>
      <c r="E304" s="248">
        <f t="shared" si="17"/>
        <v>0</v>
      </c>
      <c r="F304" s="247"/>
      <c r="G304" s="242"/>
      <c r="H304" s="236"/>
      <c r="I304" s="242"/>
    </row>
    <row r="305" spans="1:9">
      <c r="A305" s="292">
        <v>250</v>
      </c>
      <c r="B305" s="248">
        <f t="shared" si="14"/>
        <v>0</v>
      </c>
      <c r="C305" s="248">
        <f t="shared" si="15"/>
        <v>0</v>
      </c>
      <c r="D305" s="248">
        <f t="shared" si="16"/>
        <v>0</v>
      </c>
      <c r="E305" s="248">
        <f t="shared" si="17"/>
        <v>0</v>
      </c>
      <c r="F305" s="247"/>
      <c r="G305" s="242"/>
      <c r="H305" s="236"/>
      <c r="I305" s="242"/>
    </row>
    <row r="306" spans="1:9">
      <c r="A306" s="292">
        <v>251</v>
      </c>
      <c r="B306" s="248">
        <f t="shared" si="14"/>
        <v>0</v>
      </c>
      <c r="C306" s="248">
        <f t="shared" si="15"/>
        <v>0</v>
      </c>
      <c r="D306" s="248">
        <f t="shared" si="16"/>
        <v>0</v>
      </c>
      <c r="E306" s="248">
        <f t="shared" si="17"/>
        <v>0</v>
      </c>
      <c r="F306" s="247"/>
      <c r="G306" s="242"/>
      <c r="H306" s="236"/>
      <c r="I306" s="242"/>
    </row>
    <row r="307" spans="1:9">
      <c r="A307" s="292">
        <v>252</v>
      </c>
      <c r="B307" s="248">
        <f t="shared" si="14"/>
        <v>0</v>
      </c>
      <c r="C307" s="248">
        <f t="shared" si="15"/>
        <v>0</v>
      </c>
      <c r="D307" s="248">
        <f t="shared" si="16"/>
        <v>0</v>
      </c>
      <c r="E307" s="248">
        <f t="shared" si="17"/>
        <v>0</v>
      </c>
      <c r="F307" s="247">
        <v>21</v>
      </c>
      <c r="G307" s="291"/>
      <c r="H307" s="256"/>
      <c r="I307" s="291"/>
    </row>
    <row r="308" spans="1:9">
      <c r="A308" s="292">
        <v>253</v>
      </c>
      <c r="B308" s="248">
        <f t="shared" si="14"/>
        <v>0</v>
      </c>
      <c r="C308" s="248">
        <f t="shared" si="15"/>
        <v>0</v>
      </c>
      <c r="D308" s="248">
        <f t="shared" si="16"/>
        <v>0</v>
      </c>
      <c r="E308" s="248">
        <f t="shared" si="17"/>
        <v>0</v>
      </c>
      <c r="F308" s="247"/>
      <c r="G308" s="242"/>
      <c r="H308" s="236"/>
      <c r="I308" s="291"/>
    </row>
    <row r="309" spans="1:9">
      <c r="A309" s="292">
        <v>254</v>
      </c>
      <c r="B309" s="248">
        <f t="shared" si="14"/>
        <v>0</v>
      </c>
      <c r="C309" s="248">
        <f t="shared" si="15"/>
        <v>0</v>
      </c>
      <c r="D309" s="248">
        <f t="shared" si="16"/>
        <v>0</v>
      </c>
      <c r="E309" s="248">
        <f t="shared" si="17"/>
        <v>0</v>
      </c>
      <c r="F309" s="247"/>
      <c r="G309" s="242"/>
      <c r="H309" s="236"/>
      <c r="I309" s="242"/>
    </row>
    <row r="310" spans="1:9">
      <c r="A310" s="292">
        <v>255</v>
      </c>
      <c r="B310" s="248">
        <f t="shared" si="14"/>
        <v>0</v>
      </c>
      <c r="C310" s="248">
        <f t="shared" si="15"/>
        <v>0</v>
      </c>
      <c r="D310" s="248">
        <f t="shared" si="16"/>
        <v>0</v>
      </c>
      <c r="E310" s="248">
        <f t="shared" si="17"/>
        <v>0</v>
      </c>
      <c r="F310" s="247"/>
      <c r="G310" s="242"/>
      <c r="H310" s="236"/>
      <c r="I310" s="242"/>
    </row>
    <row r="311" spans="1:9">
      <c r="A311" s="292">
        <v>256</v>
      </c>
      <c r="B311" s="248">
        <f t="shared" si="14"/>
        <v>0</v>
      </c>
      <c r="C311" s="248">
        <f t="shared" si="15"/>
        <v>0</v>
      </c>
      <c r="D311" s="248">
        <f t="shared" si="16"/>
        <v>0</v>
      </c>
      <c r="E311" s="248">
        <f t="shared" si="17"/>
        <v>0</v>
      </c>
      <c r="F311" s="247"/>
      <c r="G311" s="242"/>
      <c r="H311" s="236"/>
      <c r="I311" s="242"/>
    </row>
    <row r="312" spans="1:9">
      <c r="A312" s="292">
        <v>257</v>
      </c>
      <c r="B312" s="248">
        <f t="shared" ref="B312:B375" si="18">IF(A312&gt;12*$D$14,0,$D$20)</f>
        <v>0</v>
      </c>
      <c r="C312" s="248">
        <f t="shared" ref="C312:C375" si="19">IF(A312&gt;12*$D$14,0,E311*$D$10/12)</f>
        <v>0</v>
      </c>
      <c r="D312" s="248">
        <f t="shared" ref="D312:D375" si="20">IF(A312&gt;12*$D$14,0,B312-C312)</f>
        <v>0</v>
      </c>
      <c r="E312" s="248">
        <f t="shared" ref="E312:E375" si="21">IF(A312&gt;12*$D$14,0,E311-D312)</f>
        <v>0</v>
      </c>
      <c r="F312" s="247"/>
      <c r="G312" s="242"/>
      <c r="H312" s="236"/>
      <c r="I312" s="242"/>
    </row>
    <row r="313" spans="1:9">
      <c r="A313" s="292">
        <v>258</v>
      </c>
      <c r="B313" s="248">
        <f t="shared" si="18"/>
        <v>0</v>
      </c>
      <c r="C313" s="248">
        <f t="shared" si="19"/>
        <v>0</v>
      </c>
      <c r="D313" s="248">
        <f t="shared" si="20"/>
        <v>0</v>
      </c>
      <c r="E313" s="248">
        <f t="shared" si="21"/>
        <v>0</v>
      </c>
      <c r="F313" s="247"/>
      <c r="G313" s="291"/>
      <c r="H313" s="256"/>
      <c r="I313" s="242"/>
    </row>
    <row r="314" spans="1:9">
      <c r="A314" s="292">
        <v>259</v>
      </c>
      <c r="B314" s="248">
        <f t="shared" si="18"/>
        <v>0</v>
      </c>
      <c r="C314" s="248">
        <f t="shared" si="19"/>
        <v>0</v>
      </c>
      <c r="D314" s="248">
        <f t="shared" si="20"/>
        <v>0</v>
      </c>
      <c r="E314" s="248">
        <f t="shared" si="21"/>
        <v>0</v>
      </c>
      <c r="F314" s="247"/>
      <c r="G314" s="242"/>
      <c r="H314" s="236"/>
      <c r="I314" s="242"/>
    </row>
    <row r="315" spans="1:9">
      <c r="A315" s="292">
        <v>260</v>
      </c>
      <c r="B315" s="248">
        <f t="shared" si="18"/>
        <v>0</v>
      </c>
      <c r="C315" s="248">
        <f t="shared" si="19"/>
        <v>0</v>
      </c>
      <c r="D315" s="248">
        <f t="shared" si="20"/>
        <v>0</v>
      </c>
      <c r="E315" s="248">
        <f t="shared" si="21"/>
        <v>0</v>
      </c>
      <c r="F315" s="247"/>
      <c r="G315" s="242"/>
      <c r="H315" s="236"/>
      <c r="I315" s="242"/>
    </row>
    <row r="316" spans="1:9">
      <c r="A316" s="292">
        <v>261</v>
      </c>
      <c r="B316" s="248">
        <f t="shared" si="18"/>
        <v>0</v>
      </c>
      <c r="C316" s="248">
        <f t="shared" si="19"/>
        <v>0</v>
      </c>
      <c r="D316" s="248">
        <f t="shared" si="20"/>
        <v>0</v>
      </c>
      <c r="E316" s="248">
        <f t="shared" si="21"/>
        <v>0</v>
      </c>
      <c r="F316" s="247"/>
      <c r="G316" s="242"/>
      <c r="H316" s="236"/>
      <c r="I316" s="242"/>
    </row>
    <row r="317" spans="1:9">
      <c r="A317" s="292">
        <v>262</v>
      </c>
      <c r="B317" s="248">
        <f t="shared" si="18"/>
        <v>0</v>
      </c>
      <c r="C317" s="248">
        <f t="shared" si="19"/>
        <v>0</v>
      </c>
      <c r="D317" s="248">
        <f t="shared" si="20"/>
        <v>0</v>
      </c>
      <c r="E317" s="248">
        <f t="shared" si="21"/>
        <v>0</v>
      </c>
      <c r="F317" s="247"/>
      <c r="G317" s="242"/>
      <c r="H317" s="236"/>
      <c r="I317" s="242"/>
    </row>
    <row r="318" spans="1:9">
      <c r="A318" s="292">
        <v>263</v>
      </c>
      <c r="B318" s="248">
        <f t="shared" si="18"/>
        <v>0</v>
      </c>
      <c r="C318" s="248">
        <f t="shared" si="19"/>
        <v>0</v>
      </c>
      <c r="D318" s="248">
        <f t="shared" si="20"/>
        <v>0</v>
      </c>
      <c r="E318" s="248">
        <f t="shared" si="21"/>
        <v>0</v>
      </c>
      <c r="F318" s="247"/>
      <c r="G318" s="242"/>
      <c r="H318" s="236"/>
      <c r="I318" s="242"/>
    </row>
    <row r="319" spans="1:9">
      <c r="A319" s="292">
        <v>264</v>
      </c>
      <c r="B319" s="248">
        <f t="shared" si="18"/>
        <v>0</v>
      </c>
      <c r="C319" s="248">
        <f t="shared" si="19"/>
        <v>0</v>
      </c>
      <c r="D319" s="248">
        <f t="shared" si="20"/>
        <v>0</v>
      </c>
      <c r="E319" s="248">
        <f t="shared" si="21"/>
        <v>0</v>
      </c>
      <c r="F319" s="247">
        <v>22</v>
      </c>
      <c r="G319" s="291"/>
      <c r="H319" s="256"/>
      <c r="I319" s="291"/>
    </row>
    <row r="320" spans="1:9">
      <c r="A320" s="292">
        <v>265</v>
      </c>
      <c r="B320" s="248">
        <f t="shared" si="18"/>
        <v>0</v>
      </c>
      <c r="C320" s="248">
        <f t="shared" si="19"/>
        <v>0</v>
      </c>
      <c r="D320" s="248">
        <f t="shared" si="20"/>
        <v>0</v>
      </c>
      <c r="E320" s="248">
        <f t="shared" si="21"/>
        <v>0</v>
      </c>
      <c r="F320" s="247"/>
      <c r="G320" s="242"/>
      <c r="H320" s="236"/>
      <c r="I320" s="291"/>
    </row>
    <row r="321" spans="1:9">
      <c r="A321" s="292">
        <v>266</v>
      </c>
      <c r="B321" s="248">
        <f t="shared" si="18"/>
        <v>0</v>
      </c>
      <c r="C321" s="248">
        <f t="shared" si="19"/>
        <v>0</v>
      </c>
      <c r="D321" s="248">
        <f t="shared" si="20"/>
        <v>0</v>
      </c>
      <c r="E321" s="248">
        <f t="shared" si="21"/>
        <v>0</v>
      </c>
      <c r="F321" s="247"/>
      <c r="G321" s="242"/>
      <c r="H321" s="236"/>
      <c r="I321" s="242"/>
    </row>
    <row r="322" spans="1:9">
      <c r="A322" s="292">
        <v>267</v>
      </c>
      <c r="B322" s="248">
        <f t="shared" si="18"/>
        <v>0</v>
      </c>
      <c r="C322" s="248">
        <f t="shared" si="19"/>
        <v>0</v>
      </c>
      <c r="D322" s="248">
        <f t="shared" si="20"/>
        <v>0</v>
      </c>
      <c r="E322" s="248">
        <f t="shared" si="21"/>
        <v>0</v>
      </c>
      <c r="F322" s="247"/>
      <c r="G322" s="242"/>
      <c r="H322" s="236"/>
      <c r="I322" s="242"/>
    </row>
    <row r="323" spans="1:9">
      <c r="A323" s="292">
        <v>268</v>
      </c>
      <c r="B323" s="248">
        <f t="shared" si="18"/>
        <v>0</v>
      </c>
      <c r="C323" s="248">
        <f t="shared" si="19"/>
        <v>0</v>
      </c>
      <c r="D323" s="248">
        <f t="shared" si="20"/>
        <v>0</v>
      </c>
      <c r="E323" s="248">
        <f t="shared" si="21"/>
        <v>0</v>
      </c>
      <c r="F323" s="247"/>
      <c r="G323" s="242"/>
      <c r="H323" s="236"/>
      <c r="I323" s="242"/>
    </row>
    <row r="324" spans="1:9">
      <c r="A324" s="292">
        <v>269</v>
      </c>
      <c r="B324" s="248">
        <f t="shared" si="18"/>
        <v>0</v>
      </c>
      <c r="C324" s="248">
        <f t="shared" si="19"/>
        <v>0</v>
      </c>
      <c r="D324" s="248">
        <f t="shared" si="20"/>
        <v>0</v>
      </c>
      <c r="E324" s="248">
        <f t="shared" si="21"/>
        <v>0</v>
      </c>
      <c r="F324" s="247"/>
      <c r="G324" s="242"/>
      <c r="H324" s="236"/>
      <c r="I324" s="242"/>
    </row>
    <row r="325" spans="1:9">
      <c r="A325" s="292">
        <v>270</v>
      </c>
      <c r="B325" s="248">
        <f t="shared" si="18"/>
        <v>0</v>
      </c>
      <c r="C325" s="248">
        <f t="shared" si="19"/>
        <v>0</v>
      </c>
      <c r="D325" s="248">
        <f t="shared" si="20"/>
        <v>0</v>
      </c>
      <c r="E325" s="248">
        <f t="shared" si="21"/>
        <v>0</v>
      </c>
      <c r="F325" s="247"/>
      <c r="G325" s="291"/>
      <c r="H325" s="256"/>
      <c r="I325" s="242"/>
    </row>
    <row r="326" spans="1:9">
      <c r="A326" s="292">
        <v>271</v>
      </c>
      <c r="B326" s="248">
        <f t="shared" si="18"/>
        <v>0</v>
      </c>
      <c r="C326" s="248">
        <f t="shared" si="19"/>
        <v>0</v>
      </c>
      <c r="D326" s="248">
        <f t="shared" si="20"/>
        <v>0</v>
      </c>
      <c r="E326" s="248">
        <f t="shared" si="21"/>
        <v>0</v>
      </c>
      <c r="F326" s="247"/>
      <c r="G326" s="242"/>
      <c r="H326" s="236"/>
      <c r="I326" s="242"/>
    </row>
    <row r="327" spans="1:9">
      <c r="A327" s="292">
        <v>272</v>
      </c>
      <c r="B327" s="248">
        <f t="shared" si="18"/>
        <v>0</v>
      </c>
      <c r="C327" s="248">
        <f t="shared" si="19"/>
        <v>0</v>
      </c>
      <c r="D327" s="248">
        <f t="shared" si="20"/>
        <v>0</v>
      </c>
      <c r="E327" s="248">
        <f t="shared" si="21"/>
        <v>0</v>
      </c>
      <c r="F327" s="247"/>
      <c r="G327" s="242"/>
      <c r="H327" s="236"/>
      <c r="I327" s="242"/>
    </row>
    <row r="328" spans="1:9">
      <c r="A328" s="292">
        <v>273</v>
      </c>
      <c r="B328" s="248">
        <f t="shared" si="18"/>
        <v>0</v>
      </c>
      <c r="C328" s="248">
        <f t="shared" si="19"/>
        <v>0</v>
      </c>
      <c r="D328" s="248">
        <f t="shared" si="20"/>
        <v>0</v>
      </c>
      <c r="E328" s="248">
        <f t="shared" si="21"/>
        <v>0</v>
      </c>
      <c r="F328" s="247"/>
      <c r="G328" s="242"/>
      <c r="H328" s="236"/>
      <c r="I328" s="242"/>
    </row>
    <row r="329" spans="1:9">
      <c r="A329" s="292">
        <v>274</v>
      </c>
      <c r="B329" s="248">
        <f t="shared" si="18"/>
        <v>0</v>
      </c>
      <c r="C329" s="248">
        <f t="shared" si="19"/>
        <v>0</v>
      </c>
      <c r="D329" s="248">
        <f t="shared" si="20"/>
        <v>0</v>
      </c>
      <c r="E329" s="248">
        <f t="shared" si="21"/>
        <v>0</v>
      </c>
      <c r="F329" s="247"/>
      <c r="G329" s="242"/>
      <c r="H329" s="236"/>
      <c r="I329" s="242"/>
    </row>
    <row r="330" spans="1:9">
      <c r="A330" s="292">
        <v>275</v>
      </c>
      <c r="B330" s="248">
        <f t="shared" si="18"/>
        <v>0</v>
      </c>
      <c r="C330" s="248">
        <f t="shared" si="19"/>
        <v>0</v>
      </c>
      <c r="D330" s="248">
        <f t="shared" si="20"/>
        <v>0</v>
      </c>
      <c r="E330" s="248">
        <f t="shared" si="21"/>
        <v>0</v>
      </c>
      <c r="F330" s="247"/>
      <c r="G330" s="242"/>
      <c r="H330" s="236"/>
      <c r="I330" s="242"/>
    </row>
    <row r="331" spans="1:9">
      <c r="A331" s="292">
        <v>276</v>
      </c>
      <c r="B331" s="248">
        <f t="shared" si="18"/>
        <v>0</v>
      </c>
      <c r="C331" s="248">
        <f t="shared" si="19"/>
        <v>0</v>
      </c>
      <c r="D331" s="248">
        <f t="shared" si="20"/>
        <v>0</v>
      </c>
      <c r="E331" s="248">
        <f t="shared" si="21"/>
        <v>0</v>
      </c>
      <c r="F331" s="247">
        <v>23</v>
      </c>
      <c r="G331" s="291"/>
      <c r="H331" s="256"/>
      <c r="I331" s="291"/>
    </row>
    <row r="332" spans="1:9">
      <c r="A332" s="292">
        <v>277</v>
      </c>
      <c r="B332" s="248">
        <f t="shared" si="18"/>
        <v>0</v>
      </c>
      <c r="C332" s="248">
        <f t="shared" si="19"/>
        <v>0</v>
      </c>
      <c r="D332" s="248">
        <f t="shared" si="20"/>
        <v>0</v>
      </c>
      <c r="E332" s="248">
        <f t="shared" si="21"/>
        <v>0</v>
      </c>
      <c r="F332" s="247"/>
      <c r="G332" s="242"/>
      <c r="H332" s="236"/>
      <c r="I332" s="291"/>
    </row>
    <row r="333" spans="1:9">
      <c r="A333" s="292">
        <v>278</v>
      </c>
      <c r="B333" s="248">
        <f t="shared" si="18"/>
        <v>0</v>
      </c>
      <c r="C333" s="248">
        <f t="shared" si="19"/>
        <v>0</v>
      </c>
      <c r="D333" s="248">
        <f t="shared" si="20"/>
        <v>0</v>
      </c>
      <c r="E333" s="248">
        <f t="shared" si="21"/>
        <v>0</v>
      </c>
      <c r="F333" s="247"/>
      <c r="G333" s="242"/>
      <c r="H333" s="236"/>
      <c r="I333" s="242"/>
    </row>
    <row r="334" spans="1:9">
      <c r="A334" s="292">
        <v>279</v>
      </c>
      <c r="B334" s="248">
        <f t="shared" si="18"/>
        <v>0</v>
      </c>
      <c r="C334" s="248">
        <f t="shared" si="19"/>
        <v>0</v>
      </c>
      <c r="D334" s="248">
        <f t="shared" si="20"/>
        <v>0</v>
      </c>
      <c r="E334" s="248">
        <f t="shared" si="21"/>
        <v>0</v>
      </c>
      <c r="F334" s="247"/>
      <c r="G334" s="242"/>
      <c r="H334" s="236"/>
      <c r="I334" s="242"/>
    </row>
    <row r="335" spans="1:9">
      <c r="A335" s="292">
        <v>280</v>
      </c>
      <c r="B335" s="248">
        <f t="shared" si="18"/>
        <v>0</v>
      </c>
      <c r="C335" s="248">
        <f t="shared" si="19"/>
        <v>0</v>
      </c>
      <c r="D335" s="248">
        <f t="shared" si="20"/>
        <v>0</v>
      </c>
      <c r="E335" s="248">
        <f t="shared" si="21"/>
        <v>0</v>
      </c>
      <c r="F335" s="247"/>
      <c r="G335" s="242"/>
      <c r="H335" s="236"/>
      <c r="I335" s="242"/>
    </row>
    <row r="336" spans="1:9">
      <c r="A336" s="292">
        <v>281</v>
      </c>
      <c r="B336" s="248">
        <f t="shared" si="18"/>
        <v>0</v>
      </c>
      <c r="C336" s="248">
        <f t="shared" si="19"/>
        <v>0</v>
      </c>
      <c r="D336" s="248">
        <f t="shared" si="20"/>
        <v>0</v>
      </c>
      <c r="E336" s="248">
        <f t="shared" si="21"/>
        <v>0</v>
      </c>
      <c r="F336" s="247"/>
      <c r="G336" s="242"/>
      <c r="H336" s="236"/>
      <c r="I336" s="242"/>
    </row>
    <row r="337" spans="1:9">
      <c r="A337" s="292">
        <v>282</v>
      </c>
      <c r="B337" s="248">
        <f t="shared" si="18"/>
        <v>0</v>
      </c>
      <c r="C337" s="248">
        <f t="shared" si="19"/>
        <v>0</v>
      </c>
      <c r="D337" s="248">
        <f t="shared" si="20"/>
        <v>0</v>
      </c>
      <c r="E337" s="248">
        <f t="shared" si="21"/>
        <v>0</v>
      </c>
      <c r="F337" s="247"/>
      <c r="G337" s="291"/>
      <c r="H337" s="256"/>
      <c r="I337" s="242"/>
    </row>
    <row r="338" spans="1:9">
      <c r="A338" s="292">
        <v>283</v>
      </c>
      <c r="B338" s="248">
        <f t="shared" si="18"/>
        <v>0</v>
      </c>
      <c r="C338" s="248">
        <f t="shared" si="19"/>
        <v>0</v>
      </c>
      <c r="D338" s="248">
        <f t="shared" si="20"/>
        <v>0</v>
      </c>
      <c r="E338" s="248">
        <f t="shared" si="21"/>
        <v>0</v>
      </c>
      <c r="F338" s="247"/>
      <c r="G338" s="242"/>
      <c r="H338" s="236"/>
      <c r="I338" s="242"/>
    </row>
    <row r="339" spans="1:9">
      <c r="A339" s="292">
        <v>284</v>
      </c>
      <c r="B339" s="248">
        <f t="shared" si="18"/>
        <v>0</v>
      </c>
      <c r="C339" s="248">
        <f t="shared" si="19"/>
        <v>0</v>
      </c>
      <c r="D339" s="248">
        <f t="shared" si="20"/>
        <v>0</v>
      </c>
      <c r="E339" s="248">
        <f t="shared" si="21"/>
        <v>0</v>
      </c>
      <c r="F339" s="247"/>
      <c r="G339" s="242"/>
      <c r="H339" s="236"/>
      <c r="I339" s="242"/>
    </row>
    <row r="340" spans="1:9">
      <c r="A340" s="292">
        <v>285</v>
      </c>
      <c r="B340" s="248">
        <f t="shared" si="18"/>
        <v>0</v>
      </c>
      <c r="C340" s="248">
        <f t="shared" si="19"/>
        <v>0</v>
      </c>
      <c r="D340" s="248">
        <f t="shared" si="20"/>
        <v>0</v>
      </c>
      <c r="E340" s="248">
        <f t="shared" si="21"/>
        <v>0</v>
      </c>
      <c r="F340" s="247"/>
      <c r="G340" s="242"/>
      <c r="H340" s="236"/>
      <c r="I340" s="242"/>
    </row>
    <row r="341" spans="1:9">
      <c r="A341" s="292">
        <v>286</v>
      </c>
      <c r="B341" s="248">
        <f t="shared" si="18"/>
        <v>0</v>
      </c>
      <c r="C341" s="248">
        <f t="shared" si="19"/>
        <v>0</v>
      </c>
      <c r="D341" s="248">
        <f t="shared" si="20"/>
        <v>0</v>
      </c>
      <c r="E341" s="248">
        <f t="shared" si="21"/>
        <v>0</v>
      </c>
      <c r="F341" s="247"/>
      <c r="G341" s="242"/>
      <c r="H341" s="236"/>
      <c r="I341" s="242"/>
    </row>
    <row r="342" spans="1:9">
      <c r="A342" s="292">
        <v>287</v>
      </c>
      <c r="B342" s="248">
        <f t="shared" si="18"/>
        <v>0</v>
      </c>
      <c r="C342" s="248">
        <f t="shared" si="19"/>
        <v>0</v>
      </c>
      <c r="D342" s="248">
        <f t="shared" si="20"/>
        <v>0</v>
      </c>
      <c r="E342" s="248">
        <f t="shared" si="21"/>
        <v>0</v>
      </c>
      <c r="F342" s="247"/>
      <c r="G342" s="242"/>
      <c r="H342" s="236"/>
      <c r="I342" s="242"/>
    </row>
    <row r="343" spans="1:9">
      <c r="A343" s="292">
        <v>288</v>
      </c>
      <c r="B343" s="248">
        <f t="shared" si="18"/>
        <v>0</v>
      </c>
      <c r="C343" s="248">
        <f t="shared" si="19"/>
        <v>0</v>
      </c>
      <c r="D343" s="248">
        <f t="shared" si="20"/>
        <v>0</v>
      </c>
      <c r="E343" s="248">
        <f t="shared" si="21"/>
        <v>0</v>
      </c>
      <c r="F343" s="247">
        <v>24</v>
      </c>
      <c r="G343" s="291"/>
      <c r="H343" s="256"/>
      <c r="I343" s="291"/>
    </row>
    <row r="344" spans="1:9">
      <c r="A344" s="292">
        <v>289</v>
      </c>
      <c r="B344" s="248">
        <f t="shared" si="18"/>
        <v>0</v>
      </c>
      <c r="C344" s="248">
        <f t="shared" si="19"/>
        <v>0</v>
      </c>
      <c r="D344" s="248">
        <f t="shared" si="20"/>
        <v>0</v>
      </c>
      <c r="E344" s="248">
        <f t="shared" si="21"/>
        <v>0</v>
      </c>
      <c r="F344" s="247"/>
      <c r="G344" s="242"/>
      <c r="H344" s="236"/>
      <c r="I344" s="291"/>
    </row>
    <row r="345" spans="1:9">
      <c r="A345" s="292">
        <v>290</v>
      </c>
      <c r="B345" s="248">
        <f t="shared" si="18"/>
        <v>0</v>
      </c>
      <c r="C345" s="248">
        <f t="shared" si="19"/>
        <v>0</v>
      </c>
      <c r="D345" s="248">
        <f t="shared" si="20"/>
        <v>0</v>
      </c>
      <c r="E345" s="248">
        <f t="shared" si="21"/>
        <v>0</v>
      </c>
      <c r="F345" s="247"/>
      <c r="G345" s="242"/>
      <c r="H345" s="236"/>
      <c r="I345" s="242"/>
    </row>
    <row r="346" spans="1:9">
      <c r="A346" s="292">
        <v>291</v>
      </c>
      <c r="B346" s="248">
        <f t="shared" si="18"/>
        <v>0</v>
      </c>
      <c r="C346" s="248">
        <f t="shared" si="19"/>
        <v>0</v>
      </c>
      <c r="D346" s="248">
        <f t="shared" si="20"/>
        <v>0</v>
      </c>
      <c r="E346" s="248">
        <f t="shared" si="21"/>
        <v>0</v>
      </c>
      <c r="F346" s="247"/>
      <c r="G346" s="242"/>
      <c r="H346" s="236"/>
      <c r="I346" s="242"/>
    </row>
    <row r="347" spans="1:9">
      <c r="A347" s="292">
        <v>292</v>
      </c>
      <c r="B347" s="248">
        <f t="shared" si="18"/>
        <v>0</v>
      </c>
      <c r="C347" s="248">
        <f t="shared" si="19"/>
        <v>0</v>
      </c>
      <c r="D347" s="248">
        <f t="shared" si="20"/>
        <v>0</v>
      </c>
      <c r="E347" s="248">
        <f t="shared" si="21"/>
        <v>0</v>
      </c>
      <c r="F347" s="247"/>
      <c r="G347" s="242"/>
      <c r="H347" s="236"/>
      <c r="I347" s="242"/>
    </row>
    <row r="348" spans="1:9">
      <c r="A348" s="292">
        <v>293</v>
      </c>
      <c r="B348" s="248">
        <f t="shared" si="18"/>
        <v>0</v>
      </c>
      <c r="C348" s="248">
        <f t="shared" si="19"/>
        <v>0</v>
      </c>
      <c r="D348" s="248">
        <f t="shared" si="20"/>
        <v>0</v>
      </c>
      <c r="E348" s="248">
        <f t="shared" si="21"/>
        <v>0</v>
      </c>
      <c r="F348" s="247"/>
      <c r="G348" s="242"/>
      <c r="H348" s="236"/>
      <c r="I348" s="242"/>
    </row>
    <row r="349" spans="1:9">
      <c r="A349" s="292">
        <v>294</v>
      </c>
      <c r="B349" s="248">
        <f t="shared" si="18"/>
        <v>0</v>
      </c>
      <c r="C349" s="248">
        <f t="shared" si="19"/>
        <v>0</v>
      </c>
      <c r="D349" s="248">
        <f t="shared" si="20"/>
        <v>0</v>
      </c>
      <c r="E349" s="248">
        <f t="shared" si="21"/>
        <v>0</v>
      </c>
      <c r="F349" s="247"/>
      <c r="G349" s="291"/>
      <c r="H349" s="256"/>
      <c r="I349" s="242"/>
    </row>
    <row r="350" spans="1:9">
      <c r="A350" s="292">
        <v>295</v>
      </c>
      <c r="B350" s="248">
        <f t="shared" si="18"/>
        <v>0</v>
      </c>
      <c r="C350" s="248">
        <f t="shared" si="19"/>
        <v>0</v>
      </c>
      <c r="D350" s="248">
        <f t="shared" si="20"/>
        <v>0</v>
      </c>
      <c r="E350" s="248">
        <f t="shared" si="21"/>
        <v>0</v>
      </c>
      <c r="F350" s="247"/>
      <c r="G350" s="242"/>
      <c r="H350" s="236"/>
      <c r="I350" s="242"/>
    </row>
    <row r="351" spans="1:9">
      <c r="A351" s="292">
        <v>296</v>
      </c>
      <c r="B351" s="248">
        <f t="shared" si="18"/>
        <v>0</v>
      </c>
      <c r="C351" s="248">
        <f t="shared" si="19"/>
        <v>0</v>
      </c>
      <c r="D351" s="248">
        <f t="shared" si="20"/>
        <v>0</v>
      </c>
      <c r="E351" s="248">
        <f t="shared" si="21"/>
        <v>0</v>
      </c>
      <c r="F351" s="247"/>
      <c r="G351" s="242"/>
      <c r="H351" s="236"/>
      <c r="I351" s="242"/>
    </row>
    <row r="352" spans="1:9">
      <c r="A352" s="292">
        <v>297</v>
      </c>
      <c r="B352" s="248">
        <f t="shared" si="18"/>
        <v>0</v>
      </c>
      <c r="C352" s="248">
        <f t="shared" si="19"/>
        <v>0</v>
      </c>
      <c r="D352" s="248">
        <f t="shared" si="20"/>
        <v>0</v>
      </c>
      <c r="E352" s="248">
        <f t="shared" si="21"/>
        <v>0</v>
      </c>
      <c r="F352" s="247"/>
      <c r="G352" s="242"/>
      <c r="H352" s="236"/>
      <c r="I352" s="242"/>
    </row>
    <row r="353" spans="1:9">
      <c r="A353" s="292">
        <v>298</v>
      </c>
      <c r="B353" s="248">
        <f t="shared" si="18"/>
        <v>0</v>
      </c>
      <c r="C353" s="248">
        <f t="shared" si="19"/>
        <v>0</v>
      </c>
      <c r="D353" s="248">
        <f t="shared" si="20"/>
        <v>0</v>
      </c>
      <c r="E353" s="248">
        <f t="shared" si="21"/>
        <v>0</v>
      </c>
      <c r="F353" s="247"/>
      <c r="G353" s="242"/>
      <c r="H353" s="236"/>
      <c r="I353" s="242"/>
    </row>
    <row r="354" spans="1:9">
      <c r="A354" s="292">
        <v>299</v>
      </c>
      <c r="B354" s="248">
        <f t="shared" si="18"/>
        <v>0</v>
      </c>
      <c r="C354" s="248">
        <f t="shared" si="19"/>
        <v>0</v>
      </c>
      <c r="D354" s="248">
        <f t="shared" si="20"/>
        <v>0</v>
      </c>
      <c r="E354" s="248">
        <f t="shared" si="21"/>
        <v>0</v>
      </c>
      <c r="F354" s="247"/>
      <c r="G354" s="242"/>
      <c r="H354" s="236"/>
      <c r="I354" s="242"/>
    </row>
    <row r="355" spans="1:9">
      <c r="A355" s="292">
        <v>300</v>
      </c>
      <c r="B355" s="248">
        <f t="shared" si="18"/>
        <v>0</v>
      </c>
      <c r="C355" s="248">
        <f t="shared" si="19"/>
        <v>0</v>
      </c>
      <c r="D355" s="248">
        <f t="shared" si="20"/>
        <v>0</v>
      </c>
      <c r="E355" s="248">
        <f t="shared" si="21"/>
        <v>0</v>
      </c>
      <c r="F355" s="247">
        <v>25</v>
      </c>
      <c r="G355" s="291"/>
      <c r="H355" s="256"/>
      <c r="I355" s="291"/>
    </row>
    <row r="356" spans="1:9">
      <c r="A356" s="292">
        <v>301</v>
      </c>
      <c r="B356" s="248">
        <f t="shared" si="18"/>
        <v>0</v>
      </c>
      <c r="C356" s="248">
        <f t="shared" si="19"/>
        <v>0</v>
      </c>
      <c r="D356" s="248">
        <f t="shared" si="20"/>
        <v>0</v>
      </c>
      <c r="E356" s="248">
        <f t="shared" si="21"/>
        <v>0</v>
      </c>
      <c r="F356" s="247"/>
      <c r="G356" s="242"/>
      <c r="H356" s="236"/>
      <c r="I356" s="291"/>
    </row>
    <row r="357" spans="1:9">
      <c r="A357" s="292">
        <v>302</v>
      </c>
      <c r="B357" s="248">
        <f t="shared" si="18"/>
        <v>0</v>
      </c>
      <c r="C357" s="248">
        <f t="shared" si="19"/>
        <v>0</v>
      </c>
      <c r="D357" s="248">
        <f t="shared" si="20"/>
        <v>0</v>
      </c>
      <c r="E357" s="248">
        <f t="shared" si="21"/>
        <v>0</v>
      </c>
      <c r="F357" s="247"/>
      <c r="G357" s="242"/>
      <c r="H357" s="236"/>
      <c r="I357" s="242"/>
    </row>
    <row r="358" spans="1:9">
      <c r="A358" s="292">
        <v>303</v>
      </c>
      <c r="B358" s="248">
        <f t="shared" si="18"/>
        <v>0</v>
      </c>
      <c r="C358" s="248">
        <f t="shared" si="19"/>
        <v>0</v>
      </c>
      <c r="D358" s="248">
        <f t="shared" si="20"/>
        <v>0</v>
      </c>
      <c r="E358" s="248">
        <f t="shared" si="21"/>
        <v>0</v>
      </c>
      <c r="F358" s="247"/>
      <c r="G358" s="242"/>
      <c r="H358" s="236"/>
      <c r="I358" s="242"/>
    </row>
    <row r="359" spans="1:9">
      <c r="A359" s="292">
        <v>304</v>
      </c>
      <c r="B359" s="248">
        <f t="shared" si="18"/>
        <v>0</v>
      </c>
      <c r="C359" s="248">
        <f t="shared" si="19"/>
        <v>0</v>
      </c>
      <c r="D359" s="248">
        <f t="shared" si="20"/>
        <v>0</v>
      </c>
      <c r="E359" s="248">
        <f t="shared" si="21"/>
        <v>0</v>
      </c>
      <c r="F359" s="247"/>
      <c r="G359" s="242"/>
      <c r="H359" s="236"/>
      <c r="I359" s="242"/>
    </row>
    <row r="360" spans="1:9">
      <c r="A360" s="292">
        <v>305</v>
      </c>
      <c r="B360" s="248">
        <f t="shared" si="18"/>
        <v>0</v>
      </c>
      <c r="C360" s="248">
        <f t="shared" si="19"/>
        <v>0</v>
      </c>
      <c r="D360" s="248">
        <f t="shared" si="20"/>
        <v>0</v>
      </c>
      <c r="E360" s="248">
        <f t="shared" si="21"/>
        <v>0</v>
      </c>
      <c r="F360" s="247"/>
      <c r="G360" s="242"/>
      <c r="H360" s="236"/>
      <c r="I360" s="242"/>
    </row>
    <row r="361" spans="1:9">
      <c r="A361" s="292">
        <v>306</v>
      </c>
      <c r="B361" s="248">
        <f t="shared" si="18"/>
        <v>0</v>
      </c>
      <c r="C361" s="248">
        <f t="shared" si="19"/>
        <v>0</v>
      </c>
      <c r="D361" s="248">
        <f t="shared" si="20"/>
        <v>0</v>
      </c>
      <c r="E361" s="248">
        <f t="shared" si="21"/>
        <v>0</v>
      </c>
      <c r="F361" s="247"/>
      <c r="G361" s="291"/>
      <c r="H361" s="256"/>
      <c r="I361" s="242"/>
    </row>
    <row r="362" spans="1:9">
      <c r="A362" s="292">
        <v>307</v>
      </c>
      <c r="B362" s="248">
        <f t="shared" si="18"/>
        <v>0</v>
      </c>
      <c r="C362" s="248">
        <f t="shared" si="19"/>
        <v>0</v>
      </c>
      <c r="D362" s="248">
        <f t="shared" si="20"/>
        <v>0</v>
      </c>
      <c r="E362" s="248">
        <f t="shared" si="21"/>
        <v>0</v>
      </c>
      <c r="F362" s="247"/>
      <c r="G362" s="242"/>
      <c r="H362" s="236"/>
      <c r="I362" s="242"/>
    </row>
    <row r="363" spans="1:9">
      <c r="A363" s="292">
        <v>308</v>
      </c>
      <c r="B363" s="248">
        <f t="shared" si="18"/>
        <v>0</v>
      </c>
      <c r="C363" s="248">
        <f t="shared" si="19"/>
        <v>0</v>
      </c>
      <c r="D363" s="248">
        <f t="shared" si="20"/>
        <v>0</v>
      </c>
      <c r="E363" s="248">
        <f t="shared" si="21"/>
        <v>0</v>
      </c>
      <c r="F363" s="247"/>
      <c r="G363" s="242"/>
      <c r="H363" s="236"/>
      <c r="I363" s="242"/>
    </row>
    <row r="364" spans="1:9">
      <c r="A364" s="292">
        <v>309</v>
      </c>
      <c r="B364" s="248">
        <f t="shared" si="18"/>
        <v>0</v>
      </c>
      <c r="C364" s="248">
        <f t="shared" si="19"/>
        <v>0</v>
      </c>
      <c r="D364" s="248">
        <f t="shared" si="20"/>
        <v>0</v>
      </c>
      <c r="E364" s="248">
        <f t="shared" si="21"/>
        <v>0</v>
      </c>
      <c r="F364" s="247"/>
      <c r="G364" s="242"/>
      <c r="H364" s="236"/>
      <c r="I364" s="242"/>
    </row>
    <row r="365" spans="1:9">
      <c r="A365" s="292">
        <v>310</v>
      </c>
      <c r="B365" s="248">
        <f t="shared" si="18"/>
        <v>0</v>
      </c>
      <c r="C365" s="248">
        <f t="shared" si="19"/>
        <v>0</v>
      </c>
      <c r="D365" s="248">
        <f t="shared" si="20"/>
        <v>0</v>
      </c>
      <c r="E365" s="248">
        <f t="shared" si="21"/>
        <v>0</v>
      </c>
      <c r="F365" s="247"/>
      <c r="G365" s="242"/>
      <c r="H365" s="236"/>
      <c r="I365" s="242"/>
    </row>
    <row r="366" spans="1:9">
      <c r="A366" s="292">
        <v>311</v>
      </c>
      <c r="B366" s="248">
        <f t="shared" si="18"/>
        <v>0</v>
      </c>
      <c r="C366" s="248">
        <f t="shared" si="19"/>
        <v>0</v>
      </c>
      <c r="D366" s="248">
        <f t="shared" si="20"/>
        <v>0</v>
      </c>
      <c r="E366" s="248">
        <f t="shared" si="21"/>
        <v>0</v>
      </c>
      <c r="F366" s="247"/>
      <c r="G366" s="242"/>
      <c r="H366" s="236"/>
      <c r="I366" s="242"/>
    </row>
    <row r="367" spans="1:9">
      <c r="A367" s="292">
        <v>312</v>
      </c>
      <c r="B367" s="248">
        <f t="shared" si="18"/>
        <v>0</v>
      </c>
      <c r="C367" s="248">
        <f t="shared" si="19"/>
        <v>0</v>
      </c>
      <c r="D367" s="248">
        <f t="shared" si="20"/>
        <v>0</v>
      </c>
      <c r="E367" s="248">
        <f t="shared" si="21"/>
        <v>0</v>
      </c>
      <c r="F367" s="247">
        <v>26</v>
      </c>
      <c r="G367" s="291"/>
      <c r="H367" s="256"/>
      <c r="I367" s="291"/>
    </row>
    <row r="368" spans="1:9">
      <c r="A368" s="292">
        <v>313</v>
      </c>
      <c r="B368" s="248">
        <f t="shared" si="18"/>
        <v>0</v>
      </c>
      <c r="C368" s="248">
        <f t="shared" si="19"/>
        <v>0</v>
      </c>
      <c r="D368" s="248">
        <f t="shared" si="20"/>
        <v>0</v>
      </c>
      <c r="E368" s="248">
        <f t="shared" si="21"/>
        <v>0</v>
      </c>
      <c r="F368" s="247"/>
      <c r="G368" s="242"/>
      <c r="H368" s="236"/>
      <c r="I368" s="291"/>
    </row>
    <row r="369" spans="1:9">
      <c r="A369" s="292">
        <v>314</v>
      </c>
      <c r="B369" s="248">
        <f t="shared" si="18"/>
        <v>0</v>
      </c>
      <c r="C369" s="248">
        <f t="shared" si="19"/>
        <v>0</v>
      </c>
      <c r="D369" s="248">
        <f t="shared" si="20"/>
        <v>0</v>
      </c>
      <c r="E369" s="248">
        <f t="shared" si="21"/>
        <v>0</v>
      </c>
      <c r="F369" s="247"/>
      <c r="G369" s="242"/>
      <c r="H369" s="236"/>
      <c r="I369" s="242"/>
    </row>
    <row r="370" spans="1:9">
      <c r="A370" s="292">
        <v>315</v>
      </c>
      <c r="B370" s="248">
        <f t="shared" si="18"/>
        <v>0</v>
      </c>
      <c r="C370" s="248">
        <f t="shared" si="19"/>
        <v>0</v>
      </c>
      <c r="D370" s="248">
        <f t="shared" si="20"/>
        <v>0</v>
      </c>
      <c r="E370" s="248">
        <f t="shared" si="21"/>
        <v>0</v>
      </c>
      <c r="F370" s="247"/>
      <c r="G370" s="242"/>
      <c r="H370" s="236"/>
      <c r="I370" s="242"/>
    </row>
    <row r="371" spans="1:9">
      <c r="A371" s="292">
        <v>316</v>
      </c>
      <c r="B371" s="248">
        <f t="shared" si="18"/>
        <v>0</v>
      </c>
      <c r="C371" s="248">
        <f t="shared" si="19"/>
        <v>0</v>
      </c>
      <c r="D371" s="248">
        <f t="shared" si="20"/>
        <v>0</v>
      </c>
      <c r="E371" s="248">
        <f t="shared" si="21"/>
        <v>0</v>
      </c>
      <c r="F371" s="247"/>
      <c r="G371" s="242"/>
      <c r="H371" s="236"/>
      <c r="I371" s="242"/>
    </row>
    <row r="372" spans="1:9">
      <c r="A372" s="292">
        <v>317</v>
      </c>
      <c r="B372" s="248">
        <f t="shared" si="18"/>
        <v>0</v>
      </c>
      <c r="C372" s="248">
        <f t="shared" si="19"/>
        <v>0</v>
      </c>
      <c r="D372" s="248">
        <f t="shared" si="20"/>
        <v>0</v>
      </c>
      <c r="E372" s="248">
        <f t="shared" si="21"/>
        <v>0</v>
      </c>
      <c r="F372" s="247"/>
      <c r="G372" s="242"/>
      <c r="H372" s="236"/>
      <c r="I372" s="242"/>
    </row>
    <row r="373" spans="1:9">
      <c r="A373" s="292">
        <v>318</v>
      </c>
      <c r="B373" s="248">
        <f t="shared" si="18"/>
        <v>0</v>
      </c>
      <c r="C373" s="248">
        <f t="shared" si="19"/>
        <v>0</v>
      </c>
      <c r="D373" s="248">
        <f t="shared" si="20"/>
        <v>0</v>
      </c>
      <c r="E373" s="248">
        <f t="shared" si="21"/>
        <v>0</v>
      </c>
      <c r="F373" s="247"/>
      <c r="G373" s="291"/>
      <c r="H373" s="256"/>
      <c r="I373" s="242"/>
    </row>
    <row r="374" spans="1:9">
      <c r="A374" s="292">
        <v>319</v>
      </c>
      <c r="B374" s="248">
        <f t="shared" si="18"/>
        <v>0</v>
      </c>
      <c r="C374" s="248">
        <f t="shared" si="19"/>
        <v>0</v>
      </c>
      <c r="D374" s="248">
        <f t="shared" si="20"/>
        <v>0</v>
      </c>
      <c r="E374" s="248">
        <f t="shared" si="21"/>
        <v>0</v>
      </c>
      <c r="F374" s="247"/>
      <c r="G374" s="242"/>
      <c r="H374" s="236"/>
      <c r="I374" s="242"/>
    </row>
    <row r="375" spans="1:9">
      <c r="A375" s="292">
        <v>320</v>
      </c>
      <c r="B375" s="248">
        <f t="shared" si="18"/>
        <v>0</v>
      </c>
      <c r="C375" s="248">
        <f t="shared" si="19"/>
        <v>0</v>
      </c>
      <c r="D375" s="248">
        <f t="shared" si="20"/>
        <v>0</v>
      </c>
      <c r="E375" s="248">
        <f t="shared" si="21"/>
        <v>0</v>
      </c>
      <c r="F375" s="247"/>
      <c r="G375" s="242"/>
      <c r="H375" s="236"/>
      <c r="I375" s="242"/>
    </row>
    <row r="376" spans="1:9">
      <c r="A376" s="292">
        <v>321</v>
      </c>
      <c r="B376" s="248">
        <f t="shared" ref="B376:B439" si="22">IF(A376&gt;12*$D$14,0,$D$20)</f>
        <v>0</v>
      </c>
      <c r="C376" s="248">
        <f t="shared" ref="C376:C439" si="23">IF(A376&gt;12*$D$14,0,E375*$D$10/12)</f>
        <v>0</v>
      </c>
      <c r="D376" s="248">
        <f t="shared" ref="D376:D439" si="24">IF(A376&gt;12*$D$14,0,B376-C376)</f>
        <v>0</v>
      </c>
      <c r="E376" s="248">
        <f t="shared" ref="E376:E439" si="25">IF(A376&gt;12*$D$14,0,E375-D376)</f>
        <v>0</v>
      </c>
      <c r="F376" s="247"/>
      <c r="G376" s="242"/>
      <c r="H376" s="236"/>
      <c r="I376" s="242"/>
    </row>
    <row r="377" spans="1:9">
      <c r="A377" s="292">
        <v>322</v>
      </c>
      <c r="B377" s="248">
        <f t="shared" si="22"/>
        <v>0</v>
      </c>
      <c r="C377" s="248">
        <f t="shared" si="23"/>
        <v>0</v>
      </c>
      <c r="D377" s="248">
        <f t="shared" si="24"/>
        <v>0</v>
      </c>
      <c r="E377" s="248">
        <f t="shared" si="25"/>
        <v>0</v>
      </c>
      <c r="F377" s="247"/>
      <c r="G377" s="242"/>
      <c r="H377" s="236"/>
      <c r="I377" s="242"/>
    </row>
    <row r="378" spans="1:9">
      <c r="A378" s="292">
        <v>323</v>
      </c>
      <c r="B378" s="248">
        <f t="shared" si="22"/>
        <v>0</v>
      </c>
      <c r="C378" s="248">
        <f t="shared" si="23"/>
        <v>0</v>
      </c>
      <c r="D378" s="248">
        <f t="shared" si="24"/>
        <v>0</v>
      </c>
      <c r="E378" s="248">
        <f t="shared" si="25"/>
        <v>0</v>
      </c>
      <c r="F378" s="247"/>
      <c r="G378" s="242"/>
      <c r="H378" s="236"/>
      <c r="I378" s="242"/>
    </row>
    <row r="379" spans="1:9">
      <c r="A379" s="292">
        <v>324</v>
      </c>
      <c r="B379" s="248">
        <f t="shared" si="22"/>
        <v>0</v>
      </c>
      <c r="C379" s="248">
        <f t="shared" si="23"/>
        <v>0</v>
      </c>
      <c r="D379" s="248">
        <f t="shared" si="24"/>
        <v>0</v>
      </c>
      <c r="E379" s="248">
        <f t="shared" si="25"/>
        <v>0</v>
      </c>
      <c r="F379" s="247">
        <v>27</v>
      </c>
      <c r="G379" s="291"/>
      <c r="H379" s="256"/>
      <c r="I379" s="291"/>
    </row>
    <row r="380" spans="1:9">
      <c r="A380" s="292">
        <v>325</v>
      </c>
      <c r="B380" s="248">
        <f t="shared" si="22"/>
        <v>0</v>
      </c>
      <c r="C380" s="248">
        <f t="shared" si="23"/>
        <v>0</v>
      </c>
      <c r="D380" s="248">
        <f t="shared" si="24"/>
        <v>0</v>
      </c>
      <c r="E380" s="248">
        <f t="shared" si="25"/>
        <v>0</v>
      </c>
      <c r="F380" s="247"/>
      <c r="G380" s="242"/>
      <c r="H380" s="236"/>
      <c r="I380" s="291"/>
    </row>
    <row r="381" spans="1:9">
      <c r="A381" s="292">
        <v>326</v>
      </c>
      <c r="B381" s="248">
        <f t="shared" si="22"/>
        <v>0</v>
      </c>
      <c r="C381" s="248">
        <f t="shared" si="23"/>
        <v>0</v>
      </c>
      <c r="D381" s="248">
        <f t="shared" si="24"/>
        <v>0</v>
      </c>
      <c r="E381" s="248">
        <f t="shared" si="25"/>
        <v>0</v>
      </c>
      <c r="F381" s="247"/>
      <c r="G381" s="242"/>
      <c r="H381" s="236"/>
      <c r="I381" s="242"/>
    </row>
    <row r="382" spans="1:9">
      <c r="A382" s="292">
        <v>327</v>
      </c>
      <c r="B382" s="248">
        <f t="shared" si="22"/>
        <v>0</v>
      </c>
      <c r="C382" s="248">
        <f t="shared" si="23"/>
        <v>0</v>
      </c>
      <c r="D382" s="248">
        <f t="shared" si="24"/>
        <v>0</v>
      </c>
      <c r="E382" s="248">
        <f t="shared" si="25"/>
        <v>0</v>
      </c>
      <c r="F382" s="247"/>
      <c r="G382" s="242"/>
      <c r="H382" s="236"/>
      <c r="I382" s="242"/>
    </row>
    <row r="383" spans="1:9">
      <c r="A383" s="292">
        <v>328</v>
      </c>
      <c r="B383" s="248">
        <f t="shared" si="22"/>
        <v>0</v>
      </c>
      <c r="C383" s="248">
        <f t="shared" si="23"/>
        <v>0</v>
      </c>
      <c r="D383" s="248">
        <f t="shared" si="24"/>
        <v>0</v>
      </c>
      <c r="E383" s="248">
        <f t="shared" si="25"/>
        <v>0</v>
      </c>
      <c r="F383" s="247"/>
      <c r="G383" s="242"/>
      <c r="H383" s="236"/>
      <c r="I383" s="242"/>
    </row>
    <row r="384" spans="1:9">
      <c r="A384" s="292">
        <v>329</v>
      </c>
      <c r="B384" s="248">
        <f t="shared" si="22"/>
        <v>0</v>
      </c>
      <c r="C384" s="248">
        <f t="shared" si="23"/>
        <v>0</v>
      </c>
      <c r="D384" s="248">
        <f t="shared" si="24"/>
        <v>0</v>
      </c>
      <c r="E384" s="248">
        <f t="shared" si="25"/>
        <v>0</v>
      </c>
      <c r="F384" s="247"/>
      <c r="G384" s="242"/>
      <c r="H384" s="236"/>
      <c r="I384" s="242"/>
    </row>
    <row r="385" spans="1:9">
      <c r="A385" s="292">
        <v>330</v>
      </c>
      <c r="B385" s="248">
        <f t="shared" si="22"/>
        <v>0</v>
      </c>
      <c r="C385" s="248">
        <f t="shared" si="23"/>
        <v>0</v>
      </c>
      <c r="D385" s="248">
        <f t="shared" si="24"/>
        <v>0</v>
      </c>
      <c r="E385" s="248">
        <f t="shared" si="25"/>
        <v>0</v>
      </c>
      <c r="F385" s="247"/>
      <c r="G385" s="291"/>
      <c r="H385" s="256"/>
      <c r="I385" s="242"/>
    </row>
    <row r="386" spans="1:9">
      <c r="A386" s="292">
        <v>331</v>
      </c>
      <c r="B386" s="248">
        <f t="shared" si="22"/>
        <v>0</v>
      </c>
      <c r="C386" s="248">
        <f t="shared" si="23"/>
        <v>0</v>
      </c>
      <c r="D386" s="248">
        <f t="shared" si="24"/>
        <v>0</v>
      </c>
      <c r="E386" s="248">
        <f t="shared" si="25"/>
        <v>0</v>
      </c>
      <c r="F386" s="247"/>
      <c r="G386" s="242"/>
      <c r="H386" s="236"/>
      <c r="I386" s="242"/>
    </row>
    <row r="387" spans="1:9">
      <c r="A387" s="292">
        <v>332</v>
      </c>
      <c r="B387" s="248">
        <f t="shared" si="22"/>
        <v>0</v>
      </c>
      <c r="C387" s="248">
        <f t="shared" si="23"/>
        <v>0</v>
      </c>
      <c r="D387" s="248">
        <f t="shared" si="24"/>
        <v>0</v>
      </c>
      <c r="E387" s="248">
        <f t="shared" si="25"/>
        <v>0</v>
      </c>
      <c r="F387" s="247"/>
      <c r="G387" s="242"/>
      <c r="H387" s="236"/>
      <c r="I387" s="242"/>
    </row>
    <row r="388" spans="1:9">
      <c r="A388" s="292">
        <v>333</v>
      </c>
      <c r="B388" s="248">
        <f t="shared" si="22"/>
        <v>0</v>
      </c>
      <c r="C388" s="248">
        <f t="shared" si="23"/>
        <v>0</v>
      </c>
      <c r="D388" s="248">
        <f t="shared" si="24"/>
        <v>0</v>
      </c>
      <c r="E388" s="248">
        <f t="shared" si="25"/>
        <v>0</v>
      </c>
      <c r="F388" s="247"/>
      <c r="G388" s="242"/>
      <c r="H388" s="236"/>
      <c r="I388" s="242"/>
    </row>
    <row r="389" spans="1:9">
      <c r="A389" s="292">
        <v>334</v>
      </c>
      <c r="B389" s="248">
        <f t="shared" si="22"/>
        <v>0</v>
      </c>
      <c r="C389" s="248">
        <f t="shared" si="23"/>
        <v>0</v>
      </c>
      <c r="D389" s="248">
        <f t="shared" si="24"/>
        <v>0</v>
      </c>
      <c r="E389" s="248">
        <f t="shared" si="25"/>
        <v>0</v>
      </c>
      <c r="F389" s="247"/>
      <c r="G389" s="242"/>
      <c r="H389" s="236"/>
      <c r="I389" s="242"/>
    </row>
    <row r="390" spans="1:9">
      <c r="A390" s="292">
        <v>335</v>
      </c>
      <c r="B390" s="248">
        <f t="shared" si="22"/>
        <v>0</v>
      </c>
      <c r="C390" s="248">
        <f t="shared" si="23"/>
        <v>0</v>
      </c>
      <c r="D390" s="248">
        <f t="shared" si="24"/>
        <v>0</v>
      </c>
      <c r="E390" s="248">
        <f t="shared" si="25"/>
        <v>0</v>
      </c>
      <c r="F390" s="247"/>
      <c r="G390" s="242"/>
      <c r="H390" s="236"/>
      <c r="I390" s="242"/>
    </row>
    <row r="391" spans="1:9">
      <c r="A391" s="292">
        <v>336</v>
      </c>
      <c r="B391" s="248">
        <f t="shared" si="22"/>
        <v>0</v>
      </c>
      <c r="C391" s="248">
        <f t="shared" si="23"/>
        <v>0</v>
      </c>
      <c r="D391" s="248">
        <f t="shared" si="24"/>
        <v>0</v>
      </c>
      <c r="E391" s="248">
        <f t="shared" si="25"/>
        <v>0</v>
      </c>
      <c r="F391" s="247">
        <v>28</v>
      </c>
      <c r="G391" s="291"/>
      <c r="H391" s="256"/>
      <c r="I391" s="291"/>
    </row>
    <row r="392" spans="1:9">
      <c r="A392" s="292">
        <v>337</v>
      </c>
      <c r="B392" s="248">
        <f t="shared" si="22"/>
        <v>0</v>
      </c>
      <c r="C392" s="248">
        <f t="shared" si="23"/>
        <v>0</v>
      </c>
      <c r="D392" s="248">
        <f t="shared" si="24"/>
        <v>0</v>
      </c>
      <c r="E392" s="248">
        <f t="shared" si="25"/>
        <v>0</v>
      </c>
      <c r="F392" s="247"/>
      <c r="G392" s="242"/>
      <c r="H392" s="236"/>
      <c r="I392" s="291"/>
    </row>
    <row r="393" spans="1:9">
      <c r="A393" s="292">
        <v>338</v>
      </c>
      <c r="B393" s="248">
        <f t="shared" si="22"/>
        <v>0</v>
      </c>
      <c r="C393" s="248">
        <f t="shared" si="23"/>
        <v>0</v>
      </c>
      <c r="D393" s="248">
        <f t="shared" si="24"/>
        <v>0</v>
      </c>
      <c r="E393" s="248">
        <f t="shared" si="25"/>
        <v>0</v>
      </c>
      <c r="F393" s="247"/>
      <c r="G393" s="242"/>
      <c r="H393" s="236"/>
      <c r="I393" s="242"/>
    </row>
    <row r="394" spans="1:9">
      <c r="A394" s="292">
        <v>339</v>
      </c>
      <c r="B394" s="248">
        <f t="shared" si="22"/>
        <v>0</v>
      </c>
      <c r="C394" s="248">
        <f t="shared" si="23"/>
        <v>0</v>
      </c>
      <c r="D394" s="248">
        <f t="shared" si="24"/>
        <v>0</v>
      </c>
      <c r="E394" s="248">
        <f t="shared" si="25"/>
        <v>0</v>
      </c>
      <c r="F394" s="247"/>
      <c r="G394" s="242"/>
      <c r="H394" s="236"/>
      <c r="I394" s="242"/>
    </row>
    <row r="395" spans="1:9">
      <c r="A395" s="292">
        <v>340</v>
      </c>
      <c r="B395" s="248">
        <f t="shared" si="22"/>
        <v>0</v>
      </c>
      <c r="C395" s="248">
        <f t="shared" si="23"/>
        <v>0</v>
      </c>
      <c r="D395" s="248">
        <f t="shared" si="24"/>
        <v>0</v>
      </c>
      <c r="E395" s="248">
        <f t="shared" si="25"/>
        <v>0</v>
      </c>
      <c r="F395" s="247"/>
      <c r="G395" s="242"/>
      <c r="H395" s="236"/>
      <c r="I395" s="242"/>
    </row>
    <row r="396" spans="1:9">
      <c r="A396" s="292">
        <v>341</v>
      </c>
      <c r="B396" s="248">
        <f t="shared" si="22"/>
        <v>0</v>
      </c>
      <c r="C396" s="248">
        <f t="shared" si="23"/>
        <v>0</v>
      </c>
      <c r="D396" s="248">
        <f t="shared" si="24"/>
        <v>0</v>
      </c>
      <c r="E396" s="248">
        <f t="shared" si="25"/>
        <v>0</v>
      </c>
      <c r="F396" s="247"/>
      <c r="G396" s="242"/>
      <c r="H396" s="236"/>
      <c r="I396" s="242"/>
    </row>
    <row r="397" spans="1:9">
      <c r="A397" s="292">
        <v>342</v>
      </c>
      <c r="B397" s="248">
        <f t="shared" si="22"/>
        <v>0</v>
      </c>
      <c r="C397" s="248">
        <f t="shared" si="23"/>
        <v>0</v>
      </c>
      <c r="D397" s="248">
        <f t="shared" si="24"/>
        <v>0</v>
      </c>
      <c r="E397" s="248">
        <f t="shared" si="25"/>
        <v>0</v>
      </c>
      <c r="F397" s="247"/>
      <c r="G397" s="291"/>
      <c r="H397" s="256"/>
      <c r="I397" s="242"/>
    </row>
    <row r="398" spans="1:9">
      <c r="A398" s="292">
        <v>343</v>
      </c>
      <c r="B398" s="248">
        <f t="shared" si="22"/>
        <v>0</v>
      </c>
      <c r="C398" s="248">
        <f t="shared" si="23"/>
        <v>0</v>
      </c>
      <c r="D398" s="248">
        <f t="shared" si="24"/>
        <v>0</v>
      </c>
      <c r="E398" s="248">
        <f t="shared" si="25"/>
        <v>0</v>
      </c>
      <c r="F398" s="247"/>
      <c r="G398" s="242"/>
      <c r="H398" s="236"/>
      <c r="I398" s="242"/>
    </row>
    <row r="399" spans="1:9">
      <c r="A399" s="292">
        <v>344</v>
      </c>
      <c r="B399" s="248">
        <f t="shared" si="22"/>
        <v>0</v>
      </c>
      <c r="C399" s="248">
        <f t="shared" si="23"/>
        <v>0</v>
      </c>
      <c r="D399" s="248">
        <f t="shared" si="24"/>
        <v>0</v>
      </c>
      <c r="E399" s="248">
        <f t="shared" si="25"/>
        <v>0</v>
      </c>
      <c r="F399" s="247"/>
      <c r="G399" s="242"/>
      <c r="H399" s="236"/>
      <c r="I399" s="242"/>
    </row>
    <row r="400" spans="1:9">
      <c r="A400" s="292">
        <v>345</v>
      </c>
      <c r="B400" s="248">
        <f t="shared" si="22"/>
        <v>0</v>
      </c>
      <c r="C400" s="248">
        <f t="shared" si="23"/>
        <v>0</v>
      </c>
      <c r="D400" s="248">
        <f t="shared" si="24"/>
        <v>0</v>
      </c>
      <c r="E400" s="248">
        <f t="shared" si="25"/>
        <v>0</v>
      </c>
      <c r="F400" s="247"/>
      <c r="G400" s="242"/>
      <c r="H400" s="236"/>
      <c r="I400" s="242"/>
    </row>
    <row r="401" spans="1:9">
      <c r="A401" s="292">
        <v>346</v>
      </c>
      <c r="B401" s="248">
        <f t="shared" si="22"/>
        <v>0</v>
      </c>
      <c r="C401" s="248">
        <f t="shared" si="23"/>
        <v>0</v>
      </c>
      <c r="D401" s="248">
        <f t="shared" si="24"/>
        <v>0</v>
      </c>
      <c r="E401" s="248">
        <f t="shared" si="25"/>
        <v>0</v>
      </c>
      <c r="F401" s="247"/>
      <c r="G401" s="242"/>
      <c r="H401" s="236"/>
      <c r="I401" s="242"/>
    </row>
    <row r="402" spans="1:9">
      <c r="A402" s="292">
        <v>347</v>
      </c>
      <c r="B402" s="248">
        <f t="shared" si="22"/>
        <v>0</v>
      </c>
      <c r="C402" s="248">
        <f t="shared" si="23"/>
        <v>0</v>
      </c>
      <c r="D402" s="248">
        <f t="shared" si="24"/>
        <v>0</v>
      </c>
      <c r="E402" s="248">
        <f t="shared" si="25"/>
        <v>0</v>
      </c>
      <c r="F402" s="247"/>
      <c r="G402" s="242"/>
      <c r="H402" s="236"/>
      <c r="I402" s="242"/>
    </row>
    <row r="403" spans="1:9">
      <c r="A403" s="292">
        <v>348</v>
      </c>
      <c r="B403" s="248">
        <f t="shared" si="22"/>
        <v>0</v>
      </c>
      <c r="C403" s="248">
        <f t="shared" si="23"/>
        <v>0</v>
      </c>
      <c r="D403" s="248">
        <f t="shared" si="24"/>
        <v>0</v>
      </c>
      <c r="E403" s="248">
        <f t="shared" si="25"/>
        <v>0</v>
      </c>
      <c r="F403" s="247">
        <v>29</v>
      </c>
      <c r="G403" s="291"/>
      <c r="H403" s="256"/>
      <c r="I403" s="291"/>
    </row>
    <row r="404" spans="1:9">
      <c r="A404" s="292">
        <v>349</v>
      </c>
      <c r="B404" s="248">
        <f t="shared" si="22"/>
        <v>0</v>
      </c>
      <c r="C404" s="248">
        <f t="shared" si="23"/>
        <v>0</v>
      </c>
      <c r="D404" s="248">
        <f t="shared" si="24"/>
        <v>0</v>
      </c>
      <c r="E404" s="248">
        <f t="shared" si="25"/>
        <v>0</v>
      </c>
      <c r="F404" s="247"/>
      <c r="G404" s="242"/>
      <c r="H404" s="236"/>
      <c r="I404" s="291"/>
    </row>
    <row r="405" spans="1:9">
      <c r="A405" s="292">
        <v>350</v>
      </c>
      <c r="B405" s="248">
        <f t="shared" si="22"/>
        <v>0</v>
      </c>
      <c r="C405" s="248">
        <f t="shared" si="23"/>
        <v>0</v>
      </c>
      <c r="D405" s="248">
        <f t="shared" si="24"/>
        <v>0</v>
      </c>
      <c r="E405" s="248">
        <f t="shared" si="25"/>
        <v>0</v>
      </c>
      <c r="F405" s="247"/>
      <c r="G405" s="242"/>
      <c r="H405" s="236"/>
      <c r="I405" s="242"/>
    </row>
    <row r="406" spans="1:9">
      <c r="A406" s="292">
        <v>351</v>
      </c>
      <c r="B406" s="248">
        <f t="shared" si="22"/>
        <v>0</v>
      </c>
      <c r="C406" s="248">
        <f t="shared" si="23"/>
        <v>0</v>
      </c>
      <c r="D406" s="248">
        <f t="shared" si="24"/>
        <v>0</v>
      </c>
      <c r="E406" s="248">
        <f t="shared" si="25"/>
        <v>0</v>
      </c>
      <c r="F406" s="247"/>
      <c r="G406" s="242"/>
      <c r="H406" s="236"/>
      <c r="I406" s="242"/>
    </row>
    <row r="407" spans="1:9">
      <c r="A407" s="292">
        <v>352</v>
      </c>
      <c r="B407" s="248">
        <f t="shared" si="22"/>
        <v>0</v>
      </c>
      <c r="C407" s="248">
        <f t="shared" si="23"/>
        <v>0</v>
      </c>
      <c r="D407" s="248">
        <f t="shared" si="24"/>
        <v>0</v>
      </c>
      <c r="E407" s="248">
        <f t="shared" si="25"/>
        <v>0</v>
      </c>
      <c r="F407" s="247"/>
      <c r="G407" s="242"/>
      <c r="H407" s="236"/>
      <c r="I407" s="242"/>
    </row>
    <row r="408" spans="1:9">
      <c r="A408" s="292">
        <v>353</v>
      </c>
      <c r="B408" s="248">
        <f t="shared" si="22"/>
        <v>0</v>
      </c>
      <c r="C408" s="248">
        <f t="shared" si="23"/>
        <v>0</v>
      </c>
      <c r="D408" s="248">
        <f t="shared" si="24"/>
        <v>0</v>
      </c>
      <c r="E408" s="248">
        <f t="shared" si="25"/>
        <v>0</v>
      </c>
      <c r="F408" s="247"/>
      <c r="G408" s="242"/>
      <c r="H408" s="236"/>
      <c r="I408" s="242"/>
    </row>
    <row r="409" spans="1:9">
      <c r="A409" s="292">
        <v>354</v>
      </c>
      <c r="B409" s="248">
        <f t="shared" si="22"/>
        <v>0</v>
      </c>
      <c r="C409" s="248">
        <f t="shared" si="23"/>
        <v>0</v>
      </c>
      <c r="D409" s="248">
        <f t="shared" si="24"/>
        <v>0</v>
      </c>
      <c r="E409" s="248">
        <f t="shared" si="25"/>
        <v>0</v>
      </c>
      <c r="F409" s="247"/>
      <c r="G409" s="291"/>
      <c r="H409" s="256"/>
      <c r="I409" s="242"/>
    </row>
    <row r="410" spans="1:9">
      <c r="A410" s="292">
        <v>355</v>
      </c>
      <c r="B410" s="248">
        <f t="shared" si="22"/>
        <v>0</v>
      </c>
      <c r="C410" s="248">
        <f t="shared" si="23"/>
        <v>0</v>
      </c>
      <c r="D410" s="248">
        <f t="shared" si="24"/>
        <v>0</v>
      </c>
      <c r="E410" s="248">
        <f t="shared" si="25"/>
        <v>0</v>
      </c>
      <c r="F410" s="247"/>
      <c r="G410" s="242"/>
      <c r="H410" s="236"/>
      <c r="I410" s="242"/>
    </row>
    <row r="411" spans="1:9">
      <c r="A411" s="292">
        <v>356</v>
      </c>
      <c r="B411" s="248">
        <f t="shared" si="22"/>
        <v>0</v>
      </c>
      <c r="C411" s="248">
        <f t="shared" si="23"/>
        <v>0</v>
      </c>
      <c r="D411" s="248">
        <f t="shared" si="24"/>
        <v>0</v>
      </c>
      <c r="E411" s="248">
        <f t="shared" si="25"/>
        <v>0</v>
      </c>
      <c r="F411" s="247"/>
      <c r="G411" s="242"/>
      <c r="H411" s="236"/>
      <c r="I411" s="242"/>
    </row>
    <row r="412" spans="1:9">
      <c r="A412" s="292">
        <v>357</v>
      </c>
      <c r="B412" s="248">
        <f t="shared" si="22"/>
        <v>0</v>
      </c>
      <c r="C412" s="248">
        <f t="shared" si="23"/>
        <v>0</v>
      </c>
      <c r="D412" s="248">
        <f t="shared" si="24"/>
        <v>0</v>
      </c>
      <c r="E412" s="248">
        <f t="shared" si="25"/>
        <v>0</v>
      </c>
      <c r="F412" s="247"/>
      <c r="G412" s="242"/>
      <c r="H412" s="236"/>
      <c r="I412" s="242"/>
    </row>
    <row r="413" spans="1:9">
      <c r="A413" s="292">
        <v>358</v>
      </c>
      <c r="B413" s="248">
        <f t="shared" si="22"/>
        <v>0</v>
      </c>
      <c r="C413" s="248">
        <f t="shared" si="23"/>
        <v>0</v>
      </c>
      <c r="D413" s="248">
        <f t="shared" si="24"/>
        <v>0</v>
      </c>
      <c r="E413" s="248">
        <f t="shared" si="25"/>
        <v>0</v>
      </c>
      <c r="F413" s="247"/>
      <c r="G413" s="242"/>
      <c r="H413" s="236"/>
      <c r="I413" s="242"/>
    </row>
    <row r="414" spans="1:9">
      <c r="A414" s="292">
        <v>359</v>
      </c>
      <c r="B414" s="248">
        <f t="shared" si="22"/>
        <v>0</v>
      </c>
      <c r="C414" s="248">
        <f t="shared" si="23"/>
        <v>0</v>
      </c>
      <c r="D414" s="248">
        <f t="shared" si="24"/>
        <v>0</v>
      </c>
      <c r="E414" s="248">
        <f t="shared" si="25"/>
        <v>0</v>
      </c>
      <c r="F414" s="247"/>
      <c r="G414" s="242"/>
      <c r="H414" s="236"/>
      <c r="I414" s="242"/>
    </row>
    <row r="415" spans="1:9">
      <c r="A415" s="292">
        <v>360</v>
      </c>
      <c r="B415" s="248">
        <f t="shared" si="22"/>
        <v>0</v>
      </c>
      <c r="C415" s="248">
        <f t="shared" si="23"/>
        <v>0</v>
      </c>
      <c r="D415" s="248">
        <f t="shared" si="24"/>
        <v>0</v>
      </c>
      <c r="E415" s="248">
        <f t="shared" si="25"/>
        <v>0</v>
      </c>
      <c r="F415" s="247">
        <v>30</v>
      </c>
      <c r="G415" s="291"/>
      <c r="H415" s="256"/>
      <c r="I415" s="291"/>
    </row>
    <row r="416" spans="1:9">
      <c r="A416" s="292">
        <v>361</v>
      </c>
      <c r="B416" s="248">
        <f t="shared" si="22"/>
        <v>0</v>
      </c>
      <c r="C416" s="248">
        <f t="shared" si="23"/>
        <v>0</v>
      </c>
      <c r="D416" s="248">
        <f t="shared" si="24"/>
        <v>0</v>
      </c>
      <c r="E416" s="248">
        <f t="shared" si="25"/>
        <v>0</v>
      </c>
      <c r="F416" s="247"/>
      <c r="G416" s="242"/>
      <c r="H416" s="236"/>
      <c r="I416" s="291"/>
    </row>
    <row r="417" spans="1:9">
      <c r="A417" s="292">
        <v>362</v>
      </c>
      <c r="B417" s="248">
        <f t="shared" si="22"/>
        <v>0</v>
      </c>
      <c r="C417" s="248">
        <f t="shared" si="23"/>
        <v>0</v>
      </c>
      <c r="D417" s="248">
        <f t="shared" si="24"/>
        <v>0</v>
      </c>
      <c r="E417" s="248">
        <f t="shared" si="25"/>
        <v>0</v>
      </c>
      <c r="F417" s="247"/>
      <c r="G417" s="242"/>
      <c r="H417" s="236"/>
      <c r="I417" s="242"/>
    </row>
    <row r="418" spans="1:9">
      <c r="A418" s="292">
        <v>363</v>
      </c>
      <c r="B418" s="248">
        <f t="shared" si="22"/>
        <v>0</v>
      </c>
      <c r="C418" s="248">
        <f t="shared" si="23"/>
        <v>0</v>
      </c>
      <c r="D418" s="248">
        <f t="shared" si="24"/>
        <v>0</v>
      </c>
      <c r="E418" s="248">
        <f t="shared" si="25"/>
        <v>0</v>
      </c>
      <c r="F418" s="247"/>
      <c r="G418" s="242"/>
      <c r="H418" s="236"/>
      <c r="I418" s="242"/>
    </row>
    <row r="419" spans="1:9">
      <c r="A419" s="292">
        <v>364</v>
      </c>
      <c r="B419" s="248">
        <f t="shared" si="22"/>
        <v>0</v>
      </c>
      <c r="C419" s="248">
        <f t="shared" si="23"/>
        <v>0</v>
      </c>
      <c r="D419" s="248">
        <f t="shared" si="24"/>
        <v>0</v>
      </c>
      <c r="E419" s="248">
        <f t="shared" si="25"/>
        <v>0</v>
      </c>
      <c r="F419" s="247"/>
      <c r="G419" s="242"/>
      <c r="H419" s="236"/>
      <c r="I419" s="242"/>
    </row>
    <row r="420" spans="1:9">
      <c r="A420" s="292">
        <v>365</v>
      </c>
      <c r="B420" s="248">
        <f t="shared" si="22"/>
        <v>0</v>
      </c>
      <c r="C420" s="248">
        <f t="shared" si="23"/>
        <v>0</v>
      </c>
      <c r="D420" s="248">
        <f t="shared" si="24"/>
        <v>0</v>
      </c>
      <c r="E420" s="248">
        <f t="shared" si="25"/>
        <v>0</v>
      </c>
      <c r="F420" s="247"/>
      <c r="G420" s="242"/>
      <c r="H420" s="236"/>
      <c r="I420" s="242"/>
    </row>
    <row r="421" spans="1:9">
      <c r="A421" s="292">
        <v>366</v>
      </c>
      <c r="B421" s="248">
        <f t="shared" si="22"/>
        <v>0</v>
      </c>
      <c r="C421" s="248">
        <f t="shared" si="23"/>
        <v>0</v>
      </c>
      <c r="D421" s="248">
        <f t="shared" si="24"/>
        <v>0</v>
      </c>
      <c r="E421" s="248">
        <f t="shared" si="25"/>
        <v>0</v>
      </c>
      <c r="F421" s="247"/>
      <c r="G421" s="291"/>
      <c r="H421" s="256"/>
      <c r="I421" s="242"/>
    </row>
    <row r="422" spans="1:9">
      <c r="A422" s="292">
        <v>367</v>
      </c>
      <c r="B422" s="248">
        <f t="shared" si="22"/>
        <v>0</v>
      </c>
      <c r="C422" s="248">
        <f t="shared" si="23"/>
        <v>0</v>
      </c>
      <c r="D422" s="248">
        <f t="shared" si="24"/>
        <v>0</v>
      </c>
      <c r="E422" s="248">
        <f t="shared" si="25"/>
        <v>0</v>
      </c>
      <c r="F422" s="247"/>
      <c r="G422" s="242"/>
      <c r="H422" s="236"/>
      <c r="I422" s="242"/>
    </row>
    <row r="423" spans="1:9">
      <c r="A423" s="292">
        <v>368</v>
      </c>
      <c r="B423" s="248">
        <f t="shared" si="22"/>
        <v>0</v>
      </c>
      <c r="C423" s="248">
        <f t="shared" si="23"/>
        <v>0</v>
      </c>
      <c r="D423" s="248">
        <f t="shared" si="24"/>
        <v>0</v>
      </c>
      <c r="E423" s="248">
        <f t="shared" si="25"/>
        <v>0</v>
      </c>
      <c r="F423" s="247"/>
      <c r="G423" s="242"/>
      <c r="H423" s="236"/>
      <c r="I423" s="242"/>
    </row>
    <row r="424" spans="1:9">
      <c r="A424" s="292">
        <v>369</v>
      </c>
      <c r="B424" s="248">
        <f t="shared" si="22"/>
        <v>0</v>
      </c>
      <c r="C424" s="248">
        <f t="shared" si="23"/>
        <v>0</v>
      </c>
      <c r="D424" s="248">
        <f t="shared" si="24"/>
        <v>0</v>
      </c>
      <c r="E424" s="248">
        <f t="shared" si="25"/>
        <v>0</v>
      </c>
      <c r="F424" s="247"/>
      <c r="G424" s="242"/>
      <c r="H424" s="236"/>
      <c r="I424" s="242"/>
    </row>
    <row r="425" spans="1:9">
      <c r="A425" s="292">
        <v>370</v>
      </c>
      <c r="B425" s="248">
        <f t="shared" si="22"/>
        <v>0</v>
      </c>
      <c r="C425" s="248">
        <f t="shared" si="23"/>
        <v>0</v>
      </c>
      <c r="D425" s="248">
        <f t="shared" si="24"/>
        <v>0</v>
      </c>
      <c r="E425" s="248">
        <f t="shared" si="25"/>
        <v>0</v>
      </c>
      <c r="F425" s="247"/>
      <c r="G425" s="242"/>
      <c r="H425" s="236"/>
      <c r="I425" s="242"/>
    </row>
    <row r="426" spans="1:9">
      <c r="A426" s="292">
        <v>371</v>
      </c>
      <c r="B426" s="248">
        <f t="shared" si="22"/>
        <v>0</v>
      </c>
      <c r="C426" s="248">
        <f t="shared" si="23"/>
        <v>0</v>
      </c>
      <c r="D426" s="248">
        <f t="shared" si="24"/>
        <v>0</v>
      </c>
      <c r="E426" s="248">
        <f t="shared" si="25"/>
        <v>0</v>
      </c>
      <c r="F426" s="247"/>
      <c r="G426" s="242"/>
      <c r="H426" s="236"/>
      <c r="I426" s="242"/>
    </row>
    <row r="427" spans="1:9">
      <c r="A427" s="292">
        <v>372</v>
      </c>
      <c r="B427" s="248">
        <f t="shared" si="22"/>
        <v>0</v>
      </c>
      <c r="C427" s="248">
        <f t="shared" si="23"/>
        <v>0</v>
      </c>
      <c r="D427" s="248">
        <f t="shared" si="24"/>
        <v>0</v>
      </c>
      <c r="E427" s="248">
        <f t="shared" si="25"/>
        <v>0</v>
      </c>
      <c r="F427" s="247">
        <v>31</v>
      </c>
      <c r="G427" s="291"/>
      <c r="H427" s="256"/>
      <c r="I427" s="291"/>
    </row>
    <row r="428" spans="1:9">
      <c r="A428" s="292">
        <v>373</v>
      </c>
      <c r="B428" s="248">
        <f t="shared" si="22"/>
        <v>0</v>
      </c>
      <c r="C428" s="248">
        <f t="shared" si="23"/>
        <v>0</v>
      </c>
      <c r="D428" s="248">
        <f t="shared" si="24"/>
        <v>0</v>
      </c>
      <c r="E428" s="248">
        <f t="shared" si="25"/>
        <v>0</v>
      </c>
      <c r="F428" s="247"/>
      <c r="G428" s="242"/>
      <c r="H428" s="236"/>
      <c r="I428" s="291"/>
    </row>
    <row r="429" spans="1:9">
      <c r="A429" s="292">
        <v>374</v>
      </c>
      <c r="B429" s="248">
        <f t="shared" si="22"/>
        <v>0</v>
      </c>
      <c r="C429" s="248">
        <f t="shared" si="23"/>
        <v>0</v>
      </c>
      <c r="D429" s="248">
        <f t="shared" si="24"/>
        <v>0</v>
      </c>
      <c r="E429" s="248">
        <f t="shared" si="25"/>
        <v>0</v>
      </c>
      <c r="F429" s="247"/>
      <c r="G429" s="242"/>
      <c r="H429" s="236"/>
      <c r="I429" s="242"/>
    </row>
    <row r="430" spans="1:9">
      <c r="A430" s="292">
        <v>375</v>
      </c>
      <c r="B430" s="248">
        <f t="shared" si="22"/>
        <v>0</v>
      </c>
      <c r="C430" s="248">
        <f t="shared" si="23"/>
        <v>0</v>
      </c>
      <c r="D430" s="248">
        <f t="shared" si="24"/>
        <v>0</v>
      </c>
      <c r="E430" s="248">
        <f t="shared" si="25"/>
        <v>0</v>
      </c>
      <c r="F430" s="247"/>
      <c r="G430" s="242"/>
      <c r="H430" s="236"/>
      <c r="I430" s="242"/>
    </row>
    <row r="431" spans="1:9">
      <c r="A431" s="292">
        <v>376</v>
      </c>
      <c r="B431" s="248">
        <f t="shared" si="22"/>
        <v>0</v>
      </c>
      <c r="C431" s="248">
        <f t="shared" si="23"/>
        <v>0</v>
      </c>
      <c r="D431" s="248">
        <f t="shared" si="24"/>
        <v>0</v>
      </c>
      <c r="E431" s="248">
        <f t="shared" si="25"/>
        <v>0</v>
      </c>
      <c r="F431" s="247"/>
      <c r="G431" s="242"/>
      <c r="H431" s="236"/>
      <c r="I431" s="242"/>
    </row>
    <row r="432" spans="1:9">
      <c r="A432" s="292">
        <v>377</v>
      </c>
      <c r="B432" s="248">
        <f t="shared" si="22"/>
        <v>0</v>
      </c>
      <c r="C432" s="248">
        <f t="shared" si="23"/>
        <v>0</v>
      </c>
      <c r="D432" s="248">
        <f t="shared" si="24"/>
        <v>0</v>
      </c>
      <c r="E432" s="248">
        <f t="shared" si="25"/>
        <v>0</v>
      </c>
      <c r="F432" s="247"/>
      <c r="G432" s="242"/>
      <c r="H432" s="236"/>
      <c r="I432" s="242"/>
    </row>
    <row r="433" spans="1:9">
      <c r="A433" s="292">
        <v>378</v>
      </c>
      <c r="B433" s="248">
        <f t="shared" si="22"/>
        <v>0</v>
      </c>
      <c r="C433" s="248">
        <f t="shared" si="23"/>
        <v>0</v>
      </c>
      <c r="D433" s="248">
        <f t="shared" si="24"/>
        <v>0</v>
      </c>
      <c r="E433" s="248">
        <f t="shared" si="25"/>
        <v>0</v>
      </c>
      <c r="F433" s="247"/>
      <c r="G433" s="291"/>
      <c r="H433" s="256"/>
      <c r="I433" s="242"/>
    </row>
    <row r="434" spans="1:9">
      <c r="A434" s="292">
        <v>379</v>
      </c>
      <c r="B434" s="248">
        <f t="shared" si="22"/>
        <v>0</v>
      </c>
      <c r="C434" s="248">
        <f t="shared" si="23"/>
        <v>0</v>
      </c>
      <c r="D434" s="248">
        <f t="shared" si="24"/>
        <v>0</v>
      </c>
      <c r="E434" s="248">
        <f t="shared" si="25"/>
        <v>0</v>
      </c>
      <c r="F434" s="247"/>
      <c r="G434" s="242"/>
      <c r="H434" s="236"/>
      <c r="I434" s="242"/>
    </row>
    <row r="435" spans="1:9">
      <c r="A435" s="292">
        <v>380</v>
      </c>
      <c r="B435" s="248">
        <f t="shared" si="22"/>
        <v>0</v>
      </c>
      <c r="C435" s="248">
        <f t="shared" si="23"/>
        <v>0</v>
      </c>
      <c r="D435" s="248">
        <f t="shared" si="24"/>
        <v>0</v>
      </c>
      <c r="E435" s="248">
        <f t="shared" si="25"/>
        <v>0</v>
      </c>
      <c r="F435" s="247"/>
      <c r="G435" s="242"/>
      <c r="H435" s="236"/>
      <c r="I435" s="242"/>
    </row>
    <row r="436" spans="1:9">
      <c r="A436" s="292">
        <v>381</v>
      </c>
      <c r="B436" s="248">
        <f t="shared" si="22"/>
        <v>0</v>
      </c>
      <c r="C436" s="248">
        <f t="shared" si="23"/>
        <v>0</v>
      </c>
      <c r="D436" s="248">
        <f t="shared" si="24"/>
        <v>0</v>
      </c>
      <c r="E436" s="248">
        <f t="shared" si="25"/>
        <v>0</v>
      </c>
      <c r="F436" s="247"/>
      <c r="G436" s="242"/>
      <c r="H436" s="236"/>
      <c r="I436" s="242"/>
    </row>
    <row r="437" spans="1:9">
      <c r="A437" s="292">
        <v>382</v>
      </c>
      <c r="B437" s="248">
        <f t="shared" si="22"/>
        <v>0</v>
      </c>
      <c r="C437" s="248">
        <f t="shared" si="23"/>
        <v>0</v>
      </c>
      <c r="D437" s="248">
        <f t="shared" si="24"/>
        <v>0</v>
      </c>
      <c r="E437" s="248">
        <f t="shared" si="25"/>
        <v>0</v>
      </c>
      <c r="F437" s="247"/>
      <c r="G437" s="242"/>
      <c r="H437" s="236"/>
      <c r="I437" s="242"/>
    </row>
    <row r="438" spans="1:9">
      <c r="A438" s="292">
        <v>383</v>
      </c>
      <c r="B438" s="248">
        <f t="shared" si="22"/>
        <v>0</v>
      </c>
      <c r="C438" s="248">
        <f t="shared" si="23"/>
        <v>0</v>
      </c>
      <c r="D438" s="248">
        <f t="shared" si="24"/>
        <v>0</v>
      </c>
      <c r="E438" s="248">
        <f t="shared" si="25"/>
        <v>0</v>
      </c>
      <c r="F438" s="247"/>
      <c r="G438" s="242"/>
      <c r="H438" s="236"/>
      <c r="I438" s="242"/>
    </row>
    <row r="439" spans="1:9">
      <c r="A439" s="292">
        <v>384</v>
      </c>
      <c r="B439" s="248">
        <f t="shared" si="22"/>
        <v>0</v>
      </c>
      <c r="C439" s="248">
        <f t="shared" si="23"/>
        <v>0</v>
      </c>
      <c r="D439" s="248">
        <f t="shared" si="24"/>
        <v>0</v>
      </c>
      <c r="E439" s="248">
        <f t="shared" si="25"/>
        <v>0</v>
      </c>
      <c r="F439" s="247">
        <v>32</v>
      </c>
      <c r="G439" s="291"/>
      <c r="H439" s="256"/>
      <c r="I439" s="291"/>
    </row>
    <row r="440" spans="1:9">
      <c r="A440" s="292">
        <v>385</v>
      </c>
      <c r="B440" s="248">
        <f t="shared" ref="B440:B503" si="26">IF(A440&gt;12*$D$14,0,$D$20)</f>
        <v>0</v>
      </c>
      <c r="C440" s="248">
        <f t="shared" ref="C440:C503" si="27">IF(A440&gt;12*$D$14,0,E439*$D$10/12)</f>
        <v>0</v>
      </c>
      <c r="D440" s="248">
        <f t="shared" ref="D440:D503" si="28">IF(A440&gt;12*$D$14,0,B440-C440)</f>
        <v>0</v>
      </c>
      <c r="E440" s="248">
        <f t="shared" ref="E440:E503" si="29">IF(A440&gt;12*$D$14,0,E439-D440)</f>
        <v>0</v>
      </c>
      <c r="F440" s="247"/>
      <c r="G440" s="242"/>
      <c r="H440" s="236"/>
      <c r="I440" s="291"/>
    </row>
    <row r="441" spans="1:9">
      <c r="A441" s="292">
        <v>386</v>
      </c>
      <c r="B441" s="248">
        <f t="shared" si="26"/>
        <v>0</v>
      </c>
      <c r="C441" s="248">
        <f t="shared" si="27"/>
        <v>0</v>
      </c>
      <c r="D441" s="248">
        <f t="shared" si="28"/>
        <v>0</v>
      </c>
      <c r="E441" s="248">
        <f t="shared" si="29"/>
        <v>0</v>
      </c>
      <c r="F441" s="247"/>
      <c r="G441" s="242"/>
      <c r="H441" s="236"/>
      <c r="I441" s="242"/>
    </row>
    <row r="442" spans="1:9">
      <c r="A442" s="292">
        <v>387</v>
      </c>
      <c r="B442" s="248">
        <f t="shared" si="26"/>
        <v>0</v>
      </c>
      <c r="C442" s="248">
        <f t="shared" si="27"/>
        <v>0</v>
      </c>
      <c r="D442" s="248">
        <f t="shared" si="28"/>
        <v>0</v>
      </c>
      <c r="E442" s="248">
        <f t="shared" si="29"/>
        <v>0</v>
      </c>
      <c r="F442" s="247"/>
      <c r="G442" s="242"/>
      <c r="H442" s="236"/>
      <c r="I442" s="242"/>
    </row>
    <row r="443" spans="1:9">
      <c r="A443" s="292">
        <v>388</v>
      </c>
      <c r="B443" s="248">
        <f t="shared" si="26"/>
        <v>0</v>
      </c>
      <c r="C443" s="248">
        <f t="shared" si="27"/>
        <v>0</v>
      </c>
      <c r="D443" s="248">
        <f t="shared" si="28"/>
        <v>0</v>
      </c>
      <c r="E443" s="248">
        <f t="shared" si="29"/>
        <v>0</v>
      </c>
      <c r="F443" s="247"/>
      <c r="G443" s="242"/>
      <c r="H443" s="236"/>
      <c r="I443" s="242"/>
    </row>
    <row r="444" spans="1:9">
      <c r="A444" s="292">
        <v>389</v>
      </c>
      <c r="B444" s="248">
        <f t="shared" si="26"/>
        <v>0</v>
      </c>
      <c r="C444" s="248">
        <f t="shared" si="27"/>
        <v>0</v>
      </c>
      <c r="D444" s="248">
        <f t="shared" si="28"/>
        <v>0</v>
      </c>
      <c r="E444" s="248">
        <f t="shared" si="29"/>
        <v>0</v>
      </c>
      <c r="F444" s="247"/>
      <c r="G444" s="242"/>
      <c r="H444" s="236"/>
      <c r="I444" s="242"/>
    </row>
    <row r="445" spans="1:9">
      <c r="A445" s="292">
        <v>390</v>
      </c>
      <c r="B445" s="248">
        <f t="shared" si="26"/>
        <v>0</v>
      </c>
      <c r="C445" s="248">
        <f t="shared" si="27"/>
        <v>0</v>
      </c>
      <c r="D445" s="248">
        <f t="shared" si="28"/>
        <v>0</v>
      </c>
      <c r="E445" s="248">
        <f t="shared" si="29"/>
        <v>0</v>
      </c>
      <c r="F445" s="247"/>
      <c r="G445" s="291"/>
      <c r="H445" s="256"/>
      <c r="I445" s="242"/>
    </row>
    <row r="446" spans="1:9">
      <c r="A446" s="292">
        <v>391</v>
      </c>
      <c r="B446" s="248">
        <f t="shared" si="26"/>
        <v>0</v>
      </c>
      <c r="C446" s="248">
        <f t="shared" si="27"/>
        <v>0</v>
      </c>
      <c r="D446" s="248">
        <f t="shared" si="28"/>
        <v>0</v>
      </c>
      <c r="E446" s="248">
        <f t="shared" si="29"/>
        <v>0</v>
      </c>
      <c r="F446" s="247"/>
      <c r="G446" s="242"/>
      <c r="H446" s="236"/>
      <c r="I446" s="242"/>
    </row>
    <row r="447" spans="1:9">
      <c r="A447" s="292">
        <v>392</v>
      </c>
      <c r="B447" s="248">
        <f t="shared" si="26"/>
        <v>0</v>
      </c>
      <c r="C447" s="248">
        <f t="shared" si="27"/>
        <v>0</v>
      </c>
      <c r="D447" s="248">
        <f t="shared" si="28"/>
        <v>0</v>
      </c>
      <c r="E447" s="248">
        <f t="shared" si="29"/>
        <v>0</v>
      </c>
      <c r="F447" s="247"/>
      <c r="G447" s="242"/>
      <c r="H447" s="236"/>
      <c r="I447" s="242"/>
    </row>
    <row r="448" spans="1:9">
      <c r="A448" s="292">
        <v>393</v>
      </c>
      <c r="B448" s="248">
        <f t="shared" si="26"/>
        <v>0</v>
      </c>
      <c r="C448" s="248">
        <f t="shared" si="27"/>
        <v>0</v>
      </c>
      <c r="D448" s="248">
        <f t="shared" si="28"/>
        <v>0</v>
      </c>
      <c r="E448" s="248">
        <f t="shared" si="29"/>
        <v>0</v>
      </c>
      <c r="F448" s="247"/>
      <c r="G448" s="242"/>
      <c r="H448" s="236"/>
      <c r="I448" s="242"/>
    </row>
    <row r="449" spans="1:9">
      <c r="A449" s="292">
        <v>394</v>
      </c>
      <c r="B449" s="248">
        <f t="shared" si="26"/>
        <v>0</v>
      </c>
      <c r="C449" s="248">
        <f t="shared" si="27"/>
        <v>0</v>
      </c>
      <c r="D449" s="248">
        <f t="shared" si="28"/>
        <v>0</v>
      </c>
      <c r="E449" s="248">
        <f t="shared" si="29"/>
        <v>0</v>
      </c>
      <c r="F449" s="247"/>
      <c r="G449" s="242"/>
      <c r="H449" s="236"/>
      <c r="I449" s="242"/>
    </row>
    <row r="450" spans="1:9">
      <c r="A450" s="292">
        <v>395</v>
      </c>
      <c r="B450" s="248">
        <f t="shared" si="26"/>
        <v>0</v>
      </c>
      <c r="C450" s="248">
        <f t="shared" si="27"/>
        <v>0</v>
      </c>
      <c r="D450" s="248">
        <f t="shared" si="28"/>
        <v>0</v>
      </c>
      <c r="E450" s="248">
        <f t="shared" si="29"/>
        <v>0</v>
      </c>
      <c r="F450" s="247"/>
      <c r="G450" s="242"/>
      <c r="H450" s="236"/>
      <c r="I450" s="242"/>
    </row>
    <row r="451" spans="1:9">
      <c r="A451" s="292">
        <v>396</v>
      </c>
      <c r="B451" s="248">
        <f t="shared" si="26"/>
        <v>0</v>
      </c>
      <c r="C451" s="248">
        <f t="shared" si="27"/>
        <v>0</v>
      </c>
      <c r="D451" s="248">
        <f t="shared" si="28"/>
        <v>0</v>
      </c>
      <c r="E451" s="248">
        <f t="shared" si="29"/>
        <v>0</v>
      </c>
      <c r="F451" s="247">
        <v>33</v>
      </c>
      <c r="G451" s="291"/>
      <c r="H451" s="256"/>
      <c r="I451" s="291"/>
    </row>
    <row r="452" spans="1:9">
      <c r="A452" s="292">
        <v>397</v>
      </c>
      <c r="B452" s="248">
        <f t="shared" si="26"/>
        <v>0</v>
      </c>
      <c r="C452" s="248">
        <f t="shared" si="27"/>
        <v>0</v>
      </c>
      <c r="D452" s="248">
        <f t="shared" si="28"/>
        <v>0</v>
      </c>
      <c r="E452" s="248">
        <f t="shared" si="29"/>
        <v>0</v>
      </c>
      <c r="F452" s="247"/>
      <c r="G452" s="242"/>
      <c r="H452" s="236"/>
      <c r="I452" s="291"/>
    </row>
    <row r="453" spans="1:9">
      <c r="A453" s="292">
        <v>398</v>
      </c>
      <c r="B453" s="248">
        <f t="shared" si="26"/>
        <v>0</v>
      </c>
      <c r="C453" s="248">
        <f t="shared" si="27"/>
        <v>0</v>
      </c>
      <c r="D453" s="248">
        <f t="shared" si="28"/>
        <v>0</v>
      </c>
      <c r="E453" s="248">
        <f t="shared" si="29"/>
        <v>0</v>
      </c>
      <c r="F453" s="247"/>
      <c r="G453" s="242"/>
      <c r="H453" s="236"/>
      <c r="I453" s="242"/>
    </row>
    <row r="454" spans="1:9">
      <c r="A454" s="292">
        <v>399</v>
      </c>
      <c r="B454" s="248">
        <f t="shared" si="26"/>
        <v>0</v>
      </c>
      <c r="C454" s="248">
        <f t="shared" si="27"/>
        <v>0</v>
      </c>
      <c r="D454" s="248">
        <f t="shared" si="28"/>
        <v>0</v>
      </c>
      <c r="E454" s="248">
        <f t="shared" si="29"/>
        <v>0</v>
      </c>
      <c r="F454" s="247"/>
      <c r="G454" s="242"/>
      <c r="H454" s="236"/>
      <c r="I454" s="242"/>
    </row>
    <row r="455" spans="1:9">
      <c r="A455" s="292">
        <v>400</v>
      </c>
      <c r="B455" s="248">
        <f t="shared" si="26"/>
        <v>0</v>
      </c>
      <c r="C455" s="248">
        <f t="shared" si="27"/>
        <v>0</v>
      </c>
      <c r="D455" s="248">
        <f t="shared" si="28"/>
        <v>0</v>
      </c>
      <c r="E455" s="248">
        <f t="shared" si="29"/>
        <v>0</v>
      </c>
      <c r="F455" s="247"/>
      <c r="G455" s="242"/>
      <c r="H455" s="236"/>
      <c r="I455" s="242"/>
    </row>
    <row r="456" spans="1:9">
      <c r="A456" s="292">
        <v>401</v>
      </c>
      <c r="B456" s="248">
        <f t="shared" si="26"/>
        <v>0</v>
      </c>
      <c r="C456" s="248">
        <f t="shared" si="27"/>
        <v>0</v>
      </c>
      <c r="D456" s="248">
        <f t="shared" si="28"/>
        <v>0</v>
      </c>
      <c r="E456" s="248">
        <f t="shared" si="29"/>
        <v>0</v>
      </c>
      <c r="F456" s="247"/>
      <c r="G456" s="242"/>
      <c r="H456" s="236"/>
      <c r="I456" s="242"/>
    </row>
    <row r="457" spans="1:9">
      <c r="A457" s="292">
        <v>402</v>
      </c>
      <c r="B457" s="248">
        <f t="shared" si="26"/>
        <v>0</v>
      </c>
      <c r="C457" s="248">
        <f t="shared" si="27"/>
        <v>0</v>
      </c>
      <c r="D457" s="248">
        <f t="shared" si="28"/>
        <v>0</v>
      </c>
      <c r="E457" s="248">
        <f t="shared" si="29"/>
        <v>0</v>
      </c>
      <c r="F457" s="247"/>
      <c r="G457" s="291"/>
      <c r="H457" s="256"/>
      <c r="I457" s="242"/>
    </row>
    <row r="458" spans="1:9">
      <c r="A458" s="292">
        <v>403</v>
      </c>
      <c r="B458" s="248">
        <f t="shared" si="26"/>
        <v>0</v>
      </c>
      <c r="C458" s="248">
        <f t="shared" si="27"/>
        <v>0</v>
      </c>
      <c r="D458" s="248">
        <f t="shared" si="28"/>
        <v>0</v>
      </c>
      <c r="E458" s="248">
        <f t="shared" si="29"/>
        <v>0</v>
      </c>
      <c r="F458" s="247"/>
      <c r="G458" s="242"/>
      <c r="H458" s="236"/>
      <c r="I458" s="242"/>
    </row>
    <row r="459" spans="1:9">
      <c r="A459" s="292">
        <v>404</v>
      </c>
      <c r="B459" s="248">
        <f t="shared" si="26"/>
        <v>0</v>
      </c>
      <c r="C459" s="248">
        <f t="shared" si="27"/>
        <v>0</v>
      </c>
      <c r="D459" s="248">
        <f t="shared" si="28"/>
        <v>0</v>
      </c>
      <c r="E459" s="248">
        <f t="shared" si="29"/>
        <v>0</v>
      </c>
      <c r="F459" s="247"/>
      <c r="G459" s="242"/>
      <c r="H459" s="236"/>
      <c r="I459" s="242"/>
    </row>
    <row r="460" spans="1:9">
      <c r="A460" s="292">
        <v>405</v>
      </c>
      <c r="B460" s="248">
        <f t="shared" si="26"/>
        <v>0</v>
      </c>
      <c r="C460" s="248">
        <f t="shared" si="27"/>
        <v>0</v>
      </c>
      <c r="D460" s="248">
        <f t="shared" si="28"/>
        <v>0</v>
      </c>
      <c r="E460" s="248">
        <f t="shared" si="29"/>
        <v>0</v>
      </c>
      <c r="F460" s="247"/>
      <c r="G460" s="242"/>
      <c r="H460" s="236"/>
      <c r="I460" s="242"/>
    </row>
    <row r="461" spans="1:9">
      <c r="A461" s="292">
        <v>406</v>
      </c>
      <c r="B461" s="248">
        <f t="shared" si="26"/>
        <v>0</v>
      </c>
      <c r="C461" s="248">
        <f t="shared" si="27"/>
        <v>0</v>
      </c>
      <c r="D461" s="248">
        <f t="shared" si="28"/>
        <v>0</v>
      </c>
      <c r="E461" s="248">
        <f t="shared" si="29"/>
        <v>0</v>
      </c>
      <c r="F461" s="247"/>
      <c r="G461" s="242"/>
      <c r="H461" s="236"/>
      <c r="I461" s="242"/>
    </row>
    <row r="462" spans="1:9">
      <c r="A462" s="292">
        <v>407</v>
      </c>
      <c r="B462" s="248">
        <f t="shared" si="26"/>
        <v>0</v>
      </c>
      <c r="C462" s="248">
        <f t="shared" si="27"/>
        <v>0</v>
      </c>
      <c r="D462" s="248">
        <f t="shared" si="28"/>
        <v>0</v>
      </c>
      <c r="E462" s="248">
        <f t="shared" si="29"/>
        <v>0</v>
      </c>
      <c r="F462" s="247"/>
      <c r="G462" s="242"/>
      <c r="H462" s="236"/>
      <c r="I462" s="242"/>
    </row>
    <row r="463" spans="1:9">
      <c r="A463" s="292">
        <v>408</v>
      </c>
      <c r="B463" s="248">
        <f t="shared" si="26"/>
        <v>0</v>
      </c>
      <c r="C463" s="248">
        <f t="shared" si="27"/>
        <v>0</v>
      </c>
      <c r="D463" s="248">
        <f t="shared" si="28"/>
        <v>0</v>
      </c>
      <c r="E463" s="248">
        <f t="shared" si="29"/>
        <v>0</v>
      </c>
      <c r="F463" s="247">
        <v>34</v>
      </c>
      <c r="G463" s="291"/>
      <c r="H463" s="256"/>
      <c r="I463" s="291"/>
    </row>
    <row r="464" spans="1:9">
      <c r="A464" s="292">
        <v>409</v>
      </c>
      <c r="B464" s="248">
        <f t="shared" si="26"/>
        <v>0</v>
      </c>
      <c r="C464" s="248">
        <f t="shared" si="27"/>
        <v>0</v>
      </c>
      <c r="D464" s="248">
        <f t="shared" si="28"/>
        <v>0</v>
      </c>
      <c r="E464" s="248">
        <f t="shared" si="29"/>
        <v>0</v>
      </c>
      <c r="F464" s="247"/>
      <c r="G464" s="242"/>
      <c r="H464" s="236"/>
      <c r="I464" s="291"/>
    </row>
    <row r="465" spans="1:9">
      <c r="A465" s="292">
        <v>410</v>
      </c>
      <c r="B465" s="248">
        <f t="shared" si="26"/>
        <v>0</v>
      </c>
      <c r="C465" s="248">
        <f t="shared" si="27"/>
        <v>0</v>
      </c>
      <c r="D465" s="248">
        <f t="shared" si="28"/>
        <v>0</v>
      </c>
      <c r="E465" s="248">
        <f t="shared" si="29"/>
        <v>0</v>
      </c>
      <c r="F465" s="247"/>
      <c r="G465" s="242"/>
      <c r="H465" s="236"/>
      <c r="I465" s="242"/>
    </row>
    <row r="466" spans="1:9">
      <c r="A466" s="292">
        <v>411</v>
      </c>
      <c r="B466" s="248">
        <f t="shared" si="26"/>
        <v>0</v>
      </c>
      <c r="C466" s="248">
        <f t="shared" si="27"/>
        <v>0</v>
      </c>
      <c r="D466" s="248">
        <f t="shared" si="28"/>
        <v>0</v>
      </c>
      <c r="E466" s="248">
        <f t="shared" si="29"/>
        <v>0</v>
      </c>
      <c r="F466" s="247"/>
      <c r="G466" s="242"/>
      <c r="H466" s="236"/>
      <c r="I466" s="242"/>
    </row>
    <row r="467" spans="1:9">
      <c r="A467" s="292">
        <v>412</v>
      </c>
      <c r="B467" s="248">
        <f t="shared" si="26"/>
        <v>0</v>
      </c>
      <c r="C467" s="248">
        <f t="shared" si="27"/>
        <v>0</v>
      </c>
      <c r="D467" s="248">
        <f t="shared" si="28"/>
        <v>0</v>
      </c>
      <c r="E467" s="248">
        <f t="shared" si="29"/>
        <v>0</v>
      </c>
      <c r="F467" s="247"/>
      <c r="G467" s="242"/>
      <c r="H467" s="236"/>
      <c r="I467" s="242"/>
    </row>
    <row r="468" spans="1:9">
      <c r="A468" s="292">
        <v>413</v>
      </c>
      <c r="B468" s="248">
        <f t="shared" si="26"/>
        <v>0</v>
      </c>
      <c r="C468" s="248">
        <f t="shared" si="27"/>
        <v>0</v>
      </c>
      <c r="D468" s="248">
        <f t="shared" si="28"/>
        <v>0</v>
      </c>
      <c r="E468" s="248">
        <f t="shared" si="29"/>
        <v>0</v>
      </c>
      <c r="F468" s="247"/>
      <c r="G468" s="242"/>
      <c r="H468" s="236"/>
      <c r="I468" s="242"/>
    </row>
    <row r="469" spans="1:9">
      <c r="A469" s="292">
        <v>414</v>
      </c>
      <c r="B469" s="248">
        <f t="shared" si="26"/>
        <v>0</v>
      </c>
      <c r="C469" s="248">
        <f t="shared" si="27"/>
        <v>0</v>
      </c>
      <c r="D469" s="248">
        <f t="shared" si="28"/>
        <v>0</v>
      </c>
      <c r="E469" s="248">
        <f t="shared" si="29"/>
        <v>0</v>
      </c>
      <c r="F469" s="247"/>
      <c r="G469" s="291"/>
      <c r="H469" s="256"/>
      <c r="I469" s="242"/>
    </row>
    <row r="470" spans="1:9">
      <c r="A470" s="292">
        <v>415</v>
      </c>
      <c r="B470" s="248">
        <f t="shared" si="26"/>
        <v>0</v>
      </c>
      <c r="C470" s="248">
        <f t="shared" si="27"/>
        <v>0</v>
      </c>
      <c r="D470" s="248">
        <f t="shared" si="28"/>
        <v>0</v>
      </c>
      <c r="E470" s="248">
        <f t="shared" si="29"/>
        <v>0</v>
      </c>
      <c r="F470" s="247"/>
      <c r="G470" s="242"/>
      <c r="H470" s="236"/>
      <c r="I470" s="242"/>
    </row>
    <row r="471" spans="1:9">
      <c r="A471" s="292">
        <v>416</v>
      </c>
      <c r="B471" s="248">
        <f t="shared" si="26"/>
        <v>0</v>
      </c>
      <c r="C471" s="248">
        <f t="shared" si="27"/>
        <v>0</v>
      </c>
      <c r="D471" s="248">
        <f t="shared" si="28"/>
        <v>0</v>
      </c>
      <c r="E471" s="248">
        <f t="shared" si="29"/>
        <v>0</v>
      </c>
      <c r="F471" s="247"/>
      <c r="G471" s="242"/>
      <c r="H471" s="236"/>
      <c r="I471" s="242"/>
    </row>
    <row r="472" spans="1:9">
      <c r="A472" s="292">
        <v>417</v>
      </c>
      <c r="B472" s="248">
        <f t="shared" si="26"/>
        <v>0</v>
      </c>
      <c r="C472" s="248">
        <f t="shared" si="27"/>
        <v>0</v>
      </c>
      <c r="D472" s="248">
        <f t="shared" si="28"/>
        <v>0</v>
      </c>
      <c r="E472" s="248">
        <f t="shared" si="29"/>
        <v>0</v>
      </c>
      <c r="F472" s="247"/>
      <c r="G472" s="242"/>
      <c r="H472" s="236"/>
      <c r="I472" s="242"/>
    </row>
    <row r="473" spans="1:9">
      <c r="A473" s="292">
        <v>418</v>
      </c>
      <c r="B473" s="248">
        <f t="shared" si="26"/>
        <v>0</v>
      </c>
      <c r="C473" s="248">
        <f t="shared" si="27"/>
        <v>0</v>
      </c>
      <c r="D473" s="248">
        <f t="shared" si="28"/>
        <v>0</v>
      </c>
      <c r="E473" s="248">
        <f t="shared" si="29"/>
        <v>0</v>
      </c>
      <c r="F473" s="247"/>
      <c r="G473" s="242"/>
      <c r="H473" s="236"/>
      <c r="I473" s="242"/>
    </row>
    <row r="474" spans="1:9">
      <c r="A474" s="292">
        <v>419</v>
      </c>
      <c r="B474" s="248">
        <f t="shared" si="26"/>
        <v>0</v>
      </c>
      <c r="C474" s="248">
        <f t="shared" si="27"/>
        <v>0</v>
      </c>
      <c r="D474" s="248">
        <f t="shared" si="28"/>
        <v>0</v>
      </c>
      <c r="E474" s="248">
        <f t="shared" si="29"/>
        <v>0</v>
      </c>
      <c r="F474" s="247"/>
      <c r="G474" s="242"/>
      <c r="H474" s="236"/>
      <c r="I474" s="242"/>
    </row>
    <row r="475" spans="1:9">
      <c r="A475" s="292">
        <v>420</v>
      </c>
      <c r="B475" s="248">
        <f t="shared" si="26"/>
        <v>0</v>
      </c>
      <c r="C475" s="248">
        <f t="shared" si="27"/>
        <v>0</v>
      </c>
      <c r="D475" s="248">
        <f t="shared" si="28"/>
        <v>0</v>
      </c>
      <c r="E475" s="248">
        <f t="shared" si="29"/>
        <v>0</v>
      </c>
      <c r="F475" s="247">
        <v>35</v>
      </c>
      <c r="G475" s="291"/>
      <c r="H475" s="256"/>
      <c r="I475" s="291"/>
    </row>
    <row r="476" spans="1:9">
      <c r="A476" s="292">
        <v>421</v>
      </c>
      <c r="B476" s="248">
        <f t="shared" si="26"/>
        <v>0</v>
      </c>
      <c r="C476" s="248">
        <f t="shared" si="27"/>
        <v>0</v>
      </c>
      <c r="D476" s="248">
        <f t="shared" si="28"/>
        <v>0</v>
      </c>
      <c r="E476" s="248">
        <f t="shared" si="29"/>
        <v>0</v>
      </c>
      <c r="F476" s="247"/>
      <c r="G476" s="242"/>
      <c r="H476" s="236"/>
      <c r="I476" s="291"/>
    </row>
    <row r="477" spans="1:9">
      <c r="A477" s="292">
        <v>422</v>
      </c>
      <c r="B477" s="248">
        <f t="shared" si="26"/>
        <v>0</v>
      </c>
      <c r="C477" s="248">
        <f t="shared" si="27"/>
        <v>0</v>
      </c>
      <c r="D477" s="248">
        <f t="shared" si="28"/>
        <v>0</v>
      </c>
      <c r="E477" s="248">
        <f t="shared" si="29"/>
        <v>0</v>
      </c>
      <c r="F477" s="247"/>
      <c r="G477" s="242"/>
      <c r="H477" s="236"/>
      <c r="I477" s="242"/>
    </row>
    <row r="478" spans="1:9">
      <c r="A478" s="292">
        <v>423</v>
      </c>
      <c r="B478" s="248">
        <f t="shared" si="26"/>
        <v>0</v>
      </c>
      <c r="C478" s="248">
        <f t="shared" si="27"/>
        <v>0</v>
      </c>
      <c r="D478" s="248">
        <f t="shared" si="28"/>
        <v>0</v>
      </c>
      <c r="E478" s="248">
        <f t="shared" si="29"/>
        <v>0</v>
      </c>
      <c r="F478" s="247"/>
      <c r="G478" s="242"/>
      <c r="H478" s="236"/>
      <c r="I478" s="242"/>
    </row>
    <row r="479" spans="1:9">
      <c r="A479" s="292">
        <v>424</v>
      </c>
      <c r="B479" s="248">
        <f t="shared" si="26"/>
        <v>0</v>
      </c>
      <c r="C479" s="248">
        <f t="shared" si="27"/>
        <v>0</v>
      </c>
      <c r="D479" s="248">
        <f t="shared" si="28"/>
        <v>0</v>
      </c>
      <c r="E479" s="248">
        <f t="shared" si="29"/>
        <v>0</v>
      </c>
      <c r="F479" s="247"/>
      <c r="G479" s="242"/>
      <c r="H479" s="236"/>
      <c r="I479" s="242"/>
    </row>
    <row r="480" spans="1:9">
      <c r="A480" s="292">
        <v>425</v>
      </c>
      <c r="B480" s="248">
        <f t="shared" si="26"/>
        <v>0</v>
      </c>
      <c r="C480" s="248">
        <f t="shared" si="27"/>
        <v>0</v>
      </c>
      <c r="D480" s="248">
        <f t="shared" si="28"/>
        <v>0</v>
      </c>
      <c r="E480" s="248">
        <f t="shared" si="29"/>
        <v>0</v>
      </c>
      <c r="F480" s="247"/>
      <c r="G480" s="242"/>
      <c r="H480" s="236"/>
      <c r="I480" s="242"/>
    </row>
    <row r="481" spans="1:9">
      <c r="A481" s="292">
        <v>426</v>
      </c>
      <c r="B481" s="248">
        <f t="shared" si="26"/>
        <v>0</v>
      </c>
      <c r="C481" s="248">
        <f t="shared" si="27"/>
        <v>0</v>
      </c>
      <c r="D481" s="248">
        <f t="shared" si="28"/>
        <v>0</v>
      </c>
      <c r="E481" s="248">
        <f t="shared" si="29"/>
        <v>0</v>
      </c>
      <c r="F481" s="247"/>
      <c r="G481" s="291"/>
      <c r="H481" s="256"/>
      <c r="I481" s="242"/>
    </row>
    <row r="482" spans="1:9">
      <c r="A482" s="292">
        <v>427</v>
      </c>
      <c r="B482" s="248">
        <f t="shared" si="26"/>
        <v>0</v>
      </c>
      <c r="C482" s="248">
        <f t="shared" si="27"/>
        <v>0</v>
      </c>
      <c r="D482" s="248">
        <f t="shared" si="28"/>
        <v>0</v>
      </c>
      <c r="E482" s="248">
        <f t="shared" si="29"/>
        <v>0</v>
      </c>
      <c r="F482" s="247"/>
      <c r="G482" s="242"/>
      <c r="H482" s="236"/>
      <c r="I482" s="242"/>
    </row>
    <row r="483" spans="1:9">
      <c r="A483" s="292">
        <v>428</v>
      </c>
      <c r="B483" s="248">
        <f t="shared" si="26"/>
        <v>0</v>
      </c>
      <c r="C483" s="248">
        <f t="shared" si="27"/>
        <v>0</v>
      </c>
      <c r="D483" s="248">
        <f t="shared" si="28"/>
        <v>0</v>
      </c>
      <c r="E483" s="248">
        <f t="shared" si="29"/>
        <v>0</v>
      </c>
      <c r="F483" s="247"/>
      <c r="G483" s="242"/>
      <c r="H483" s="236"/>
      <c r="I483" s="242"/>
    </row>
    <row r="484" spans="1:9">
      <c r="A484" s="292">
        <v>429</v>
      </c>
      <c r="B484" s="248">
        <f t="shared" si="26"/>
        <v>0</v>
      </c>
      <c r="C484" s="248">
        <f t="shared" si="27"/>
        <v>0</v>
      </c>
      <c r="D484" s="248">
        <f t="shared" si="28"/>
        <v>0</v>
      </c>
      <c r="E484" s="248">
        <f t="shared" si="29"/>
        <v>0</v>
      </c>
      <c r="F484" s="247"/>
      <c r="G484" s="242"/>
      <c r="H484" s="236"/>
      <c r="I484" s="242"/>
    </row>
    <row r="485" spans="1:9">
      <c r="A485" s="292">
        <v>430</v>
      </c>
      <c r="B485" s="248">
        <f t="shared" si="26"/>
        <v>0</v>
      </c>
      <c r="C485" s="248">
        <f t="shared" si="27"/>
        <v>0</v>
      </c>
      <c r="D485" s="248">
        <f t="shared" si="28"/>
        <v>0</v>
      </c>
      <c r="E485" s="248">
        <f t="shared" si="29"/>
        <v>0</v>
      </c>
      <c r="F485" s="247"/>
      <c r="G485" s="242"/>
      <c r="H485" s="236"/>
      <c r="I485" s="242"/>
    </row>
    <row r="486" spans="1:9">
      <c r="A486" s="292">
        <v>431</v>
      </c>
      <c r="B486" s="248">
        <f t="shared" si="26"/>
        <v>0</v>
      </c>
      <c r="C486" s="248">
        <f t="shared" si="27"/>
        <v>0</v>
      </c>
      <c r="D486" s="248">
        <f t="shared" si="28"/>
        <v>0</v>
      </c>
      <c r="E486" s="248">
        <f t="shared" si="29"/>
        <v>0</v>
      </c>
      <c r="F486" s="247"/>
      <c r="G486" s="242"/>
      <c r="H486" s="236"/>
      <c r="I486" s="242"/>
    </row>
    <row r="487" spans="1:9">
      <c r="A487" s="292">
        <v>432</v>
      </c>
      <c r="B487" s="248">
        <f t="shared" si="26"/>
        <v>0</v>
      </c>
      <c r="C487" s="248">
        <f t="shared" si="27"/>
        <v>0</v>
      </c>
      <c r="D487" s="248">
        <f t="shared" si="28"/>
        <v>0</v>
      </c>
      <c r="E487" s="248">
        <f t="shared" si="29"/>
        <v>0</v>
      </c>
      <c r="F487" s="247">
        <v>36</v>
      </c>
      <c r="G487" s="291"/>
      <c r="H487" s="256"/>
      <c r="I487" s="291"/>
    </row>
    <row r="488" spans="1:9">
      <c r="A488" s="292">
        <v>433</v>
      </c>
      <c r="B488" s="248">
        <f t="shared" si="26"/>
        <v>0</v>
      </c>
      <c r="C488" s="248">
        <f t="shared" si="27"/>
        <v>0</v>
      </c>
      <c r="D488" s="248">
        <f t="shared" si="28"/>
        <v>0</v>
      </c>
      <c r="E488" s="248">
        <f t="shared" si="29"/>
        <v>0</v>
      </c>
      <c r="F488" s="247"/>
      <c r="G488" s="242"/>
      <c r="H488" s="236"/>
      <c r="I488" s="291"/>
    </row>
    <row r="489" spans="1:9">
      <c r="A489" s="292">
        <v>434</v>
      </c>
      <c r="B489" s="248">
        <f t="shared" si="26"/>
        <v>0</v>
      </c>
      <c r="C489" s="248">
        <f t="shared" si="27"/>
        <v>0</v>
      </c>
      <c r="D489" s="248">
        <f t="shared" si="28"/>
        <v>0</v>
      </c>
      <c r="E489" s="248">
        <f t="shared" si="29"/>
        <v>0</v>
      </c>
      <c r="F489" s="247"/>
      <c r="G489" s="242"/>
      <c r="H489" s="236"/>
      <c r="I489" s="242"/>
    </row>
    <row r="490" spans="1:9">
      <c r="A490" s="292">
        <v>435</v>
      </c>
      <c r="B490" s="248">
        <f t="shared" si="26"/>
        <v>0</v>
      </c>
      <c r="C490" s="248">
        <f t="shared" si="27"/>
        <v>0</v>
      </c>
      <c r="D490" s="248">
        <f t="shared" si="28"/>
        <v>0</v>
      </c>
      <c r="E490" s="248">
        <f t="shared" si="29"/>
        <v>0</v>
      </c>
      <c r="F490" s="247"/>
      <c r="G490" s="242"/>
      <c r="H490" s="236"/>
      <c r="I490" s="242"/>
    </row>
    <row r="491" spans="1:9">
      <c r="A491" s="292">
        <v>436</v>
      </c>
      <c r="B491" s="248">
        <f t="shared" si="26"/>
        <v>0</v>
      </c>
      <c r="C491" s="248">
        <f t="shared" si="27"/>
        <v>0</v>
      </c>
      <c r="D491" s="248">
        <f t="shared" si="28"/>
        <v>0</v>
      </c>
      <c r="E491" s="248">
        <f t="shared" si="29"/>
        <v>0</v>
      </c>
      <c r="F491" s="247"/>
      <c r="G491" s="242"/>
      <c r="H491" s="236"/>
      <c r="I491" s="242"/>
    </row>
    <row r="492" spans="1:9">
      <c r="A492" s="292">
        <v>437</v>
      </c>
      <c r="B492" s="248">
        <f t="shared" si="26"/>
        <v>0</v>
      </c>
      <c r="C492" s="248">
        <f t="shared" si="27"/>
        <v>0</v>
      </c>
      <c r="D492" s="248">
        <f t="shared" si="28"/>
        <v>0</v>
      </c>
      <c r="E492" s="248">
        <f t="shared" si="29"/>
        <v>0</v>
      </c>
      <c r="F492" s="247"/>
      <c r="G492" s="242"/>
      <c r="H492" s="236"/>
      <c r="I492" s="242"/>
    </row>
    <row r="493" spans="1:9">
      <c r="A493" s="292">
        <v>438</v>
      </c>
      <c r="B493" s="248">
        <f t="shared" si="26"/>
        <v>0</v>
      </c>
      <c r="C493" s="248">
        <f t="shared" si="27"/>
        <v>0</v>
      </c>
      <c r="D493" s="248">
        <f t="shared" si="28"/>
        <v>0</v>
      </c>
      <c r="E493" s="248">
        <f t="shared" si="29"/>
        <v>0</v>
      </c>
      <c r="F493" s="247"/>
      <c r="G493" s="291"/>
      <c r="H493" s="256"/>
      <c r="I493" s="242"/>
    </row>
    <row r="494" spans="1:9">
      <c r="A494" s="292">
        <v>439</v>
      </c>
      <c r="B494" s="248">
        <f t="shared" si="26"/>
        <v>0</v>
      </c>
      <c r="C494" s="248">
        <f t="shared" si="27"/>
        <v>0</v>
      </c>
      <c r="D494" s="248">
        <f t="shared" si="28"/>
        <v>0</v>
      </c>
      <c r="E494" s="248">
        <f t="shared" si="29"/>
        <v>0</v>
      </c>
      <c r="F494" s="247"/>
      <c r="G494" s="242"/>
      <c r="H494" s="236"/>
      <c r="I494" s="242"/>
    </row>
    <row r="495" spans="1:9">
      <c r="A495" s="292">
        <v>440</v>
      </c>
      <c r="B495" s="248">
        <f t="shared" si="26"/>
        <v>0</v>
      </c>
      <c r="C495" s="248">
        <f t="shared" si="27"/>
        <v>0</v>
      </c>
      <c r="D495" s="248">
        <f t="shared" si="28"/>
        <v>0</v>
      </c>
      <c r="E495" s="248">
        <f t="shared" si="29"/>
        <v>0</v>
      </c>
      <c r="F495" s="247"/>
      <c r="G495" s="242"/>
      <c r="H495" s="236"/>
      <c r="I495" s="242"/>
    </row>
    <row r="496" spans="1:9">
      <c r="A496" s="292">
        <v>441</v>
      </c>
      <c r="B496" s="248">
        <f t="shared" si="26"/>
        <v>0</v>
      </c>
      <c r="C496" s="248">
        <f t="shared" si="27"/>
        <v>0</v>
      </c>
      <c r="D496" s="248">
        <f t="shared" si="28"/>
        <v>0</v>
      </c>
      <c r="E496" s="248">
        <f t="shared" si="29"/>
        <v>0</v>
      </c>
      <c r="F496" s="247"/>
      <c r="G496" s="242"/>
      <c r="H496" s="236"/>
      <c r="I496" s="242"/>
    </row>
    <row r="497" spans="1:9">
      <c r="A497" s="292">
        <v>442</v>
      </c>
      <c r="B497" s="248">
        <f t="shared" si="26"/>
        <v>0</v>
      </c>
      <c r="C497" s="248">
        <f t="shared" si="27"/>
        <v>0</v>
      </c>
      <c r="D497" s="248">
        <f t="shared" si="28"/>
        <v>0</v>
      </c>
      <c r="E497" s="248">
        <f t="shared" si="29"/>
        <v>0</v>
      </c>
      <c r="F497" s="247"/>
      <c r="G497" s="242"/>
      <c r="H497" s="236"/>
      <c r="I497" s="242"/>
    </row>
    <row r="498" spans="1:9">
      <c r="A498" s="292">
        <v>443</v>
      </c>
      <c r="B498" s="248">
        <f t="shared" si="26"/>
        <v>0</v>
      </c>
      <c r="C498" s="248">
        <f t="shared" si="27"/>
        <v>0</v>
      </c>
      <c r="D498" s="248">
        <f t="shared" si="28"/>
        <v>0</v>
      </c>
      <c r="E498" s="248">
        <f t="shared" si="29"/>
        <v>0</v>
      </c>
      <c r="F498" s="247"/>
      <c r="G498" s="242"/>
      <c r="H498" s="236"/>
      <c r="I498" s="242"/>
    </row>
    <row r="499" spans="1:9">
      <c r="A499" s="292">
        <v>444</v>
      </c>
      <c r="B499" s="248">
        <f t="shared" si="26"/>
        <v>0</v>
      </c>
      <c r="C499" s="248">
        <f t="shared" si="27"/>
        <v>0</v>
      </c>
      <c r="D499" s="248">
        <f t="shared" si="28"/>
        <v>0</v>
      </c>
      <c r="E499" s="248">
        <f t="shared" si="29"/>
        <v>0</v>
      </c>
      <c r="F499" s="247">
        <v>37</v>
      </c>
      <c r="G499" s="291"/>
      <c r="H499" s="256"/>
      <c r="I499" s="291"/>
    </row>
    <row r="500" spans="1:9">
      <c r="A500" s="292">
        <v>445</v>
      </c>
      <c r="B500" s="248">
        <f t="shared" si="26"/>
        <v>0</v>
      </c>
      <c r="C500" s="248">
        <f t="shared" si="27"/>
        <v>0</v>
      </c>
      <c r="D500" s="248">
        <f t="shared" si="28"/>
        <v>0</v>
      </c>
      <c r="E500" s="248">
        <f t="shared" si="29"/>
        <v>0</v>
      </c>
      <c r="F500" s="247"/>
      <c r="G500" s="242"/>
      <c r="H500" s="236"/>
      <c r="I500" s="291"/>
    </row>
    <row r="501" spans="1:9">
      <c r="A501" s="292">
        <v>446</v>
      </c>
      <c r="B501" s="248">
        <f t="shared" si="26"/>
        <v>0</v>
      </c>
      <c r="C501" s="248">
        <f t="shared" si="27"/>
        <v>0</v>
      </c>
      <c r="D501" s="248">
        <f t="shared" si="28"/>
        <v>0</v>
      </c>
      <c r="E501" s="248">
        <f t="shared" si="29"/>
        <v>0</v>
      </c>
      <c r="F501" s="247"/>
      <c r="G501" s="242"/>
      <c r="H501" s="236"/>
      <c r="I501" s="242"/>
    </row>
    <row r="502" spans="1:9">
      <c r="A502" s="292">
        <v>447</v>
      </c>
      <c r="B502" s="248">
        <f t="shared" si="26"/>
        <v>0</v>
      </c>
      <c r="C502" s="248">
        <f t="shared" si="27"/>
        <v>0</v>
      </c>
      <c r="D502" s="248">
        <f t="shared" si="28"/>
        <v>0</v>
      </c>
      <c r="E502" s="248">
        <f t="shared" si="29"/>
        <v>0</v>
      </c>
      <c r="F502" s="247"/>
      <c r="G502" s="242"/>
      <c r="H502" s="236"/>
      <c r="I502" s="242"/>
    </row>
    <row r="503" spans="1:9">
      <c r="A503" s="292">
        <v>448</v>
      </c>
      <c r="B503" s="248">
        <f t="shared" si="26"/>
        <v>0</v>
      </c>
      <c r="C503" s="248">
        <f t="shared" si="27"/>
        <v>0</v>
      </c>
      <c r="D503" s="248">
        <f t="shared" si="28"/>
        <v>0</v>
      </c>
      <c r="E503" s="248">
        <f t="shared" si="29"/>
        <v>0</v>
      </c>
      <c r="F503" s="247"/>
      <c r="G503" s="242"/>
      <c r="H503" s="236"/>
      <c r="I503" s="242"/>
    </row>
    <row r="504" spans="1:9">
      <c r="A504" s="292">
        <v>449</v>
      </c>
      <c r="B504" s="248">
        <f t="shared" ref="B504:B535" si="30">IF(A504&gt;12*$D$14,0,$D$20)</f>
        <v>0</v>
      </c>
      <c r="C504" s="248">
        <f t="shared" ref="C504:C535" si="31">IF(A504&gt;12*$D$14,0,E503*$D$10/12)</f>
        <v>0</v>
      </c>
      <c r="D504" s="248">
        <f t="shared" ref="D504:D535" si="32">IF(A504&gt;12*$D$14,0,B504-C504)</f>
        <v>0</v>
      </c>
      <c r="E504" s="248">
        <f t="shared" ref="E504:E535" si="33">IF(A504&gt;12*$D$14,0,E503-D504)</f>
        <v>0</v>
      </c>
      <c r="F504" s="247"/>
      <c r="G504" s="242"/>
      <c r="H504" s="236"/>
      <c r="I504" s="242"/>
    </row>
    <row r="505" spans="1:9">
      <c r="A505" s="292">
        <v>450</v>
      </c>
      <c r="B505" s="248">
        <f t="shared" si="30"/>
        <v>0</v>
      </c>
      <c r="C505" s="248">
        <f t="shared" si="31"/>
        <v>0</v>
      </c>
      <c r="D505" s="248">
        <f t="shared" si="32"/>
        <v>0</v>
      </c>
      <c r="E505" s="248">
        <f t="shared" si="33"/>
        <v>0</v>
      </c>
      <c r="F505" s="247"/>
      <c r="G505" s="291"/>
      <c r="H505" s="256"/>
      <c r="I505" s="242"/>
    </row>
    <row r="506" spans="1:9">
      <c r="A506" s="292">
        <v>451</v>
      </c>
      <c r="B506" s="248">
        <f t="shared" si="30"/>
        <v>0</v>
      </c>
      <c r="C506" s="248">
        <f t="shared" si="31"/>
        <v>0</v>
      </c>
      <c r="D506" s="248">
        <f t="shared" si="32"/>
        <v>0</v>
      </c>
      <c r="E506" s="248">
        <f t="shared" si="33"/>
        <v>0</v>
      </c>
      <c r="F506" s="247"/>
      <c r="G506" s="242"/>
      <c r="H506" s="236"/>
      <c r="I506" s="242"/>
    </row>
    <row r="507" spans="1:9">
      <c r="A507" s="292">
        <v>452</v>
      </c>
      <c r="B507" s="248">
        <f t="shared" si="30"/>
        <v>0</v>
      </c>
      <c r="C507" s="248">
        <f t="shared" si="31"/>
        <v>0</v>
      </c>
      <c r="D507" s="248">
        <f t="shared" si="32"/>
        <v>0</v>
      </c>
      <c r="E507" s="248">
        <f t="shared" si="33"/>
        <v>0</v>
      </c>
      <c r="F507" s="247"/>
      <c r="G507" s="242"/>
      <c r="H507" s="236"/>
      <c r="I507" s="242"/>
    </row>
    <row r="508" spans="1:9">
      <c r="A508" s="292">
        <v>453</v>
      </c>
      <c r="B508" s="248">
        <f t="shared" si="30"/>
        <v>0</v>
      </c>
      <c r="C508" s="248">
        <f t="shared" si="31"/>
        <v>0</v>
      </c>
      <c r="D508" s="248">
        <f t="shared" si="32"/>
        <v>0</v>
      </c>
      <c r="E508" s="248">
        <f t="shared" si="33"/>
        <v>0</v>
      </c>
      <c r="F508" s="247"/>
      <c r="G508" s="242"/>
      <c r="H508" s="236"/>
      <c r="I508" s="242"/>
    </row>
    <row r="509" spans="1:9">
      <c r="A509" s="292">
        <v>454</v>
      </c>
      <c r="B509" s="248">
        <f t="shared" si="30"/>
        <v>0</v>
      </c>
      <c r="C509" s="248">
        <f t="shared" si="31"/>
        <v>0</v>
      </c>
      <c r="D509" s="248">
        <f t="shared" si="32"/>
        <v>0</v>
      </c>
      <c r="E509" s="248">
        <f t="shared" si="33"/>
        <v>0</v>
      </c>
      <c r="F509" s="247"/>
      <c r="G509" s="242"/>
      <c r="H509" s="236"/>
      <c r="I509" s="242"/>
    </row>
    <row r="510" spans="1:9">
      <c r="A510" s="292">
        <v>455</v>
      </c>
      <c r="B510" s="248">
        <f t="shared" si="30"/>
        <v>0</v>
      </c>
      <c r="C510" s="248">
        <f t="shared" si="31"/>
        <v>0</v>
      </c>
      <c r="D510" s="248">
        <f t="shared" si="32"/>
        <v>0</v>
      </c>
      <c r="E510" s="248">
        <f t="shared" si="33"/>
        <v>0</v>
      </c>
      <c r="F510" s="247"/>
      <c r="G510" s="242"/>
      <c r="H510" s="236"/>
      <c r="I510" s="242"/>
    </row>
    <row r="511" spans="1:9">
      <c r="A511" s="292">
        <v>456</v>
      </c>
      <c r="B511" s="248">
        <f t="shared" si="30"/>
        <v>0</v>
      </c>
      <c r="C511" s="248">
        <f t="shared" si="31"/>
        <v>0</v>
      </c>
      <c r="D511" s="248">
        <f t="shared" si="32"/>
        <v>0</v>
      </c>
      <c r="E511" s="248">
        <f t="shared" si="33"/>
        <v>0</v>
      </c>
      <c r="F511" s="249">
        <v>38</v>
      </c>
      <c r="G511" s="242"/>
      <c r="H511" s="236"/>
      <c r="I511" s="242"/>
    </row>
    <row r="512" spans="1:9">
      <c r="A512" s="292">
        <v>457</v>
      </c>
      <c r="B512" s="248">
        <f t="shared" si="30"/>
        <v>0</v>
      </c>
      <c r="C512" s="248">
        <f t="shared" si="31"/>
        <v>0</v>
      </c>
      <c r="D512" s="248">
        <f t="shared" si="32"/>
        <v>0</v>
      </c>
      <c r="E512" s="248">
        <f t="shared" si="33"/>
        <v>0</v>
      </c>
      <c r="F512" s="247"/>
      <c r="G512" s="242"/>
      <c r="H512" s="236"/>
      <c r="I512" s="242"/>
    </row>
    <row r="513" spans="1:9">
      <c r="A513" s="292">
        <v>458</v>
      </c>
      <c r="B513" s="248">
        <f t="shared" si="30"/>
        <v>0</v>
      </c>
      <c r="C513" s="248">
        <f t="shared" si="31"/>
        <v>0</v>
      </c>
      <c r="D513" s="248">
        <f t="shared" si="32"/>
        <v>0</v>
      </c>
      <c r="E513" s="248">
        <f t="shared" si="33"/>
        <v>0</v>
      </c>
      <c r="F513" s="247"/>
      <c r="G513" s="242"/>
      <c r="H513" s="236"/>
      <c r="I513" s="242"/>
    </row>
    <row r="514" spans="1:9">
      <c r="A514" s="292">
        <v>459</v>
      </c>
      <c r="B514" s="248">
        <f t="shared" si="30"/>
        <v>0</v>
      </c>
      <c r="C514" s="248">
        <f t="shared" si="31"/>
        <v>0</v>
      </c>
      <c r="D514" s="248">
        <f t="shared" si="32"/>
        <v>0</v>
      </c>
      <c r="E514" s="248">
        <f t="shared" si="33"/>
        <v>0</v>
      </c>
      <c r="F514" s="247"/>
      <c r="G514" s="242"/>
      <c r="H514" s="236"/>
      <c r="I514" s="242"/>
    </row>
    <row r="515" spans="1:9">
      <c r="A515" s="292">
        <v>460</v>
      </c>
      <c r="B515" s="248">
        <f t="shared" si="30"/>
        <v>0</v>
      </c>
      <c r="C515" s="248">
        <f t="shared" si="31"/>
        <v>0</v>
      </c>
      <c r="D515" s="248">
        <f t="shared" si="32"/>
        <v>0</v>
      </c>
      <c r="E515" s="248">
        <f t="shared" si="33"/>
        <v>0</v>
      </c>
      <c r="F515" s="247"/>
      <c r="G515" s="242"/>
      <c r="H515" s="236"/>
      <c r="I515" s="242"/>
    </row>
    <row r="516" spans="1:9">
      <c r="A516" s="292">
        <v>461</v>
      </c>
      <c r="B516" s="248">
        <f t="shared" si="30"/>
        <v>0</v>
      </c>
      <c r="C516" s="248">
        <f t="shared" si="31"/>
        <v>0</v>
      </c>
      <c r="D516" s="248">
        <f t="shared" si="32"/>
        <v>0</v>
      </c>
      <c r="E516" s="248">
        <f t="shared" si="33"/>
        <v>0</v>
      </c>
      <c r="F516" s="247"/>
      <c r="G516" s="242"/>
      <c r="H516" s="236"/>
      <c r="I516" s="242"/>
    </row>
    <row r="517" spans="1:9">
      <c r="A517" s="292">
        <v>462</v>
      </c>
      <c r="B517" s="248">
        <f t="shared" si="30"/>
        <v>0</v>
      </c>
      <c r="C517" s="248">
        <f t="shared" si="31"/>
        <v>0</v>
      </c>
      <c r="D517" s="248">
        <f t="shared" si="32"/>
        <v>0</v>
      </c>
      <c r="E517" s="248">
        <f t="shared" si="33"/>
        <v>0</v>
      </c>
      <c r="F517" s="247"/>
      <c r="G517" s="242"/>
      <c r="H517" s="236"/>
      <c r="I517" s="242"/>
    </row>
    <row r="518" spans="1:9">
      <c r="A518" s="292">
        <v>463</v>
      </c>
      <c r="B518" s="248">
        <f t="shared" si="30"/>
        <v>0</v>
      </c>
      <c r="C518" s="248">
        <f t="shared" si="31"/>
        <v>0</v>
      </c>
      <c r="D518" s="248">
        <f t="shared" si="32"/>
        <v>0</v>
      </c>
      <c r="E518" s="248">
        <f t="shared" si="33"/>
        <v>0</v>
      </c>
      <c r="F518" s="247"/>
      <c r="G518" s="242"/>
      <c r="H518" s="236"/>
      <c r="I518" s="242"/>
    </row>
    <row r="519" spans="1:9">
      <c r="A519" s="292">
        <v>464</v>
      </c>
      <c r="B519" s="248">
        <f t="shared" si="30"/>
        <v>0</v>
      </c>
      <c r="C519" s="248">
        <f t="shared" si="31"/>
        <v>0</v>
      </c>
      <c r="D519" s="248">
        <f t="shared" si="32"/>
        <v>0</v>
      </c>
      <c r="E519" s="248">
        <f t="shared" si="33"/>
        <v>0</v>
      </c>
      <c r="F519" s="247"/>
      <c r="G519" s="242"/>
      <c r="H519" s="236"/>
      <c r="I519" s="242"/>
    </row>
    <row r="520" spans="1:9">
      <c r="A520" s="292">
        <v>465</v>
      </c>
      <c r="B520" s="248">
        <f t="shared" si="30"/>
        <v>0</v>
      </c>
      <c r="C520" s="248">
        <f t="shared" si="31"/>
        <v>0</v>
      </c>
      <c r="D520" s="248">
        <f t="shared" si="32"/>
        <v>0</v>
      </c>
      <c r="E520" s="248">
        <f t="shared" si="33"/>
        <v>0</v>
      </c>
      <c r="F520" s="247"/>
      <c r="G520" s="242"/>
      <c r="H520" s="236"/>
      <c r="I520" s="242"/>
    </row>
    <row r="521" spans="1:9">
      <c r="A521" s="292">
        <v>466</v>
      </c>
      <c r="B521" s="248">
        <f t="shared" si="30"/>
        <v>0</v>
      </c>
      <c r="C521" s="248">
        <f t="shared" si="31"/>
        <v>0</v>
      </c>
      <c r="D521" s="248">
        <f t="shared" si="32"/>
        <v>0</v>
      </c>
      <c r="E521" s="248">
        <f t="shared" si="33"/>
        <v>0</v>
      </c>
      <c r="F521" s="247"/>
      <c r="G521" s="242"/>
      <c r="H521" s="236"/>
      <c r="I521" s="242"/>
    </row>
    <row r="522" spans="1:9">
      <c r="A522" s="292">
        <v>467</v>
      </c>
      <c r="B522" s="248">
        <f t="shared" si="30"/>
        <v>0</v>
      </c>
      <c r="C522" s="248">
        <f t="shared" si="31"/>
        <v>0</v>
      </c>
      <c r="D522" s="248">
        <f t="shared" si="32"/>
        <v>0</v>
      </c>
      <c r="E522" s="248">
        <f t="shared" si="33"/>
        <v>0</v>
      </c>
      <c r="F522" s="247"/>
      <c r="G522" s="242"/>
      <c r="H522" s="236"/>
      <c r="I522" s="242"/>
    </row>
    <row r="523" spans="1:9">
      <c r="A523" s="292">
        <v>468</v>
      </c>
      <c r="B523" s="248">
        <f t="shared" si="30"/>
        <v>0</v>
      </c>
      <c r="C523" s="248">
        <f t="shared" si="31"/>
        <v>0</v>
      </c>
      <c r="D523" s="248">
        <f t="shared" si="32"/>
        <v>0</v>
      </c>
      <c r="E523" s="248">
        <f t="shared" si="33"/>
        <v>0</v>
      </c>
      <c r="F523" s="247">
        <v>39</v>
      </c>
      <c r="G523" s="242"/>
      <c r="H523" s="236"/>
      <c r="I523" s="242"/>
    </row>
    <row r="524" spans="1:9">
      <c r="A524" s="292">
        <v>469</v>
      </c>
      <c r="B524" s="248">
        <f t="shared" si="30"/>
        <v>0</v>
      </c>
      <c r="C524" s="248">
        <f t="shared" si="31"/>
        <v>0</v>
      </c>
      <c r="D524" s="248">
        <f t="shared" si="32"/>
        <v>0</v>
      </c>
      <c r="E524" s="248">
        <f t="shared" si="33"/>
        <v>0</v>
      </c>
      <c r="F524" s="247"/>
      <c r="G524" s="242"/>
      <c r="H524" s="236"/>
      <c r="I524" s="242"/>
    </row>
    <row r="525" spans="1:9">
      <c r="A525" s="292">
        <v>470</v>
      </c>
      <c r="B525" s="248">
        <f t="shared" si="30"/>
        <v>0</v>
      </c>
      <c r="C525" s="248">
        <f t="shared" si="31"/>
        <v>0</v>
      </c>
      <c r="D525" s="248">
        <f t="shared" si="32"/>
        <v>0</v>
      </c>
      <c r="E525" s="248">
        <f t="shared" si="33"/>
        <v>0</v>
      </c>
      <c r="F525" s="247"/>
      <c r="G525" s="242"/>
      <c r="H525" s="236"/>
      <c r="I525" s="242"/>
    </row>
    <row r="526" spans="1:9">
      <c r="A526" s="292">
        <v>471</v>
      </c>
      <c r="B526" s="248">
        <f t="shared" si="30"/>
        <v>0</v>
      </c>
      <c r="C526" s="248">
        <f t="shared" si="31"/>
        <v>0</v>
      </c>
      <c r="D526" s="248">
        <f t="shared" si="32"/>
        <v>0</v>
      </c>
      <c r="E526" s="248">
        <f t="shared" si="33"/>
        <v>0</v>
      </c>
      <c r="F526" s="247"/>
      <c r="G526" s="242"/>
      <c r="H526" s="236"/>
      <c r="I526" s="242"/>
    </row>
    <row r="527" spans="1:9">
      <c r="A527" s="292">
        <v>472</v>
      </c>
      <c r="B527" s="248">
        <f t="shared" si="30"/>
        <v>0</v>
      </c>
      <c r="C527" s="248">
        <f t="shared" si="31"/>
        <v>0</v>
      </c>
      <c r="D527" s="248">
        <f t="shared" si="32"/>
        <v>0</v>
      </c>
      <c r="E527" s="248">
        <f t="shared" si="33"/>
        <v>0</v>
      </c>
      <c r="F527" s="247"/>
      <c r="G527" s="242"/>
      <c r="H527" s="236"/>
      <c r="I527" s="242"/>
    </row>
    <row r="528" spans="1:9">
      <c r="A528" s="292">
        <v>473</v>
      </c>
      <c r="B528" s="248">
        <f t="shared" si="30"/>
        <v>0</v>
      </c>
      <c r="C528" s="248">
        <f t="shared" si="31"/>
        <v>0</v>
      </c>
      <c r="D528" s="248">
        <f t="shared" si="32"/>
        <v>0</v>
      </c>
      <c r="E528" s="248">
        <f t="shared" si="33"/>
        <v>0</v>
      </c>
      <c r="F528" s="247"/>
      <c r="G528" s="242"/>
      <c r="H528" s="236"/>
      <c r="I528" s="242"/>
    </row>
    <row r="529" spans="1:9">
      <c r="A529" s="292">
        <v>474</v>
      </c>
      <c r="B529" s="248">
        <f t="shared" si="30"/>
        <v>0</v>
      </c>
      <c r="C529" s="248">
        <f t="shared" si="31"/>
        <v>0</v>
      </c>
      <c r="D529" s="248">
        <f t="shared" si="32"/>
        <v>0</v>
      </c>
      <c r="E529" s="248">
        <f t="shared" si="33"/>
        <v>0</v>
      </c>
      <c r="F529" s="247"/>
      <c r="G529" s="242"/>
      <c r="H529" s="236"/>
      <c r="I529" s="242"/>
    </row>
    <row r="530" spans="1:9">
      <c r="A530" s="292">
        <v>475</v>
      </c>
      <c r="B530" s="248">
        <f t="shared" si="30"/>
        <v>0</v>
      </c>
      <c r="C530" s="248">
        <f t="shared" si="31"/>
        <v>0</v>
      </c>
      <c r="D530" s="248">
        <f t="shared" si="32"/>
        <v>0</v>
      </c>
      <c r="E530" s="248">
        <f t="shared" si="33"/>
        <v>0</v>
      </c>
      <c r="F530" s="247"/>
      <c r="G530" s="242"/>
      <c r="H530" s="236"/>
      <c r="I530" s="242"/>
    </row>
    <row r="531" spans="1:9">
      <c r="A531" s="292">
        <v>476</v>
      </c>
      <c r="B531" s="248">
        <f t="shared" si="30"/>
        <v>0</v>
      </c>
      <c r="C531" s="248">
        <f t="shared" si="31"/>
        <v>0</v>
      </c>
      <c r="D531" s="248">
        <f t="shared" si="32"/>
        <v>0</v>
      </c>
      <c r="E531" s="248">
        <f t="shared" si="33"/>
        <v>0</v>
      </c>
      <c r="F531" s="247"/>
      <c r="G531" s="242"/>
      <c r="H531" s="236"/>
      <c r="I531" s="242"/>
    </row>
    <row r="532" spans="1:9">
      <c r="A532" s="292">
        <v>477</v>
      </c>
      <c r="B532" s="248">
        <f t="shared" si="30"/>
        <v>0</v>
      </c>
      <c r="C532" s="248">
        <f t="shared" si="31"/>
        <v>0</v>
      </c>
      <c r="D532" s="248">
        <f t="shared" si="32"/>
        <v>0</v>
      </c>
      <c r="E532" s="248">
        <f t="shared" si="33"/>
        <v>0</v>
      </c>
      <c r="F532" s="247"/>
      <c r="G532" s="242"/>
      <c r="H532" s="236"/>
      <c r="I532" s="242"/>
    </row>
    <row r="533" spans="1:9">
      <c r="A533" s="292">
        <v>478</v>
      </c>
      <c r="B533" s="248">
        <f t="shared" si="30"/>
        <v>0</v>
      </c>
      <c r="C533" s="248">
        <f t="shared" si="31"/>
        <v>0</v>
      </c>
      <c r="D533" s="248">
        <f t="shared" si="32"/>
        <v>0</v>
      </c>
      <c r="E533" s="248">
        <f t="shared" si="33"/>
        <v>0</v>
      </c>
      <c r="F533" s="247"/>
      <c r="G533" s="242"/>
      <c r="H533" s="236"/>
      <c r="I533" s="242"/>
    </row>
    <row r="534" spans="1:9">
      <c r="A534" s="292">
        <v>479</v>
      </c>
      <c r="B534" s="248">
        <f t="shared" si="30"/>
        <v>0</v>
      </c>
      <c r="C534" s="248">
        <f t="shared" si="31"/>
        <v>0</v>
      </c>
      <c r="D534" s="248">
        <f t="shared" si="32"/>
        <v>0</v>
      </c>
      <c r="E534" s="248">
        <f t="shared" si="33"/>
        <v>0</v>
      </c>
      <c r="F534" s="247"/>
      <c r="G534" s="242"/>
      <c r="H534" s="236"/>
      <c r="I534" s="242"/>
    </row>
    <row r="535" spans="1:9">
      <c r="A535" s="292">
        <v>480</v>
      </c>
      <c r="B535" s="248">
        <f t="shared" si="30"/>
        <v>0</v>
      </c>
      <c r="C535" s="248">
        <f t="shared" si="31"/>
        <v>0</v>
      </c>
      <c r="D535" s="248">
        <f t="shared" si="32"/>
        <v>0</v>
      </c>
      <c r="E535" s="248">
        <f t="shared" si="33"/>
        <v>0</v>
      </c>
      <c r="F535" s="247">
        <v>40</v>
      </c>
      <c r="G535" s="242"/>
      <c r="H535" s="236"/>
      <c r="I535" s="242"/>
    </row>
    <row r="536" spans="1:9">
      <c r="A536" s="227"/>
      <c r="G536" s="242"/>
      <c r="H536" s="236"/>
      <c r="I536" s="242"/>
    </row>
    <row r="537" spans="1:9">
      <c r="A537" s="227"/>
      <c r="G537" s="242"/>
      <c r="H537" s="236"/>
      <c r="I537" s="242"/>
    </row>
    <row r="538" spans="1:9">
      <c r="A538" s="227"/>
      <c r="G538" s="242"/>
      <c r="H538" s="236"/>
      <c r="I538" s="242"/>
    </row>
    <row r="539" spans="1:9">
      <c r="A539" s="227"/>
      <c r="G539" s="242"/>
      <c r="H539" s="236"/>
      <c r="I539" s="242"/>
    </row>
    <row r="540" spans="1:9">
      <c r="A540" s="227"/>
      <c r="G540" s="242"/>
      <c r="H540" s="236"/>
      <c r="I540" s="242"/>
    </row>
    <row r="541" spans="1:9">
      <c r="A541" s="227"/>
      <c r="G541" s="242"/>
      <c r="H541" s="236"/>
      <c r="I541" s="242"/>
    </row>
    <row r="542" spans="1:9">
      <c r="A542" s="227"/>
      <c r="G542" s="242"/>
      <c r="H542" s="236"/>
      <c r="I542" s="242"/>
    </row>
    <row r="543" spans="1:9">
      <c r="G543" s="242"/>
      <c r="H543" s="236"/>
      <c r="I543" s="242"/>
    </row>
    <row r="544" spans="1:9">
      <c r="G544" s="242"/>
      <c r="H544" s="236"/>
      <c r="I544" s="242"/>
    </row>
    <row r="545" spans="7:9">
      <c r="G545" s="242"/>
      <c r="H545" s="236"/>
      <c r="I545" s="242"/>
    </row>
    <row r="546" spans="7:9">
      <c r="G546" s="242"/>
      <c r="H546" s="236"/>
      <c r="I546" s="242"/>
    </row>
    <row r="547" spans="7:9">
      <c r="G547" s="242"/>
      <c r="H547" s="236"/>
      <c r="I547" s="242"/>
    </row>
    <row r="548" spans="7:9">
      <c r="G548" s="242"/>
      <c r="H548" s="236"/>
      <c r="I548" s="242"/>
    </row>
    <row r="549" spans="7:9">
      <c r="G549" s="242"/>
      <c r="H549" s="236"/>
      <c r="I549" s="242"/>
    </row>
    <row r="550" spans="7:9">
      <c r="G550" s="242"/>
      <c r="H550" s="236"/>
      <c r="I550" s="242"/>
    </row>
    <row r="551" spans="7:9">
      <c r="G551" s="242"/>
      <c r="H551" s="236"/>
      <c r="I551" s="242"/>
    </row>
    <row r="552" spans="7:9">
      <c r="G552" s="242"/>
      <c r="H552" s="236"/>
      <c r="I552" s="242"/>
    </row>
    <row r="553" spans="7:9">
      <c r="G553" s="242"/>
      <c r="H553" s="236"/>
      <c r="I553" s="242"/>
    </row>
    <row r="554" spans="7:9">
      <c r="G554" s="242"/>
      <c r="H554" s="236"/>
      <c r="I554" s="242"/>
    </row>
    <row r="555" spans="7:9">
      <c r="G555" s="242"/>
      <c r="H555" s="236"/>
      <c r="I555" s="242"/>
    </row>
    <row r="556" spans="7:9">
      <c r="G556" s="242"/>
      <c r="H556" s="236"/>
      <c r="I556" s="242"/>
    </row>
    <row r="557" spans="7:9">
      <c r="G557" s="242"/>
      <c r="H557" s="236"/>
      <c r="I557" s="242"/>
    </row>
    <row r="558" spans="7:9">
      <c r="G558" s="242"/>
      <c r="H558" s="236"/>
      <c r="I558" s="242"/>
    </row>
    <row r="559" spans="7:9">
      <c r="G559" s="242"/>
      <c r="H559" s="236"/>
      <c r="I559" s="242"/>
    </row>
    <row r="560" spans="7:9">
      <c r="G560" s="242"/>
      <c r="H560" s="236"/>
      <c r="I560" s="242"/>
    </row>
    <row r="561" spans="7:9">
      <c r="G561" s="242"/>
      <c r="H561" s="236"/>
      <c r="I561" s="242"/>
    </row>
    <row r="562" spans="7:9">
      <c r="G562" s="242"/>
      <c r="H562" s="236"/>
      <c r="I562" s="242"/>
    </row>
    <row r="563" spans="7:9">
      <c r="G563" s="242"/>
      <c r="H563" s="236"/>
      <c r="I563" s="242"/>
    </row>
    <row r="564" spans="7:9">
      <c r="G564" s="242"/>
      <c r="H564" s="236"/>
      <c r="I564" s="242"/>
    </row>
    <row r="565" spans="7:9">
      <c r="G565" s="242"/>
      <c r="H565" s="236"/>
      <c r="I565" s="242"/>
    </row>
    <row r="566" spans="7:9">
      <c r="G566" s="242"/>
      <c r="H566" s="236"/>
      <c r="I566" s="242"/>
    </row>
    <row r="567" spans="7:9">
      <c r="G567" s="242"/>
      <c r="H567" s="236"/>
      <c r="I567" s="242"/>
    </row>
    <row r="568" spans="7:9">
      <c r="G568" s="242"/>
      <c r="H568" s="236"/>
      <c r="I568" s="242"/>
    </row>
    <row r="569" spans="7:9">
      <c r="G569" s="242"/>
      <c r="H569" s="236"/>
      <c r="I569" s="242"/>
    </row>
    <row r="570" spans="7:9">
      <c r="G570" s="242"/>
      <c r="H570" s="236"/>
      <c r="I570" s="242"/>
    </row>
    <row r="571" spans="7:9">
      <c r="G571" s="242"/>
      <c r="H571" s="236"/>
      <c r="I571" s="242"/>
    </row>
    <row r="572" spans="7:9">
      <c r="G572" s="242"/>
      <c r="H572" s="236"/>
      <c r="I572" s="242"/>
    </row>
    <row r="573" spans="7:9">
      <c r="G573" s="242"/>
      <c r="H573" s="236"/>
      <c r="I573" s="242"/>
    </row>
    <row r="574" spans="7:9">
      <c r="G574" s="242"/>
      <c r="H574" s="236"/>
      <c r="I574" s="242"/>
    </row>
    <row r="575" spans="7:9">
      <c r="G575" s="242"/>
      <c r="H575" s="236"/>
      <c r="I575" s="242"/>
    </row>
    <row r="576" spans="7:9">
      <c r="G576" s="242"/>
      <c r="H576" s="236"/>
      <c r="I576" s="242"/>
    </row>
    <row r="577" spans="7:9">
      <c r="G577" s="242"/>
      <c r="H577" s="236"/>
      <c r="I577" s="242"/>
    </row>
    <row r="578" spans="7:9">
      <c r="G578" s="242"/>
      <c r="H578" s="236"/>
      <c r="I578" s="242"/>
    </row>
    <row r="579" spans="7:9">
      <c r="G579" s="242"/>
      <c r="H579" s="236"/>
      <c r="I579" s="242"/>
    </row>
    <row r="580" spans="7:9">
      <c r="G580" s="242"/>
      <c r="H580" s="236"/>
      <c r="I580" s="242"/>
    </row>
    <row r="581" spans="7:9">
      <c r="G581" s="242"/>
      <c r="H581" s="236"/>
      <c r="I581" s="242"/>
    </row>
    <row r="582" spans="7:9">
      <c r="G582" s="242"/>
      <c r="H582" s="236"/>
      <c r="I582" s="242"/>
    </row>
    <row r="583" spans="7:9">
      <c r="G583" s="242"/>
      <c r="H583" s="236"/>
      <c r="I583" s="242"/>
    </row>
    <row r="584" spans="7:9">
      <c r="G584" s="242"/>
      <c r="H584" s="236"/>
      <c r="I584" s="242"/>
    </row>
    <row r="585" spans="7:9">
      <c r="G585" s="242"/>
      <c r="H585" s="236"/>
      <c r="I585" s="242"/>
    </row>
    <row r="586" spans="7:9">
      <c r="G586" s="242"/>
      <c r="H586" s="236"/>
      <c r="I586" s="242"/>
    </row>
    <row r="587" spans="7:9">
      <c r="G587" s="242"/>
      <c r="H587" s="236"/>
      <c r="I587" s="242"/>
    </row>
    <row r="588" spans="7:9">
      <c r="G588" s="242"/>
      <c r="H588" s="236"/>
      <c r="I588" s="242"/>
    </row>
    <row r="589" spans="7:9">
      <c r="G589" s="242"/>
      <c r="H589" s="236"/>
      <c r="I589" s="242"/>
    </row>
    <row r="590" spans="7:9">
      <c r="G590" s="242"/>
      <c r="H590" s="236"/>
      <c r="I590" s="242"/>
    </row>
    <row r="591" spans="7:9">
      <c r="G591" s="242"/>
      <c r="H591" s="236"/>
      <c r="I591" s="242"/>
    </row>
    <row r="592" spans="7:9">
      <c r="G592" s="242"/>
      <c r="H592" s="236"/>
      <c r="I592" s="242"/>
    </row>
    <row r="593" spans="7:9">
      <c r="G593" s="242"/>
      <c r="H593" s="236"/>
      <c r="I593" s="242"/>
    </row>
    <row r="594" spans="7:9">
      <c r="G594" s="242"/>
      <c r="H594" s="236"/>
      <c r="I594" s="242"/>
    </row>
    <row r="595" spans="7:9">
      <c r="G595" s="242"/>
      <c r="H595" s="236"/>
      <c r="I595" s="242"/>
    </row>
    <row r="596" spans="7:9">
      <c r="G596" s="242"/>
      <c r="H596" s="236"/>
      <c r="I596" s="242"/>
    </row>
    <row r="597" spans="7:9">
      <c r="G597" s="242"/>
      <c r="H597" s="236"/>
      <c r="I597" s="242"/>
    </row>
    <row r="598" spans="7:9">
      <c r="G598" s="242"/>
      <c r="H598" s="236"/>
      <c r="I598" s="242"/>
    </row>
    <row r="599" spans="7:9">
      <c r="G599" s="242"/>
      <c r="H599" s="236"/>
      <c r="I599" s="242"/>
    </row>
    <row r="600" spans="7:9">
      <c r="G600" s="242"/>
      <c r="H600" s="236"/>
      <c r="I600" s="242"/>
    </row>
    <row r="601" spans="7:9">
      <c r="G601" s="242"/>
      <c r="H601" s="236"/>
      <c r="I601" s="242"/>
    </row>
    <row r="602" spans="7:9">
      <c r="G602" s="242"/>
      <c r="H602" s="236"/>
      <c r="I602" s="242"/>
    </row>
    <row r="603" spans="7:9">
      <c r="G603" s="242"/>
      <c r="H603" s="236"/>
      <c r="I603" s="242"/>
    </row>
    <row r="604" spans="7:9">
      <c r="G604" s="242"/>
      <c r="H604" s="236"/>
      <c r="I604" s="242"/>
    </row>
    <row r="605" spans="7:9">
      <c r="G605" s="242"/>
      <c r="H605" s="236"/>
      <c r="I605" s="242"/>
    </row>
    <row r="606" spans="7:9">
      <c r="G606" s="242"/>
      <c r="H606" s="236"/>
      <c r="I606" s="242"/>
    </row>
    <row r="607" spans="7:9">
      <c r="G607" s="242"/>
      <c r="H607" s="236"/>
      <c r="I607" s="242"/>
    </row>
    <row r="608" spans="7:9">
      <c r="G608" s="242"/>
      <c r="H608" s="236"/>
      <c r="I608" s="242"/>
    </row>
    <row r="609" spans="7:9">
      <c r="G609" s="242"/>
      <c r="H609" s="236"/>
      <c r="I609" s="242"/>
    </row>
    <row r="610" spans="7:9">
      <c r="G610" s="242"/>
      <c r="H610" s="236"/>
      <c r="I610" s="242"/>
    </row>
    <row r="611" spans="7:9">
      <c r="G611" s="242"/>
      <c r="H611" s="236"/>
      <c r="I611" s="242"/>
    </row>
    <row r="612" spans="7:9">
      <c r="G612" s="242"/>
      <c r="H612" s="236"/>
      <c r="I612" s="242"/>
    </row>
    <row r="613" spans="7:9">
      <c r="G613" s="242"/>
      <c r="H613" s="236"/>
      <c r="I613" s="242"/>
    </row>
    <row r="614" spans="7:9">
      <c r="G614" s="242"/>
      <c r="H614" s="236"/>
      <c r="I614" s="242"/>
    </row>
    <row r="615" spans="7:9">
      <c r="G615" s="242"/>
      <c r="H615" s="236"/>
      <c r="I615" s="242"/>
    </row>
    <row r="616" spans="7:9">
      <c r="G616" s="242"/>
      <c r="H616" s="236"/>
      <c r="I616" s="242"/>
    </row>
    <row r="617" spans="7:9">
      <c r="G617" s="242"/>
      <c r="H617" s="236"/>
      <c r="I617" s="242"/>
    </row>
    <row r="618" spans="7:9">
      <c r="G618" s="242"/>
      <c r="H618" s="236"/>
      <c r="I618" s="242"/>
    </row>
    <row r="619" spans="7:9">
      <c r="G619" s="242"/>
      <c r="H619" s="236"/>
      <c r="I619" s="242"/>
    </row>
    <row r="620" spans="7:9">
      <c r="G620" s="242"/>
      <c r="H620" s="236"/>
      <c r="I620" s="242"/>
    </row>
    <row r="621" spans="7:9">
      <c r="G621" s="242"/>
      <c r="H621" s="236"/>
      <c r="I621" s="242"/>
    </row>
    <row r="622" spans="7:9">
      <c r="G622" s="242"/>
      <c r="H622" s="236"/>
      <c r="I622" s="242"/>
    </row>
    <row r="623" spans="7:9">
      <c r="G623" s="242"/>
      <c r="H623" s="236"/>
      <c r="I623" s="242"/>
    </row>
    <row r="624" spans="7:9">
      <c r="G624" s="242"/>
      <c r="H624" s="236"/>
      <c r="I624" s="242"/>
    </row>
    <row r="625" spans="7:9">
      <c r="G625" s="242"/>
      <c r="H625" s="236"/>
      <c r="I625" s="242"/>
    </row>
    <row r="626" spans="7:9">
      <c r="G626" s="242"/>
      <c r="H626" s="236"/>
      <c r="I626" s="242"/>
    </row>
    <row r="627" spans="7:9">
      <c r="G627" s="242"/>
      <c r="H627" s="236"/>
      <c r="I627" s="242"/>
    </row>
    <row r="628" spans="7:9">
      <c r="G628" s="242"/>
      <c r="H628" s="236"/>
      <c r="I628" s="242"/>
    </row>
    <row r="629" spans="7:9">
      <c r="G629" s="242"/>
      <c r="H629" s="236"/>
      <c r="I629" s="242"/>
    </row>
    <row r="630" spans="7:9">
      <c r="G630" s="242"/>
      <c r="H630" s="236"/>
      <c r="I630" s="242"/>
    </row>
    <row r="631" spans="7:9">
      <c r="G631" s="242"/>
      <c r="H631" s="236"/>
      <c r="I631" s="242"/>
    </row>
    <row r="632" spans="7:9">
      <c r="G632" s="242"/>
      <c r="H632" s="236"/>
      <c r="I632" s="242"/>
    </row>
    <row r="633" spans="7:9">
      <c r="G633" s="242"/>
      <c r="H633" s="236"/>
      <c r="I633" s="242"/>
    </row>
    <row r="634" spans="7:9">
      <c r="G634" s="242"/>
      <c r="H634" s="236"/>
      <c r="I634" s="242"/>
    </row>
    <row r="635" spans="7:9">
      <c r="G635" s="242"/>
      <c r="H635" s="236"/>
      <c r="I635" s="242"/>
    </row>
    <row r="636" spans="7:9">
      <c r="G636" s="242"/>
      <c r="H636" s="236"/>
      <c r="I636" s="242"/>
    </row>
    <row r="637" spans="7:9">
      <c r="G637" s="242"/>
      <c r="H637" s="236"/>
      <c r="I637" s="242"/>
    </row>
    <row r="638" spans="7:9">
      <c r="G638" s="242"/>
      <c r="H638" s="236"/>
      <c r="I638" s="242"/>
    </row>
    <row r="639" spans="7:9">
      <c r="G639" s="242"/>
      <c r="H639" s="236"/>
      <c r="I639" s="242"/>
    </row>
    <row r="640" spans="7:9">
      <c r="G640" s="242"/>
      <c r="H640" s="236"/>
      <c r="I640" s="242"/>
    </row>
    <row r="641" spans="7:9">
      <c r="G641" s="242"/>
      <c r="H641" s="236"/>
      <c r="I641" s="242"/>
    </row>
    <row r="642" spans="7:9">
      <c r="G642" s="242"/>
      <c r="H642" s="236"/>
      <c r="I642" s="242"/>
    </row>
    <row r="643" spans="7:9">
      <c r="G643" s="242"/>
      <c r="H643" s="236"/>
      <c r="I643" s="242"/>
    </row>
    <row r="644" spans="7:9">
      <c r="G644" s="242"/>
      <c r="H644" s="236"/>
      <c r="I644" s="242"/>
    </row>
    <row r="645" spans="7:9">
      <c r="G645" s="242"/>
      <c r="H645" s="236"/>
      <c r="I645" s="242"/>
    </row>
    <row r="646" spans="7:9">
      <c r="G646" s="242"/>
      <c r="H646" s="236"/>
      <c r="I646" s="242"/>
    </row>
    <row r="647" spans="7:9">
      <c r="G647" s="242"/>
      <c r="H647" s="236"/>
      <c r="I647" s="242"/>
    </row>
    <row r="648" spans="7:9">
      <c r="G648" s="242"/>
      <c r="H648" s="236"/>
      <c r="I648" s="242"/>
    </row>
    <row r="649" spans="7:9">
      <c r="G649" s="242"/>
      <c r="H649" s="236"/>
      <c r="I649" s="242"/>
    </row>
    <row r="650" spans="7:9">
      <c r="G650" s="242"/>
      <c r="H650" s="236"/>
      <c r="I650" s="242"/>
    </row>
    <row r="651" spans="7:9">
      <c r="G651" s="242"/>
      <c r="H651" s="236"/>
      <c r="I651" s="242"/>
    </row>
    <row r="652" spans="7:9">
      <c r="G652" s="242"/>
      <c r="H652" s="236"/>
      <c r="I652" s="242"/>
    </row>
    <row r="653" spans="7:9">
      <c r="G653" s="242"/>
      <c r="H653" s="236"/>
      <c r="I653" s="242"/>
    </row>
    <row r="654" spans="7:9">
      <c r="G654" s="242"/>
      <c r="H654" s="236"/>
      <c r="I654" s="242"/>
    </row>
  </sheetData>
  <sheetProtection password="D64E" sheet="1" objects="1" scenarios="1"/>
  <mergeCells count="8">
    <mergeCell ref="A1:F1"/>
    <mergeCell ref="E5:F10"/>
    <mergeCell ref="A3:F3"/>
    <mergeCell ref="A51:F51"/>
    <mergeCell ref="C26:C27"/>
    <mergeCell ref="F26:F27"/>
    <mergeCell ref="A24:F24"/>
    <mergeCell ref="A50:F50"/>
  </mergeCells>
  <phoneticPr fontId="6" type="noConversion"/>
  <printOptions horizontalCentered="1"/>
  <pageMargins left="0.5" right="0.5" top="0.9" bottom="0.65" header="0.5" footer="0.25"/>
  <pageSetup orientation="portrait" r:id="rId1"/>
  <headerFooter alignWithMargins="0">
    <oddHeader>&amp;C2011 Office of Affordable Housing Funding Application
&amp;"Arial,Bold"HUD Insured Mortgage Loan Calculations</oddHeader>
    <oddFooter>&amp;L&amp;8Georgia Department of Community Affairs&amp;C&amp;8&amp;A&amp;R&amp;8page &amp;P of &amp;N</oddFooter>
  </headerFooter>
  <rowBreaks count="10" manualBreakCount="10">
    <brk id="49" max="16383" man="1"/>
    <brk id="103" max="16383" man="1"/>
    <brk id="151" max="16383" man="1"/>
    <brk id="199" max="16383" man="1"/>
    <brk id="247" max="16383" man="1"/>
    <brk id="295" max="16383" man="1"/>
    <brk id="343" max="16383" man="1"/>
    <brk id="391" max="16383" man="1"/>
    <brk id="439" max="16383" man="1"/>
    <brk id="487" max="16383" man="1"/>
  </rowBreaks>
</worksheet>
</file>

<file path=xl/worksheets/sheet7.xml><?xml version="1.0" encoding="utf-8"?>
<worksheet xmlns="http://schemas.openxmlformats.org/spreadsheetml/2006/main" xmlns:r="http://schemas.openxmlformats.org/officeDocument/2006/relationships">
  <sheetPr codeName="Sheet8">
    <pageSetUpPr fitToPage="1"/>
  </sheetPr>
  <dimension ref="A1:X220"/>
  <sheetViews>
    <sheetView showGridLines="0" topLeftCell="A129" zoomScale="90" zoomScaleNormal="90" zoomScaleSheetLayoutView="90" workbookViewId="0">
      <selection activeCell="A129" sqref="A1:XFD1048576"/>
    </sheetView>
  </sheetViews>
  <sheetFormatPr defaultColWidth="9.140625" defaultRowHeight="12.75"/>
  <cols>
    <col min="1" max="1" width="2.42578125" style="383" customWidth="1"/>
    <col min="2" max="2" width="5.42578125" style="383" customWidth="1"/>
    <col min="3" max="3" width="18" style="383" customWidth="1"/>
    <col min="4" max="4" width="7.28515625" style="383" customWidth="1"/>
    <col min="5" max="5" width="12.5703125" style="383" customWidth="1"/>
    <col min="6" max="6" width="10.42578125" style="383" customWidth="1"/>
    <col min="7" max="8" width="6.42578125" style="383" customWidth="1"/>
    <col min="9" max="9" width="1.7109375" style="383" customWidth="1"/>
    <col min="10" max="11" width="6.42578125" style="383" customWidth="1"/>
    <col min="12" max="12" width="1.7109375" style="383" customWidth="1"/>
    <col min="13" max="14" width="6.42578125" style="383" customWidth="1"/>
    <col min="15" max="15" width="1.7109375" style="383" customWidth="1"/>
    <col min="16" max="17" width="6.42578125" style="383" customWidth="1"/>
    <col min="18" max="18" width="1.7109375" style="383" customWidth="1"/>
    <col min="19" max="20" width="7" style="383" customWidth="1"/>
    <col min="21" max="21" width="5.85546875" style="383" customWidth="1"/>
    <col min="22" max="22" width="13.140625" style="383" customWidth="1"/>
    <col min="23" max="23" width="24.85546875" style="383" customWidth="1"/>
    <col min="24" max="24" width="73.42578125" style="383" customWidth="1"/>
    <col min="25" max="16384" width="9.140625" style="383"/>
  </cols>
  <sheetData>
    <row r="1" spans="1:24" s="363" customFormat="1" ht="15" customHeight="1">
      <c r="A1" s="1716" t="str">
        <f>CONCATENATE("PART FOUR -  USES OF FUNDS","  -  ",'Part I-Project Information'!$O$4," ",'Part I-Project Information'!$F$23,", ",'Part I-Project Information'!F27,", ",'Part I-Project Information'!J28," County")</f>
        <v>PART FOUR -  USES OF FUNDS  -  2014-028 Highland Estates, Rome, Floyd County</v>
      </c>
      <c r="B1" s="1717"/>
      <c r="C1" s="1717"/>
      <c r="D1" s="1717"/>
      <c r="E1" s="1717"/>
      <c r="F1" s="1717"/>
      <c r="G1" s="1717"/>
      <c r="H1" s="1717"/>
      <c r="I1" s="1717"/>
      <c r="J1" s="1717"/>
      <c r="K1" s="1717"/>
      <c r="L1" s="1717"/>
      <c r="M1" s="1717"/>
      <c r="N1" s="1717"/>
      <c r="O1" s="1717"/>
      <c r="P1" s="1717"/>
      <c r="Q1" s="1717"/>
      <c r="R1" s="1717"/>
      <c r="S1" s="1717"/>
      <c r="T1" s="1717"/>
      <c r="W1" s="1715" t="str">
        <f>A1</f>
        <v>PART FOUR -  USES OF FUNDS  -  2014-028 Highland Estates, Rome, Floyd County</v>
      </c>
      <c r="X1" s="1715"/>
    </row>
    <row r="2" spans="1:24" ht="2.25" customHeight="1"/>
    <row r="3" spans="1:24" s="363" customFormat="1" ht="4.5" customHeight="1">
      <c r="A3" s="366"/>
      <c r="B3" s="366"/>
      <c r="C3" s="366"/>
      <c r="D3" s="366"/>
      <c r="E3" s="366"/>
      <c r="F3" s="366"/>
      <c r="G3" s="366"/>
      <c r="H3" s="366"/>
      <c r="I3" s="366"/>
      <c r="J3" s="366"/>
      <c r="K3" s="366"/>
      <c r="L3" s="366"/>
      <c r="M3" s="366"/>
      <c r="N3" s="366"/>
      <c r="O3" s="366"/>
      <c r="P3" s="366"/>
      <c r="Q3" s="366"/>
      <c r="R3" s="366"/>
      <c r="S3" s="366"/>
      <c r="T3" s="366"/>
    </row>
    <row r="4" spans="1:24" s="363" customFormat="1" ht="1.9" customHeight="1" thickBot="1">
      <c r="A4" s="621"/>
      <c r="B4" s="621"/>
      <c r="C4" s="621"/>
      <c r="D4" s="636"/>
      <c r="E4" s="636"/>
      <c r="F4" s="636"/>
      <c r="G4" s="636"/>
      <c r="H4" s="636"/>
      <c r="I4" s="366"/>
      <c r="J4" s="621"/>
      <c r="K4" s="621"/>
      <c r="L4" s="621"/>
      <c r="M4" s="621"/>
      <c r="N4" s="621"/>
      <c r="O4" s="621"/>
      <c r="P4" s="621"/>
      <c r="Q4" s="621"/>
      <c r="R4" s="621"/>
      <c r="S4" s="621"/>
      <c r="T4" s="621"/>
    </row>
    <row r="5" spans="1:24" s="363" customFormat="1" ht="19.5" customHeight="1" thickBot="1">
      <c r="A5" s="525" t="s">
        <v>652</v>
      </c>
      <c r="B5" s="525" t="s">
        <v>950</v>
      </c>
      <c r="D5" s="636"/>
      <c r="E5" s="636"/>
      <c r="F5" s="636"/>
      <c r="G5" s="636"/>
      <c r="H5" s="636"/>
      <c r="I5" s="636"/>
      <c r="J5" s="1637" t="s">
        <v>285</v>
      </c>
      <c r="K5" s="1638"/>
      <c r="L5" s="421"/>
      <c r="M5" s="1631" t="s">
        <v>516</v>
      </c>
      <c r="N5" s="1632"/>
      <c r="P5" s="1637" t="s">
        <v>286</v>
      </c>
      <c r="Q5" s="1638"/>
      <c r="S5" s="1637" t="s">
        <v>287</v>
      </c>
      <c r="T5" s="1638"/>
      <c r="W5" s="526" t="str">
        <f>B5</f>
        <v>DEVELOPMENT BUDGET</v>
      </c>
    </row>
    <row r="6" spans="1:24" s="363" customFormat="1" ht="19.5" customHeight="1" thickBot="1">
      <c r="G6" s="1718" t="s">
        <v>104</v>
      </c>
      <c r="H6" s="1719"/>
      <c r="J6" s="1639"/>
      <c r="K6" s="1640"/>
      <c r="L6" s="421"/>
      <c r="M6" s="1633"/>
      <c r="N6" s="1634"/>
      <c r="P6" s="1639"/>
      <c r="Q6" s="1640"/>
      <c r="S6" s="1639"/>
      <c r="T6" s="1640"/>
      <c r="W6" s="1740" t="s">
        <v>2882</v>
      </c>
      <c r="X6" s="1740"/>
    </row>
    <row r="7" spans="1:24" s="363" customFormat="1" ht="12" customHeight="1">
      <c r="B7" s="366" t="s">
        <v>105</v>
      </c>
      <c r="O7" s="621" t="str">
        <f>B7</f>
        <v>PRE-DEVELOPMENT COSTS</v>
      </c>
      <c r="W7" s="363" t="str">
        <f>B7</f>
        <v>PRE-DEVELOPMENT COSTS</v>
      </c>
    </row>
    <row r="8" spans="1:24" s="363" customFormat="1" ht="12.6" customHeight="1">
      <c r="B8" s="363" t="s">
        <v>2128</v>
      </c>
      <c r="G8" s="1585">
        <v>6000</v>
      </c>
      <c r="H8" s="1586"/>
      <c r="J8" s="1585">
        <v>6000</v>
      </c>
      <c r="K8" s="1586"/>
      <c r="L8" s="1162"/>
      <c r="M8" s="1585"/>
      <c r="N8" s="1586"/>
      <c r="P8" s="1585"/>
      <c r="Q8" s="1586"/>
      <c r="S8" s="1585"/>
      <c r="T8" s="1586"/>
      <c r="V8" s="1260"/>
      <c r="W8" s="1731"/>
      <c r="X8" s="1732"/>
    </row>
    <row r="9" spans="1:24" s="363" customFormat="1" ht="12.6" customHeight="1">
      <c r="B9" s="363" t="s">
        <v>479</v>
      </c>
      <c r="G9" s="1585">
        <v>5000</v>
      </c>
      <c r="H9" s="1586"/>
      <c r="J9" s="1585">
        <v>5000</v>
      </c>
      <c r="K9" s="1586"/>
      <c r="L9" s="1162"/>
      <c r="M9" s="1585"/>
      <c r="N9" s="1586"/>
      <c r="P9" s="1585"/>
      <c r="Q9" s="1586"/>
      <c r="S9" s="1585"/>
      <c r="T9" s="1586"/>
      <c r="V9" s="1260"/>
      <c r="W9" s="1733"/>
      <c r="X9" s="1734"/>
    </row>
    <row r="10" spans="1:24" s="363" customFormat="1" ht="12.6" customHeight="1">
      <c r="B10" s="363" t="s">
        <v>513</v>
      </c>
      <c r="G10" s="1585">
        <v>4000</v>
      </c>
      <c r="H10" s="1586"/>
      <c r="J10" s="1585">
        <v>4000</v>
      </c>
      <c r="K10" s="1586"/>
      <c r="L10" s="1162"/>
      <c r="M10" s="1585"/>
      <c r="N10" s="1586"/>
      <c r="P10" s="1585"/>
      <c r="Q10" s="1586"/>
      <c r="S10" s="1585"/>
      <c r="T10" s="1586"/>
      <c r="V10" s="1260"/>
      <c r="W10" s="1733"/>
      <c r="X10" s="1734"/>
    </row>
    <row r="11" spans="1:24" s="363" customFormat="1" ht="12.6" customHeight="1">
      <c r="B11" s="363" t="s">
        <v>514</v>
      </c>
      <c r="G11" s="1585">
        <v>6000</v>
      </c>
      <c r="H11" s="1586"/>
      <c r="J11" s="1585">
        <v>6000</v>
      </c>
      <c r="K11" s="1586"/>
      <c r="L11" s="1162"/>
      <c r="M11" s="1585"/>
      <c r="N11" s="1586"/>
      <c r="P11" s="1585"/>
      <c r="Q11" s="1586"/>
      <c r="S11" s="1585"/>
      <c r="T11" s="1586"/>
      <c r="V11" s="1260"/>
      <c r="W11" s="1733"/>
      <c r="X11" s="1734"/>
    </row>
    <row r="12" spans="1:24" s="363" customFormat="1" ht="12.6" customHeight="1">
      <c r="B12" s="363" t="s">
        <v>2659</v>
      </c>
      <c r="G12" s="1585">
        <v>15000</v>
      </c>
      <c r="H12" s="1586"/>
      <c r="J12" s="1585">
        <v>15000</v>
      </c>
      <c r="K12" s="1586"/>
      <c r="L12" s="1162"/>
      <c r="M12" s="1585"/>
      <c r="N12" s="1586"/>
      <c r="P12" s="1585"/>
      <c r="Q12" s="1586"/>
      <c r="S12" s="1585"/>
      <c r="T12" s="1586"/>
      <c r="V12" s="1260"/>
      <c r="W12" s="1733"/>
      <c r="X12" s="1734"/>
    </row>
    <row r="13" spans="1:24" s="363" customFormat="1" ht="12.6" customHeight="1">
      <c r="B13" s="363" t="s">
        <v>198</v>
      </c>
      <c r="G13" s="1585"/>
      <c r="H13" s="1586"/>
      <c r="J13" s="1585"/>
      <c r="K13" s="1586"/>
      <c r="L13" s="1162"/>
      <c r="M13" s="1585"/>
      <c r="N13" s="1586"/>
      <c r="P13" s="1585"/>
      <c r="Q13" s="1586"/>
      <c r="S13" s="1585"/>
      <c r="T13" s="1586"/>
      <c r="V13" s="1260"/>
      <c r="W13" s="1733"/>
      <c r="X13" s="1734"/>
    </row>
    <row r="14" spans="1:24" s="363" customFormat="1" ht="12.6" customHeight="1">
      <c r="A14" s="449" t="str">
        <f>IF(AND(G14&gt;0,OR(C14="",C14="&lt;Enter detailed description here; use Comments section if needed&gt;")),"X","")</f>
        <v/>
      </c>
      <c r="B14" s="363" t="s">
        <v>785</v>
      </c>
      <c r="C14" s="1430" t="s">
        <v>2570</v>
      </c>
      <c r="D14" s="1430"/>
      <c r="E14" s="1430"/>
      <c r="F14" s="1431"/>
      <c r="G14" s="1585"/>
      <c r="H14" s="1586"/>
      <c r="J14" s="1585"/>
      <c r="K14" s="1586"/>
      <c r="L14" s="1162"/>
      <c r="M14" s="1585"/>
      <c r="N14" s="1586"/>
      <c r="P14" s="1585"/>
      <c r="Q14" s="1586"/>
      <c r="S14" s="1585"/>
      <c r="T14" s="1586"/>
      <c r="U14" s="448" t="str">
        <f>IF(AND(G14&gt;0,OR(C14="",C14="&lt;Enter detailed description here; use Comments section if needed&gt;")),"NO DESCRIPTION PROVIDED - please enter detailed description in Other box at left; use Comments section below if needed.","")</f>
        <v/>
      </c>
      <c r="V14" s="1261"/>
      <c r="W14" s="1733"/>
      <c r="X14" s="1734"/>
    </row>
    <row r="15" spans="1:24" s="363" customFormat="1" ht="12.6" customHeight="1">
      <c r="A15" s="449" t="str">
        <f>IF(AND(G15&gt;0,OR(C15="",C15="&lt;Enter detailed description here; use Comments section if needed&gt;")),"X","")</f>
        <v/>
      </c>
      <c r="B15" s="363" t="s">
        <v>785</v>
      </c>
      <c r="C15" s="1430" t="s">
        <v>2570</v>
      </c>
      <c r="D15" s="1430"/>
      <c r="E15" s="1430"/>
      <c r="F15" s="1431"/>
      <c r="G15" s="1585"/>
      <c r="H15" s="1586"/>
      <c r="J15" s="1585"/>
      <c r="K15" s="1586"/>
      <c r="L15" s="1162"/>
      <c r="M15" s="1585"/>
      <c r="N15" s="1586"/>
      <c r="P15" s="1585"/>
      <c r="Q15" s="1586"/>
      <c r="S15" s="1585"/>
      <c r="T15" s="1586"/>
      <c r="U15" s="448" t="str">
        <f>IF(AND(G15&gt;0,OR(C15="",C15="&lt;Enter detailed description here; use Comments section if needed&gt;")),"NO DESCRIPTION PROVIDED - please enter detailed description in Other box at left; use Comments section below if needed.","")</f>
        <v/>
      </c>
      <c r="V15" s="1261"/>
      <c r="W15" s="1733"/>
      <c r="X15" s="1734"/>
    </row>
    <row r="16" spans="1:24" s="363" customFormat="1" ht="12.6" customHeight="1" thickBot="1">
      <c r="A16" s="449" t="str">
        <f>IF(AND(G16&gt;0,OR(C16="",C16="&lt;Enter detailed description here; use Comments section if needed&gt;")),"X","")</f>
        <v/>
      </c>
      <c r="B16" s="363" t="s">
        <v>785</v>
      </c>
      <c r="C16" s="1430" t="s">
        <v>2570</v>
      </c>
      <c r="D16" s="1430"/>
      <c r="E16" s="1430"/>
      <c r="F16" s="1431"/>
      <c r="G16" s="1585"/>
      <c r="H16" s="1586"/>
      <c r="J16" s="1709"/>
      <c r="K16" s="1710"/>
      <c r="L16" s="1162"/>
      <c r="M16" s="1585"/>
      <c r="N16" s="1586"/>
      <c r="P16" s="1585"/>
      <c r="Q16" s="1586"/>
      <c r="S16" s="1709"/>
      <c r="T16" s="1710"/>
      <c r="U16" s="448" t="str">
        <f>IF(AND(G16&gt;0,OR(C16="",C16="&lt;Enter detailed description here; use Comments section if needed&gt;")),"NO DESCRIPTION PROVIDED - please enter detailed description in Other box at left; use Comments section below if needed.","")</f>
        <v/>
      </c>
      <c r="V16" s="1261"/>
      <c r="W16" s="1733"/>
      <c r="X16" s="1734"/>
    </row>
    <row r="17" spans="2:24" s="363" customFormat="1" ht="12.6" customHeight="1" thickTop="1">
      <c r="F17" s="422" t="s">
        <v>199</v>
      </c>
      <c r="G17" s="1635">
        <f>SUM(G8:H16)</f>
        <v>36000</v>
      </c>
      <c r="H17" s="1636"/>
      <c r="J17" s="1635">
        <f>SUM(J8:K16)</f>
        <v>36000</v>
      </c>
      <c r="K17" s="1743"/>
      <c r="L17" s="1162"/>
      <c r="M17" s="1635">
        <f>SUM(M8:N16)</f>
        <v>0</v>
      </c>
      <c r="N17" s="1636"/>
      <c r="P17" s="1635">
        <f>SUM(P8:Q16)</f>
        <v>0</v>
      </c>
      <c r="Q17" s="1636"/>
      <c r="S17" s="1635">
        <f>SUM(S8:T16)</f>
        <v>0</v>
      </c>
      <c r="T17" s="1636"/>
      <c r="V17" s="1262"/>
      <c r="W17" s="1735"/>
      <c r="X17" s="1736"/>
    </row>
    <row r="18" spans="2:24" s="363" customFormat="1" ht="12" customHeight="1">
      <c r="B18" s="366" t="s">
        <v>2330</v>
      </c>
      <c r="J18" s="421"/>
      <c r="K18" s="421"/>
      <c r="M18" s="421"/>
      <c r="N18" s="421"/>
      <c r="O18" s="423" t="str">
        <f>B18</f>
        <v>ACQUISITION</v>
      </c>
      <c r="P18" s="421"/>
      <c r="Q18" s="421"/>
      <c r="S18" s="421"/>
      <c r="T18" s="421"/>
      <c r="W18" s="363" t="str">
        <f>B18</f>
        <v>ACQUISITION</v>
      </c>
    </row>
    <row r="19" spans="2:24" s="363" customFormat="1" ht="12.6" customHeight="1">
      <c r="B19" s="363" t="s">
        <v>2331</v>
      </c>
      <c r="G19" s="1585">
        <v>750000</v>
      </c>
      <c r="H19" s="1586"/>
      <c r="J19" s="424"/>
      <c r="K19" s="421"/>
      <c r="L19" s="424"/>
      <c r="M19" s="424"/>
      <c r="N19" s="421"/>
      <c r="P19" s="424"/>
      <c r="Q19" s="421"/>
      <c r="S19" s="1585"/>
      <c r="T19" s="1586"/>
      <c r="V19" s="1260"/>
      <c r="W19" s="1731"/>
      <c r="X19" s="1732"/>
    </row>
    <row r="20" spans="2:24" s="363" customFormat="1" ht="12.6" customHeight="1">
      <c r="B20" s="363" t="s">
        <v>1178</v>
      </c>
      <c r="G20" s="1585"/>
      <c r="H20" s="1586"/>
      <c r="J20" s="424"/>
      <c r="K20" s="421"/>
      <c r="L20" s="424"/>
      <c r="M20" s="424"/>
      <c r="N20" s="421"/>
      <c r="P20" s="424"/>
      <c r="Q20" s="421"/>
      <c r="S20" s="1585"/>
      <c r="T20" s="1586"/>
      <c r="V20" s="1260"/>
      <c r="W20" s="1733"/>
      <c r="X20" s="1734"/>
    </row>
    <row r="21" spans="2:24" s="363" customFormat="1" ht="12.6" customHeight="1">
      <c r="B21" s="363" t="s">
        <v>480</v>
      </c>
      <c r="G21" s="1585"/>
      <c r="H21" s="1586"/>
      <c r="J21" s="424"/>
      <c r="K21" s="421"/>
      <c r="L21" s="424"/>
      <c r="M21" s="1585"/>
      <c r="N21" s="1586"/>
      <c r="P21" s="424"/>
      <c r="Q21" s="421"/>
      <c r="S21" s="1585"/>
      <c r="T21" s="1586"/>
      <c r="V21" s="1260"/>
      <c r="W21" s="1733"/>
      <c r="X21" s="1734"/>
    </row>
    <row r="22" spans="2:24" s="363" customFormat="1" ht="12.6" customHeight="1" thickBot="1">
      <c r="B22" s="363" t="s">
        <v>450</v>
      </c>
      <c r="G22" s="1724"/>
      <c r="H22" s="1725"/>
      <c r="J22" s="424"/>
      <c r="K22" s="421"/>
      <c r="L22" s="424"/>
      <c r="M22" s="1724"/>
      <c r="N22" s="1725"/>
      <c r="P22" s="424"/>
      <c r="Q22" s="421"/>
      <c r="S22" s="1585"/>
      <c r="T22" s="1586"/>
      <c r="V22" s="1260"/>
      <c r="W22" s="1733"/>
      <c r="X22" s="1734"/>
    </row>
    <row r="23" spans="2:24" s="363" customFormat="1" ht="12.6" customHeight="1" thickTop="1">
      <c r="F23" s="422" t="s">
        <v>199</v>
      </c>
      <c r="G23" s="1635">
        <f>SUM(G19:H22)</f>
        <v>750000</v>
      </c>
      <c r="H23" s="1636"/>
      <c r="J23" s="424"/>
      <c r="K23" s="421"/>
      <c r="L23" s="424"/>
      <c r="M23" s="1635">
        <f>SUM(M21:N22)</f>
        <v>0</v>
      </c>
      <c r="N23" s="1636"/>
      <c r="P23" s="424"/>
      <c r="Q23" s="421"/>
      <c r="S23" s="1635">
        <f>SUM(S19:T22)</f>
        <v>0</v>
      </c>
      <c r="T23" s="1636"/>
      <c r="V23" s="1262"/>
      <c r="W23" s="1735"/>
      <c r="X23" s="1736"/>
    </row>
    <row r="24" spans="2:24" s="363" customFormat="1" ht="12" customHeight="1">
      <c r="B24" s="366" t="s">
        <v>1179</v>
      </c>
      <c r="J24" s="424"/>
      <c r="K24" s="421"/>
      <c r="M24" s="424"/>
      <c r="N24" s="421"/>
      <c r="O24" s="423" t="str">
        <f>B24</f>
        <v>LAND IMPROVEMENTS</v>
      </c>
      <c r="P24" s="424"/>
      <c r="Q24" s="421"/>
      <c r="S24" s="424"/>
      <c r="T24" s="421"/>
      <c r="W24" s="363" t="str">
        <f>B24</f>
        <v>LAND IMPROVEMENTS</v>
      </c>
    </row>
    <row r="25" spans="2:24" s="363" customFormat="1" ht="12.6" customHeight="1">
      <c r="B25" s="363" t="s">
        <v>1180</v>
      </c>
      <c r="G25" s="1585">
        <v>1200000</v>
      </c>
      <c r="H25" s="1586"/>
      <c r="J25" s="1709">
        <v>1140000</v>
      </c>
      <c r="K25" s="1710"/>
      <c r="L25" s="1162"/>
      <c r="M25" s="1709"/>
      <c r="N25" s="1710"/>
      <c r="P25" s="1709"/>
      <c r="Q25" s="1710"/>
      <c r="S25" s="1585">
        <v>60000</v>
      </c>
      <c r="T25" s="1586"/>
      <c r="V25" s="1260"/>
      <c r="W25" s="1731"/>
      <c r="X25" s="1732"/>
    </row>
    <row r="26" spans="2:24" s="363" customFormat="1" ht="12.6" customHeight="1" thickBot="1">
      <c r="B26" s="363" t="s">
        <v>1181</v>
      </c>
      <c r="G26" s="1585"/>
      <c r="H26" s="1586"/>
      <c r="J26" s="1709"/>
      <c r="K26" s="1710"/>
      <c r="L26" s="425"/>
      <c r="M26" s="1711"/>
      <c r="N26" s="1711"/>
      <c r="P26" s="1711"/>
      <c r="Q26" s="1711"/>
      <c r="S26" s="1585"/>
      <c r="T26" s="1586"/>
      <c r="V26" s="1260"/>
      <c r="W26" s="1733"/>
      <c r="X26" s="1734"/>
    </row>
    <row r="27" spans="2:24" s="363" customFormat="1" ht="12.6" customHeight="1" thickTop="1">
      <c r="F27" s="422" t="s">
        <v>199</v>
      </c>
      <c r="G27" s="1635">
        <f>SUM(G25:H26)</f>
        <v>1200000</v>
      </c>
      <c r="H27" s="1636"/>
      <c r="J27" s="1635">
        <f>SUM(J25:K26)</f>
        <v>1140000</v>
      </c>
      <c r="K27" s="1636"/>
      <c r="L27" s="424"/>
      <c r="M27" s="1635">
        <f>M25</f>
        <v>0</v>
      </c>
      <c r="N27" s="1636"/>
      <c r="P27" s="1635">
        <f>P25</f>
        <v>0</v>
      </c>
      <c r="Q27" s="1636"/>
      <c r="S27" s="1635">
        <f>SUM(S25:T26)</f>
        <v>60000</v>
      </c>
      <c r="T27" s="1636"/>
      <c r="V27" s="1262"/>
      <c r="W27" s="1735"/>
      <c r="X27" s="1736"/>
    </row>
    <row r="28" spans="2:24" s="363" customFormat="1" ht="12" customHeight="1">
      <c r="B28" s="366" t="s">
        <v>1182</v>
      </c>
      <c r="J28" s="424"/>
      <c r="K28" s="421"/>
      <c r="M28" s="424"/>
      <c r="N28" s="421"/>
      <c r="O28" s="423" t="str">
        <f>B28</f>
        <v>STRUCTURES</v>
      </c>
      <c r="P28" s="424"/>
      <c r="Q28" s="421"/>
      <c r="S28" s="424"/>
      <c r="T28" s="421"/>
      <c r="W28" s="363" t="str">
        <f>B28</f>
        <v>STRUCTURES</v>
      </c>
    </row>
    <row r="29" spans="2:24" s="363" customFormat="1" ht="12.6" customHeight="1">
      <c r="B29" s="363" t="s">
        <v>1183</v>
      </c>
      <c r="G29" s="1585">
        <v>5606400</v>
      </c>
      <c r="H29" s="1586"/>
      <c r="J29" s="1585">
        <v>5606400</v>
      </c>
      <c r="K29" s="1586"/>
      <c r="L29" s="1162"/>
      <c r="M29" s="1585"/>
      <c r="N29" s="1586"/>
      <c r="P29" s="1585"/>
      <c r="Q29" s="1586"/>
      <c r="S29" s="1585"/>
      <c r="T29" s="1586"/>
      <c r="V29" s="1260"/>
      <c r="W29" s="1731"/>
      <c r="X29" s="1732"/>
    </row>
    <row r="30" spans="2:24" s="363" customFormat="1" ht="12.6" customHeight="1">
      <c r="B30" s="363" t="s">
        <v>1184</v>
      </c>
      <c r="G30" s="1585"/>
      <c r="H30" s="1586"/>
      <c r="J30" s="1585"/>
      <c r="K30" s="1586"/>
      <c r="L30" s="1162"/>
      <c r="M30" s="1585"/>
      <c r="N30" s="1586"/>
      <c r="P30" s="1585"/>
      <c r="Q30" s="1586"/>
      <c r="S30" s="1585"/>
      <c r="T30" s="1586"/>
      <c r="V30" s="1260"/>
      <c r="W30" s="1733"/>
      <c r="X30" s="1734"/>
    </row>
    <row r="31" spans="2:24" s="363" customFormat="1" ht="12.6" customHeight="1">
      <c r="B31" s="363" t="s">
        <v>3054</v>
      </c>
      <c r="G31" s="1585"/>
      <c r="H31" s="1586"/>
      <c r="J31" s="1585"/>
      <c r="K31" s="1586"/>
      <c r="L31" s="1162"/>
      <c r="M31" s="1585"/>
      <c r="N31" s="1586"/>
      <c r="P31" s="1585"/>
      <c r="Q31" s="1586"/>
      <c r="S31" s="1585"/>
      <c r="T31" s="1586"/>
      <c r="V31" s="1260"/>
      <c r="W31" s="1733"/>
      <c r="X31" s="1734"/>
    </row>
    <row r="32" spans="2:24" ht="12.6" customHeight="1" thickBot="1">
      <c r="B32" s="363" t="s">
        <v>3053</v>
      </c>
      <c r="G32" s="1585"/>
      <c r="H32" s="1586"/>
      <c r="I32" s="363"/>
      <c r="J32" s="1585"/>
      <c r="K32" s="1586"/>
      <c r="L32" s="1162"/>
      <c r="M32" s="1585"/>
      <c r="N32" s="1586"/>
      <c r="O32" s="363"/>
      <c r="P32" s="1585"/>
      <c r="Q32" s="1586"/>
      <c r="R32" s="363"/>
      <c r="S32" s="1585"/>
      <c r="T32" s="1586"/>
      <c r="V32" s="1260"/>
      <c r="W32" s="1733"/>
      <c r="X32" s="1734"/>
    </row>
    <row r="33" spans="1:24" s="363" customFormat="1" ht="12.6" customHeight="1" thickTop="1">
      <c r="C33" s="1672"/>
      <c r="D33" s="1672"/>
      <c r="E33" s="1164"/>
      <c r="F33" s="422" t="s">
        <v>199</v>
      </c>
      <c r="G33" s="1635">
        <f>SUM(G29:H32)</f>
        <v>5606400</v>
      </c>
      <c r="H33" s="1636"/>
      <c r="J33" s="1635">
        <f>SUM(J29:K32)</f>
        <v>5606400</v>
      </c>
      <c r="K33" s="1636"/>
      <c r="L33" s="1162"/>
      <c r="M33" s="1635">
        <f>SUM(M29:N32)</f>
        <v>0</v>
      </c>
      <c r="N33" s="1636"/>
      <c r="P33" s="1635">
        <f>SUM(P29:Q32)</f>
        <v>0</v>
      </c>
      <c r="Q33" s="1636"/>
      <c r="S33" s="1635">
        <f>SUM(S29:T32)</f>
        <v>0</v>
      </c>
      <c r="T33" s="1636"/>
      <c r="V33" s="1262"/>
      <c r="W33" s="1735"/>
      <c r="X33" s="1736"/>
    </row>
    <row r="34" spans="1:24" s="363" customFormat="1" ht="12" customHeight="1">
      <c r="B34" s="366" t="s">
        <v>2486</v>
      </c>
      <c r="E34" s="637">
        <f>SUM(E35:E37)</f>
        <v>0.14000000000000001</v>
      </c>
      <c r="F34" s="1156"/>
      <c r="G34" s="442"/>
      <c r="H34" s="383"/>
      <c r="I34" s="383"/>
      <c r="J34" s="424"/>
      <c r="K34" s="421"/>
      <c r="M34" s="424"/>
      <c r="N34" s="421"/>
      <c r="O34" s="423" t="str">
        <f>B34</f>
        <v>CONTRACTOR SERVICES</v>
      </c>
      <c r="P34" s="424"/>
      <c r="Q34" s="421"/>
      <c r="S34" s="424"/>
      <c r="T34" s="421"/>
      <c r="W34" s="363" t="str">
        <f>B34</f>
        <v>CONTRACTOR SERVICES</v>
      </c>
    </row>
    <row r="35" spans="1:24" s="363" customFormat="1" ht="12.6" customHeight="1">
      <c r="B35" s="363" t="s">
        <v>2487</v>
      </c>
      <c r="E35" s="426">
        <f>'DCA Underwriting Assumptions'!$R$37</f>
        <v>0.06</v>
      </c>
      <c r="F35" s="485">
        <f>E35*($G$27+$G$33)</f>
        <v>408384</v>
      </c>
      <c r="G35" s="1585">
        <v>408384</v>
      </c>
      <c r="H35" s="1586"/>
      <c r="I35" s="383"/>
      <c r="J35" s="1585">
        <v>408384</v>
      </c>
      <c r="K35" s="1586"/>
      <c r="L35" s="1162"/>
      <c r="M35" s="1585"/>
      <c r="N35" s="1586"/>
      <c r="P35" s="1585"/>
      <c r="Q35" s="1586"/>
      <c r="S35" s="1585"/>
      <c r="T35" s="1586"/>
      <c r="V35" s="1260"/>
      <c r="W35" s="1731"/>
      <c r="X35" s="1732"/>
    </row>
    <row r="36" spans="1:24" s="363" customFormat="1" ht="12.6" customHeight="1">
      <c r="B36" s="363" t="s">
        <v>2989</v>
      </c>
      <c r="E36" s="484">
        <f>'DCA Underwriting Assumptions'!$R$38</f>
        <v>0.02</v>
      </c>
      <c r="F36" s="485">
        <f>E36*($G$27+$G$33)</f>
        <v>136128</v>
      </c>
      <c r="G36" s="1585">
        <v>136128</v>
      </c>
      <c r="H36" s="1586"/>
      <c r="I36" s="383"/>
      <c r="J36" s="1585">
        <v>136128</v>
      </c>
      <c r="K36" s="1586"/>
      <c r="L36" s="1162"/>
      <c r="M36" s="1585"/>
      <c r="N36" s="1586"/>
      <c r="P36" s="1585"/>
      <c r="Q36" s="1586"/>
      <c r="S36" s="1585"/>
      <c r="T36" s="1586"/>
      <c r="V36" s="1260"/>
      <c r="W36" s="1733"/>
      <c r="X36" s="1734"/>
    </row>
    <row r="37" spans="1:24" s="363" customFormat="1" ht="12.6" customHeight="1" thickBot="1">
      <c r="B37" s="363" t="s">
        <v>2990</v>
      </c>
      <c r="E37" s="484">
        <f>'DCA Underwriting Assumptions'!$R$39</f>
        <v>0.06</v>
      </c>
      <c r="F37" s="485">
        <f>E37*($G$27+$G$33)</f>
        <v>408384</v>
      </c>
      <c r="G37" s="1585">
        <v>408384</v>
      </c>
      <c r="H37" s="1586"/>
      <c r="I37" s="383"/>
      <c r="J37" s="1585">
        <v>408384</v>
      </c>
      <c r="K37" s="1586"/>
      <c r="L37" s="1162"/>
      <c r="M37" s="1585"/>
      <c r="N37" s="1586"/>
      <c r="P37" s="1585"/>
      <c r="Q37" s="1586"/>
      <c r="S37" s="1585"/>
      <c r="T37" s="1586"/>
      <c r="V37" s="1260"/>
      <c r="W37" s="1733"/>
      <c r="X37" s="1734"/>
    </row>
    <row r="38" spans="1:24" s="363" customFormat="1" ht="12.6" customHeight="1" thickTop="1">
      <c r="B38" s="363" t="s">
        <v>2169</v>
      </c>
      <c r="D38" s="429"/>
      <c r="E38" s="1156"/>
      <c r="F38" s="486" t="s">
        <v>199</v>
      </c>
      <c r="G38" s="1635">
        <f>SUM(G35:H37)</f>
        <v>952896</v>
      </c>
      <c r="H38" s="1636"/>
      <c r="J38" s="1635">
        <f>SUM(J35:K37)</f>
        <v>952896</v>
      </c>
      <c r="K38" s="1636"/>
      <c r="L38" s="424"/>
      <c r="M38" s="1635">
        <f>SUM(M35:N37)</f>
        <v>0</v>
      </c>
      <c r="N38" s="1636"/>
      <c r="P38" s="1635">
        <f>SUM(P35:Q37)</f>
        <v>0</v>
      </c>
      <c r="Q38" s="1636"/>
      <c r="S38" s="1635">
        <f>SUM(S35:T37)</f>
        <v>0</v>
      </c>
      <c r="T38" s="1636"/>
      <c r="V38" s="1262"/>
      <c r="W38" s="1735"/>
      <c r="X38" s="1736"/>
    </row>
    <row r="39" spans="1:24" s="363" customFormat="1" ht="3" customHeight="1">
      <c r="A39" s="621"/>
      <c r="B39" s="621"/>
      <c r="C39" s="621"/>
      <c r="D39" s="621"/>
      <c r="E39" s="621"/>
      <c r="F39" s="621"/>
      <c r="G39" s="621"/>
      <c r="H39" s="621"/>
      <c r="I39" s="621"/>
      <c r="J39" s="621"/>
      <c r="K39" s="621"/>
      <c r="L39" s="621"/>
      <c r="M39" s="621"/>
      <c r="N39" s="621"/>
      <c r="O39" s="621"/>
      <c r="P39" s="621"/>
      <c r="Q39" s="621"/>
      <c r="R39" s="621"/>
      <c r="S39" s="621"/>
      <c r="T39" s="621"/>
    </row>
    <row r="40" spans="1:24" s="363" customFormat="1" ht="12" customHeight="1">
      <c r="B40" s="366" t="s">
        <v>2994</v>
      </c>
      <c r="J40" s="424"/>
      <c r="K40" s="421"/>
      <c r="M40" s="424"/>
      <c r="N40" s="421"/>
      <c r="O40" s="423" t="str">
        <f>B40</f>
        <v>OTHER CONSTRUCTION HARD COSTS (Non-GC work scope items done by Owner)</v>
      </c>
      <c r="P40" s="424"/>
      <c r="Q40" s="421"/>
      <c r="S40" s="424"/>
      <c r="T40" s="421"/>
      <c r="W40" s="363" t="str">
        <f>B40</f>
        <v>OTHER CONSTRUCTION HARD COSTS (Non-GC work scope items done by Owner)</v>
      </c>
    </row>
    <row r="41" spans="1:24" ht="12.6" customHeight="1">
      <c r="B41" s="363" t="s">
        <v>785</v>
      </c>
      <c r="C41" s="1430" t="s">
        <v>2570</v>
      </c>
      <c r="D41" s="1723"/>
      <c r="E41" s="1723"/>
      <c r="F41" s="1517"/>
      <c r="G41" s="1585"/>
      <c r="H41" s="1586"/>
      <c r="I41" s="363"/>
      <c r="J41" s="1585"/>
      <c r="K41" s="1586"/>
      <c r="L41" s="1162"/>
      <c r="M41" s="1585"/>
      <c r="N41" s="1586"/>
      <c r="O41" s="363"/>
      <c r="P41" s="1585"/>
      <c r="Q41" s="1586"/>
      <c r="R41" s="363"/>
      <c r="S41" s="1585"/>
      <c r="T41" s="1586"/>
      <c r="V41" s="1260"/>
      <c r="W41" s="1731"/>
      <c r="X41" s="1732"/>
    </row>
    <row r="42" spans="1:24" s="363" customFormat="1" ht="6" customHeight="1">
      <c r="A42" s="621"/>
      <c r="B42" s="621"/>
      <c r="C42" s="621"/>
      <c r="D42" s="364"/>
      <c r="E42" s="364"/>
      <c r="F42" s="364"/>
      <c r="G42" s="621"/>
      <c r="H42" s="621"/>
      <c r="I42" s="621"/>
      <c r="J42" s="621"/>
      <c r="K42" s="621"/>
      <c r="L42" s="621"/>
      <c r="M42" s="621"/>
      <c r="N42" s="621"/>
      <c r="O42" s="621"/>
      <c r="P42" s="621"/>
      <c r="Q42" s="621"/>
      <c r="R42" s="621"/>
      <c r="S42" s="621"/>
      <c r="T42" s="621"/>
      <c r="W42" s="1733"/>
      <c r="X42" s="1734"/>
    </row>
    <row r="43" spans="1:24" s="363" customFormat="1" ht="12.6" customHeight="1">
      <c r="B43" s="666" t="s">
        <v>3000</v>
      </c>
      <c r="C43" s="667"/>
      <c r="E43" s="1721" t="s">
        <v>2999</v>
      </c>
      <c r="F43" s="1165">
        <f>B44/'Part VI-Revenues &amp; Expenses'!$M$60</f>
        <v>92372.571428571435</v>
      </c>
      <c r="G43" s="664" t="s">
        <v>3045</v>
      </c>
      <c r="H43" s="622"/>
      <c r="I43" s="622"/>
      <c r="J43" s="1714">
        <f>B44/'Part VI-Revenues &amp; Expenses'!$M$62</f>
        <v>92372.571428571435</v>
      </c>
      <c r="K43" s="1714"/>
      <c r="L43" s="622"/>
      <c r="M43" s="1712" t="s">
        <v>1486</v>
      </c>
      <c r="N43" s="1712"/>
      <c r="O43" s="622"/>
      <c r="P43" s="1714">
        <f>B44/'Part I-Project Information'!$P$59</f>
        <v>88.576438356164388</v>
      </c>
      <c r="Q43" s="1714"/>
      <c r="R43" s="622"/>
      <c r="S43" s="1737" t="s">
        <v>3052</v>
      </c>
      <c r="T43" s="1738"/>
      <c r="W43" s="1733"/>
      <c r="X43" s="1734"/>
    </row>
    <row r="44" spans="1:24" s="363" customFormat="1" ht="12.6" customHeight="1">
      <c r="B44" s="1726">
        <f>G27+G33+G38+G41</f>
        <v>7759296</v>
      </c>
      <c r="C44" s="1727"/>
      <c r="E44" s="1722"/>
      <c r="F44" s="1166">
        <f>B44/'Part VI-Revenues &amp; Expenses'!$M$98</f>
        <v>111.48413793103448</v>
      </c>
      <c r="G44" s="665" t="s">
        <v>3046</v>
      </c>
      <c r="H44" s="1159"/>
      <c r="I44" s="1159"/>
      <c r="J44" s="1720">
        <f>B44/'Part VI-Revenues &amp; Expenses'!$M$100</f>
        <v>111.48413793103448</v>
      </c>
      <c r="K44" s="1720"/>
      <c r="L44" s="1159"/>
      <c r="M44" s="1713" t="s">
        <v>3051</v>
      </c>
      <c r="N44" s="1713"/>
      <c r="O44" s="1159"/>
      <c r="P44" s="1159"/>
      <c r="Q44" s="1159"/>
      <c r="R44" s="1159"/>
      <c r="S44" s="1159"/>
      <c r="T44" s="413"/>
      <c r="W44" s="1735"/>
      <c r="X44" s="1736"/>
    </row>
    <row r="45" spans="1:24" s="363" customFormat="1" ht="3" customHeight="1">
      <c r="A45" s="621"/>
      <c r="B45" s="621"/>
      <c r="C45" s="621"/>
      <c r="D45" s="621"/>
      <c r="E45" s="621"/>
      <c r="F45" s="621"/>
      <c r="G45" s="621"/>
      <c r="H45" s="621"/>
      <c r="I45" s="621"/>
      <c r="J45" s="621"/>
      <c r="K45" s="621"/>
      <c r="L45" s="621"/>
      <c r="M45" s="621"/>
      <c r="N45" s="621"/>
      <c r="O45" s="621"/>
      <c r="P45" s="621"/>
      <c r="Q45" s="621"/>
      <c r="R45" s="621"/>
      <c r="S45" s="621"/>
      <c r="T45" s="621"/>
    </row>
    <row r="46" spans="1:24" s="363" customFormat="1" ht="12" customHeight="1">
      <c r="B46" s="366" t="s">
        <v>1185</v>
      </c>
      <c r="J46" s="424"/>
      <c r="K46" s="421"/>
      <c r="M46" s="424"/>
      <c r="N46" s="421"/>
      <c r="O46" s="423" t="str">
        <f>B46</f>
        <v>CONSTRUCTION CONTINGENCY</v>
      </c>
      <c r="P46" s="424"/>
      <c r="Q46" s="421"/>
      <c r="S46" s="424"/>
      <c r="T46" s="421"/>
      <c r="W46" s="363" t="str">
        <f>B46</f>
        <v>CONSTRUCTION CONTINGENCY</v>
      </c>
    </row>
    <row r="47" spans="1:24" ht="12.6" customHeight="1">
      <c r="B47" s="363" t="s">
        <v>2088</v>
      </c>
      <c r="F47" s="489">
        <f>G47/$B$44</f>
        <v>4.9999896897862897E-2</v>
      </c>
      <c r="G47" s="1585">
        <v>387964</v>
      </c>
      <c r="H47" s="1586"/>
      <c r="I47" s="363"/>
      <c r="J47" s="1585">
        <v>387964</v>
      </c>
      <c r="K47" s="1586"/>
      <c r="L47" s="1162"/>
      <c r="M47" s="1585"/>
      <c r="N47" s="1586"/>
      <c r="O47" s="363"/>
      <c r="P47" s="1585"/>
      <c r="Q47" s="1586"/>
      <c r="R47" s="363"/>
      <c r="S47" s="1585"/>
      <c r="T47" s="1586"/>
      <c r="V47" s="1260"/>
      <c r="W47" s="1741"/>
      <c r="X47" s="1742"/>
    </row>
    <row r="48" spans="1:24" s="363" customFormat="1" ht="3" customHeight="1">
      <c r="A48" s="621"/>
      <c r="B48" s="621"/>
      <c r="C48" s="621"/>
      <c r="D48" s="621"/>
      <c r="E48" s="621"/>
      <c r="F48" s="621"/>
      <c r="G48" s="621"/>
      <c r="H48" s="621"/>
      <c r="I48" s="621"/>
      <c r="J48" s="621"/>
      <c r="K48" s="621"/>
      <c r="L48" s="621"/>
      <c r="M48" s="621"/>
      <c r="N48" s="621"/>
      <c r="O48" s="621"/>
      <c r="P48" s="621"/>
      <c r="Q48" s="621"/>
      <c r="R48" s="621"/>
      <c r="S48" s="621"/>
      <c r="T48" s="621"/>
    </row>
    <row r="49" spans="1:24" s="363" customFormat="1" ht="3" customHeight="1" thickBot="1">
      <c r="A49" s="621"/>
      <c r="B49" s="621"/>
      <c r="C49" s="621"/>
      <c r="D49" s="621"/>
      <c r="E49" s="621"/>
      <c r="F49" s="621"/>
      <c r="G49" s="621"/>
      <c r="H49" s="621"/>
      <c r="I49" s="621"/>
      <c r="J49" s="621"/>
      <c r="K49" s="621"/>
      <c r="L49" s="621"/>
      <c r="M49" s="621"/>
      <c r="N49" s="621"/>
      <c r="O49" s="621"/>
      <c r="P49" s="621"/>
      <c r="Q49" s="621"/>
      <c r="R49" s="621"/>
      <c r="S49" s="621"/>
      <c r="T49" s="621"/>
    </row>
    <row r="50" spans="1:24" s="363" customFormat="1" ht="18.75" customHeight="1" thickBot="1">
      <c r="A50" s="525" t="s">
        <v>652</v>
      </c>
      <c r="B50" s="525" t="s">
        <v>3218</v>
      </c>
      <c r="H50" s="1156"/>
      <c r="I50" s="1156"/>
      <c r="J50" s="1637" t="s">
        <v>285</v>
      </c>
      <c r="K50" s="1638"/>
      <c r="L50" s="421"/>
      <c r="M50" s="1631" t="s">
        <v>516</v>
      </c>
      <c r="N50" s="1632"/>
      <c r="P50" s="1637" t="s">
        <v>286</v>
      </c>
      <c r="Q50" s="1638"/>
      <c r="S50" s="1637" t="s">
        <v>287</v>
      </c>
      <c r="T50" s="1638"/>
      <c r="W50" s="526" t="str">
        <f>B50</f>
        <v>DEVELOPMENT BUDGET (cont'd)</v>
      </c>
    </row>
    <row r="51" spans="1:24" s="363" customFormat="1" ht="18.75" customHeight="1" thickBot="1">
      <c r="G51" s="1718" t="s">
        <v>104</v>
      </c>
      <c r="H51" s="1719"/>
      <c r="J51" s="1639"/>
      <c r="K51" s="1640"/>
      <c r="L51" s="421"/>
      <c r="M51" s="1633"/>
      <c r="N51" s="1634"/>
      <c r="P51" s="1639"/>
      <c r="Q51" s="1640"/>
      <c r="S51" s="1639"/>
      <c r="T51" s="1640"/>
      <c r="W51" s="1740" t="s">
        <v>2882</v>
      </c>
      <c r="X51" s="1740"/>
    </row>
    <row r="52" spans="1:24" s="363" customFormat="1" ht="12" customHeight="1">
      <c r="B52" s="366" t="s">
        <v>766</v>
      </c>
      <c r="J52" s="424"/>
      <c r="K52" s="421"/>
      <c r="M52" s="424"/>
      <c r="N52" s="421"/>
      <c r="O52" s="423" t="str">
        <f>B52</f>
        <v>CONSTRUCTION PERIOD FINANCING</v>
      </c>
      <c r="P52" s="424"/>
      <c r="Q52" s="421"/>
      <c r="S52" s="424"/>
      <c r="T52" s="421"/>
      <c r="W52" s="363" t="str">
        <f>B52</f>
        <v>CONSTRUCTION PERIOD FINANCING</v>
      </c>
    </row>
    <row r="53" spans="1:24" s="363" customFormat="1" ht="12" customHeight="1">
      <c r="B53" s="363" t="s">
        <v>2489</v>
      </c>
      <c r="G53" s="1585">
        <v>83653</v>
      </c>
      <c r="H53" s="1586"/>
      <c r="J53" s="1585">
        <v>83653</v>
      </c>
      <c r="K53" s="1586"/>
      <c r="L53" s="1162"/>
      <c r="M53" s="1585"/>
      <c r="N53" s="1586"/>
      <c r="P53" s="1585"/>
      <c r="Q53" s="1586"/>
      <c r="S53" s="1585"/>
      <c r="T53" s="1586"/>
      <c r="V53" s="1260"/>
      <c r="W53" s="1731"/>
      <c r="X53" s="1732"/>
    </row>
    <row r="54" spans="1:24" s="363" customFormat="1" ht="12" customHeight="1">
      <c r="B54" s="363" t="s">
        <v>2490</v>
      </c>
      <c r="G54" s="1585">
        <v>328185</v>
      </c>
      <c r="H54" s="1586"/>
      <c r="J54" s="1585">
        <v>235744</v>
      </c>
      <c r="K54" s="1586"/>
      <c r="L54" s="1162"/>
      <c r="M54" s="1585"/>
      <c r="N54" s="1586"/>
      <c r="P54" s="1585"/>
      <c r="Q54" s="1586"/>
      <c r="S54" s="1585">
        <v>92441</v>
      </c>
      <c r="T54" s="1586"/>
      <c r="V54" s="1260"/>
      <c r="W54" s="1733"/>
      <c r="X54" s="1734"/>
    </row>
    <row r="55" spans="1:24" s="363" customFormat="1" ht="12" customHeight="1">
      <c r="B55" s="363" t="s">
        <v>2491</v>
      </c>
      <c r="G55" s="1585"/>
      <c r="H55" s="1586"/>
      <c r="J55" s="1585"/>
      <c r="K55" s="1586"/>
      <c r="L55" s="1162"/>
      <c r="M55" s="1585"/>
      <c r="N55" s="1586"/>
      <c r="P55" s="1585"/>
      <c r="Q55" s="1586"/>
      <c r="S55" s="1585"/>
      <c r="T55" s="1586"/>
      <c r="V55" s="1260"/>
      <c r="W55" s="1733"/>
      <c r="X55" s="1734"/>
    </row>
    <row r="56" spans="1:24" s="363" customFormat="1" ht="12" customHeight="1">
      <c r="B56" s="363" t="s">
        <v>2903</v>
      </c>
      <c r="G56" s="1585"/>
      <c r="H56" s="1586"/>
      <c r="J56" s="1585"/>
      <c r="K56" s="1586"/>
      <c r="L56" s="1162"/>
      <c r="M56" s="1585"/>
      <c r="N56" s="1586"/>
      <c r="P56" s="1585"/>
      <c r="Q56" s="1586"/>
      <c r="S56" s="1585"/>
      <c r="T56" s="1586"/>
      <c r="V56" s="1260"/>
      <c r="W56" s="1733"/>
      <c r="X56" s="1734"/>
    </row>
    <row r="57" spans="1:24" s="363" customFormat="1" ht="12" customHeight="1">
      <c r="B57" s="363" t="s">
        <v>767</v>
      </c>
      <c r="G57" s="1585">
        <v>2500</v>
      </c>
      <c r="H57" s="1586"/>
      <c r="J57" s="1585">
        <v>2500</v>
      </c>
      <c r="K57" s="1586"/>
      <c r="L57" s="1162"/>
      <c r="M57" s="1585"/>
      <c r="N57" s="1586"/>
      <c r="P57" s="1585"/>
      <c r="Q57" s="1586"/>
      <c r="S57" s="1585"/>
      <c r="T57" s="1586"/>
      <c r="V57" s="1260"/>
      <c r="W57" s="1733"/>
      <c r="X57" s="1734"/>
    </row>
    <row r="58" spans="1:24" s="363" customFormat="1" ht="12" customHeight="1">
      <c r="B58" s="363" t="s">
        <v>2492</v>
      </c>
      <c r="G58" s="1585">
        <v>10000</v>
      </c>
      <c r="H58" s="1586"/>
      <c r="J58" s="1585">
        <v>10000</v>
      </c>
      <c r="K58" s="1586"/>
      <c r="L58" s="1162"/>
      <c r="M58" s="1585"/>
      <c r="N58" s="1586"/>
      <c r="P58" s="1585"/>
      <c r="Q58" s="1586"/>
      <c r="S58" s="1585"/>
      <c r="T58" s="1586"/>
      <c r="V58" s="1260"/>
      <c r="W58" s="1733"/>
      <c r="X58" s="1734"/>
    </row>
    <row r="59" spans="1:24" s="363" customFormat="1" ht="12" customHeight="1">
      <c r="B59" s="363" t="s">
        <v>1350</v>
      </c>
      <c r="G59" s="1585">
        <v>35000</v>
      </c>
      <c r="H59" s="1586"/>
      <c r="J59" s="1585">
        <v>35000</v>
      </c>
      <c r="K59" s="1586"/>
      <c r="L59" s="1162"/>
      <c r="M59" s="1585"/>
      <c r="N59" s="1586"/>
      <c r="P59" s="1585"/>
      <c r="Q59" s="1586"/>
      <c r="S59" s="1585"/>
      <c r="T59" s="1586"/>
      <c r="V59" s="1260"/>
      <c r="W59" s="1733"/>
      <c r="X59" s="1734"/>
    </row>
    <row r="60" spans="1:24" s="363" customFormat="1" ht="12" customHeight="1">
      <c r="B60" s="363" t="s">
        <v>295</v>
      </c>
      <c r="G60" s="1585"/>
      <c r="H60" s="1586"/>
      <c r="J60" s="1585"/>
      <c r="K60" s="1586"/>
      <c r="L60" s="1162"/>
      <c r="M60" s="1585"/>
      <c r="N60" s="1586"/>
      <c r="P60" s="1585"/>
      <c r="Q60" s="1586"/>
      <c r="S60" s="1585"/>
      <c r="T60" s="1586"/>
      <c r="V60" s="1260"/>
      <c r="W60" s="1733"/>
      <c r="X60" s="1734"/>
    </row>
    <row r="61" spans="1:24" s="363" customFormat="1" ht="12" customHeight="1">
      <c r="B61" s="428" t="s">
        <v>1216</v>
      </c>
      <c r="D61" s="426"/>
      <c r="E61" s="426"/>
      <c r="F61" s="427"/>
      <c r="G61" s="1585"/>
      <c r="H61" s="1586"/>
      <c r="I61" s="383"/>
      <c r="J61" s="1585"/>
      <c r="K61" s="1586"/>
      <c r="L61" s="1162"/>
      <c r="M61" s="1585"/>
      <c r="N61" s="1586"/>
      <c r="P61" s="1585"/>
      <c r="Q61" s="1586"/>
      <c r="S61" s="1585"/>
      <c r="T61" s="1586"/>
      <c r="V61" s="1260"/>
      <c r="W61" s="1733"/>
      <c r="X61" s="1734"/>
    </row>
    <row r="62" spans="1:24" s="363" customFormat="1" ht="12" customHeight="1">
      <c r="A62" s="449" t="str">
        <f>IF(AND(G62&gt;0,OR(C62="",C62="&lt;Enter detailed description here; use Comments section if needed&gt;")),"X","")</f>
        <v/>
      </c>
      <c r="B62" s="363" t="s">
        <v>785</v>
      </c>
      <c r="C62" s="1430" t="s">
        <v>2570</v>
      </c>
      <c r="D62" s="1430"/>
      <c r="E62" s="1430"/>
      <c r="F62" s="1431"/>
      <c r="G62" s="1585"/>
      <c r="H62" s="1586"/>
      <c r="J62" s="1585"/>
      <c r="K62" s="1586"/>
      <c r="L62" s="1162"/>
      <c r="M62" s="1585"/>
      <c r="N62" s="1586"/>
      <c r="P62" s="1585"/>
      <c r="Q62" s="1586"/>
      <c r="S62" s="1585"/>
      <c r="T62" s="1586"/>
      <c r="U62" s="448" t="str">
        <f>IF(AND(G62&gt;0,OR(C62="",C62="&lt;Enter detailed description here; use Comments section if needed&gt;")),"NO DESCRIPTION PROVIDED - please enter detailed description in Other box at left; use Comments section below if needed.","")</f>
        <v/>
      </c>
      <c r="V62" s="1260"/>
      <c r="W62" s="1733"/>
      <c r="X62" s="1734"/>
    </row>
    <row r="63" spans="1:24" s="363" customFormat="1" ht="12" customHeight="1" thickBot="1">
      <c r="A63" s="449" t="str">
        <f>IF(AND(G63&gt;0,OR(C63="",C63="&lt;Enter detailed description here; use Comments section if needed&gt;")),"X","")</f>
        <v/>
      </c>
      <c r="B63" s="363" t="s">
        <v>785</v>
      </c>
      <c r="C63" s="1430" t="s">
        <v>2570</v>
      </c>
      <c r="D63" s="1430"/>
      <c r="E63" s="1430"/>
      <c r="F63" s="1431"/>
      <c r="G63" s="1585"/>
      <c r="H63" s="1586"/>
      <c r="J63" s="1585"/>
      <c r="K63" s="1586"/>
      <c r="L63" s="1162"/>
      <c r="M63" s="1585"/>
      <c r="N63" s="1586"/>
      <c r="P63" s="1585"/>
      <c r="Q63" s="1586"/>
      <c r="S63" s="1585"/>
      <c r="T63" s="1586"/>
      <c r="U63" s="448" t="str">
        <f>IF(AND(G63&gt;0,OR(C63="",C63="&lt;Enter detailed description here; use Comments section if needed&gt;")),"NO DESCRIPTION PROVIDED - please enter detailed description in Other box at left; use Comments section below if needed.","")</f>
        <v/>
      </c>
      <c r="V63" s="1260"/>
      <c r="W63" s="1733"/>
      <c r="X63" s="1734"/>
    </row>
    <row r="64" spans="1:24" s="363" customFormat="1" ht="12" customHeight="1" thickTop="1">
      <c r="F64" s="422" t="s">
        <v>199</v>
      </c>
      <c r="G64" s="1635">
        <f>SUM(G53:H63)</f>
        <v>459338</v>
      </c>
      <c r="H64" s="1636"/>
      <c r="J64" s="1635">
        <f>SUM(J53:K63)</f>
        <v>366897</v>
      </c>
      <c r="K64" s="1636"/>
      <c r="L64" s="424"/>
      <c r="M64" s="1635">
        <f>SUM(M53:N63)</f>
        <v>0</v>
      </c>
      <c r="N64" s="1636"/>
      <c r="P64" s="1635">
        <f>SUM(P53:Q63)</f>
        <v>0</v>
      </c>
      <c r="Q64" s="1636"/>
      <c r="S64" s="1635">
        <f>SUM(S53:T63)</f>
        <v>92441</v>
      </c>
      <c r="T64" s="1636"/>
      <c r="V64" s="1262"/>
      <c r="W64" s="1735"/>
      <c r="X64" s="1736"/>
    </row>
    <row r="65" spans="1:24" s="363" customFormat="1" ht="12" customHeight="1">
      <c r="B65" s="366" t="s">
        <v>501</v>
      </c>
      <c r="G65" s="421"/>
      <c r="H65" s="421"/>
      <c r="J65" s="421"/>
      <c r="K65" s="421"/>
      <c r="M65" s="421"/>
      <c r="N65" s="421"/>
      <c r="O65" s="423" t="str">
        <f>B65</f>
        <v>PROFESSIONAL SERVICES</v>
      </c>
      <c r="P65" s="421"/>
      <c r="Q65" s="421"/>
      <c r="S65" s="421"/>
      <c r="T65" s="421"/>
      <c r="W65" s="363" t="str">
        <f>B65</f>
        <v>PROFESSIONAL SERVICES</v>
      </c>
    </row>
    <row r="66" spans="1:24" s="363" customFormat="1" ht="12" customHeight="1">
      <c r="B66" s="363" t="s">
        <v>502</v>
      </c>
      <c r="G66" s="1585">
        <v>336000</v>
      </c>
      <c r="H66" s="1586"/>
      <c r="J66" s="1585">
        <v>336000</v>
      </c>
      <c r="K66" s="1586"/>
      <c r="L66" s="1162"/>
      <c r="M66" s="1585"/>
      <c r="N66" s="1586"/>
      <c r="P66" s="1585"/>
      <c r="Q66" s="1586"/>
      <c r="S66" s="1585"/>
      <c r="T66" s="1586"/>
      <c r="V66" s="1260"/>
      <c r="W66" s="1731"/>
      <c r="X66" s="1732"/>
    </row>
    <row r="67" spans="1:24" s="363" customFormat="1" ht="12" customHeight="1">
      <c r="B67" s="363" t="s">
        <v>503</v>
      </c>
      <c r="G67" s="1585"/>
      <c r="H67" s="1586"/>
      <c r="J67" s="1585"/>
      <c r="K67" s="1586"/>
      <c r="L67" s="1162"/>
      <c r="M67" s="1585"/>
      <c r="N67" s="1586"/>
      <c r="P67" s="1585"/>
      <c r="Q67" s="1586"/>
      <c r="S67" s="1585"/>
      <c r="T67" s="1586"/>
      <c r="V67" s="1260"/>
      <c r="W67" s="1733"/>
      <c r="X67" s="1734"/>
    </row>
    <row r="68" spans="1:24" s="363" customFormat="1" ht="12" customHeight="1">
      <c r="B68" s="363" t="s">
        <v>1187</v>
      </c>
      <c r="F68" s="363" t="s">
        <v>3024</v>
      </c>
      <c r="G68" s="1585">
        <v>20000</v>
      </c>
      <c r="H68" s="1586"/>
      <c r="J68" s="1585">
        <v>20000</v>
      </c>
      <c r="K68" s="1586"/>
      <c r="L68" s="1162"/>
      <c r="M68" s="1585"/>
      <c r="N68" s="1586"/>
      <c r="P68" s="1585"/>
      <c r="Q68" s="1586"/>
      <c r="S68" s="1585"/>
      <c r="T68" s="1586"/>
      <c r="V68" s="1260"/>
      <c r="W68" s="1733"/>
      <c r="X68" s="1734"/>
    </row>
    <row r="69" spans="1:24" s="363" customFormat="1" ht="12" customHeight="1">
      <c r="B69" s="363" t="s">
        <v>1188</v>
      </c>
      <c r="G69" s="1585">
        <v>20000</v>
      </c>
      <c r="H69" s="1586"/>
      <c r="J69" s="1585">
        <v>20000</v>
      </c>
      <c r="K69" s="1586"/>
      <c r="L69" s="1162"/>
      <c r="M69" s="1585"/>
      <c r="N69" s="1586"/>
      <c r="P69" s="1585"/>
      <c r="Q69" s="1586"/>
      <c r="S69" s="1585"/>
      <c r="T69" s="1586"/>
      <c r="V69" s="1260"/>
      <c r="W69" s="1733"/>
      <c r="X69" s="1734"/>
    </row>
    <row r="70" spans="1:24" s="363" customFormat="1" ht="12" customHeight="1">
      <c r="B70" s="363" t="s">
        <v>1189</v>
      </c>
      <c r="G70" s="1585">
        <v>25000</v>
      </c>
      <c r="H70" s="1586"/>
      <c r="J70" s="1585">
        <v>25000</v>
      </c>
      <c r="K70" s="1586"/>
      <c r="L70" s="1162"/>
      <c r="M70" s="1585"/>
      <c r="N70" s="1586"/>
      <c r="P70" s="1585"/>
      <c r="Q70" s="1586"/>
      <c r="S70" s="1585"/>
      <c r="T70" s="1586"/>
      <c r="V70" s="1260"/>
      <c r="W70" s="1733"/>
      <c r="X70" s="1734"/>
    </row>
    <row r="71" spans="1:24" s="363" customFormat="1" ht="12" customHeight="1">
      <c r="B71" s="363" t="s">
        <v>1190</v>
      </c>
      <c r="G71" s="1585">
        <v>25000</v>
      </c>
      <c r="H71" s="1586"/>
      <c r="J71" s="1585">
        <v>25000</v>
      </c>
      <c r="K71" s="1586"/>
      <c r="L71" s="1162"/>
      <c r="M71" s="1585"/>
      <c r="N71" s="1586"/>
      <c r="P71" s="1585"/>
      <c r="Q71" s="1586"/>
      <c r="S71" s="1585"/>
      <c r="T71" s="1586"/>
      <c r="V71" s="1260"/>
      <c r="W71" s="1733"/>
      <c r="X71" s="1734"/>
    </row>
    <row r="72" spans="1:24" s="363" customFormat="1" ht="12" customHeight="1">
      <c r="B72" s="363" t="s">
        <v>504</v>
      </c>
      <c r="G72" s="1585">
        <v>60000</v>
      </c>
      <c r="H72" s="1586"/>
      <c r="J72" s="1585">
        <v>60000</v>
      </c>
      <c r="K72" s="1586"/>
      <c r="L72" s="1162"/>
      <c r="M72" s="1585"/>
      <c r="N72" s="1586"/>
      <c r="P72" s="1585"/>
      <c r="Q72" s="1586"/>
      <c r="S72" s="1585"/>
      <c r="T72" s="1586"/>
      <c r="V72" s="1260"/>
      <c r="W72" s="1733"/>
      <c r="X72" s="1734"/>
    </row>
    <row r="73" spans="1:24" s="363" customFormat="1" ht="12" customHeight="1">
      <c r="B73" s="363" t="s">
        <v>505</v>
      </c>
      <c r="G73" s="1585">
        <v>90000</v>
      </c>
      <c r="H73" s="1586"/>
      <c r="J73" s="1585">
        <v>67500</v>
      </c>
      <c r="K73" s="1586"/>
      <c r="L73" s="1162"/>
      <c r="M73" s="1585"/>
      <c r="N73" s="1586"/>
      <c r="P73" s="1585"/>
      <c r="Q73" s="1586"/>
      <c r="S73" s="1585">
        <v>22500</v>
      </c>
      <c r="T73" s="1586"/>
      <c r="V73" s="1260"/>
      <c r="W73" s="1733"/>
      <c r="X73" s="1734"/>
    </row>
    <row r="74" spans="1:24" s="363" customFormat="1" ht="12" customHeight="1">
      <c r="B74" s="363" t="s">
        <v>2179</v>
      </c>
      <c r="G74" s="1585">
        <v>15000</v>
      </c>
      <c r="H74" s="1586"/>
      <c r="J74" s="1585">
        <v>15000</v>
      </c>
      <c r="K74" s="1586"/>
      <c r="L74" s="1162"/>
      <c r="M74" s="1585"/>
      <c r="N74" s="1586"/>
      <c r="P74" s="1585"/>
      <c r="Q74" s="1586"/>
      <c r="S74" s="1585"/>
      <c r="T74" s="1586"/>
      <c r="V74" s="1260"/>
      <c r="W74" s="1733"/>
      <c r="X74" s="1734"/>
    </row>
    <row r="75" spans="1:24" s="363" customFormat="1" ht="12" customHeight="1">
      <c r="B75" s="363" t="s">
        <v>1351</v>
      </c>
      <c r="G75" s="1585">
        <v>10000</v>
      </c>
      <c r="H75" s="1586"/>
      <c r="J75" s="1585">
        <v>10000</v>
      </c>
      <c r="K75" s="1586"/>
      <c r="L75" s="1162"/>
      <c r="M75" s="1585"/>
      <c r="N75" s="1586"/>
      <c r="P75" s="1585"/>
      <c r="Q75" s="1586"/>
      <c r="S75" s="1585"/>
      <c r="T75" s="1586"/>
      <c r="V75" s="1260"/>
      <c r="W75" s="1733"/>
      <c r="X75" s="1734"/>
    </row>
    <row r="76" spans="1:24" s="363" customFormat="1" ht="12" customHeight="1" thickBot="1">
      <c r="A76" s="449" t="str">
        <f>IF(AND(G76&gt;0,OR(C76="",C76="&lt;Enter detailed description here; use Comments section if needed&gt;")),"X","")</f>
        <v/>
      </c>
      <c r="B76" s="363" t="s">
        <v>785</v>
      </c>
      <c r="C76" s="1430" t="s">
        <v>2570</v>
      </c>
      <c r="D76" s="1430"/>
      <c r="E76" s="1430"/>
      <c r="F76" s="1431"/>
      <c r="G76" s="1585"/>
      <c r="H76" s="1586"/>
      <c r="J76" s="1585"/>
      <c r="K76" s="1586"/>
      <c r="L76" s="1162"/>
      <c r="M76" s="1585"/>
      <c r="N76" s="1586"/>
      <c r="P76" s="1585"/>
      <c r="Q76" s="1586"/>
      <c r="S76" s="1585"/>
      <c r="T76" s="1586"/>
      <c r="U76" s="448" t="str">
        <f>IF(AND(G76&gt;0,OR(C76="",C76="&lt;Enter detailed description here; use Comments section if needed&gt;")),"NO DESCRIPTION PROVIDED - please enter detailed description in Other box at left; use Comments section below if needed.","")</f>
        <v/>
      </c>
      <c r="V76" s="1260"/>
      <c r="W76" s="1733"/>
      <c r="X76" s="1734"/>
    </row>
    <row r="77" spans="1:24" s="363" customFormat="1" ht="12" customHeight="1" thickTop="1">
      <c r="F77" s="422" t="s">
        <v>199</v>
      </c>
      <c r="G77" s="1635">
        <f>SUM(G66:H76)</f>
        <v>601000</v>
      </c>
      <c r="H77" s="1636"/>
      <c r="J77" s="1635">
        <f>SUM(J66:K76)</f>
        <v>578500</v>
      </c>
      <c r="K77" s="1636"/>
      <c r="L77" s="424"/>
      <c r="M77" s="1635">
        <f>SUM(M66:N76)</f>
        <v>0</v>
      </c>
      <c r="N77" s="1636"/>
      <c r="P77" s="1635">
        <f>SUM(P66:Q76)</f>
        <v>0</v>
      </c>
      <c r="Q77" s="1636"/>
      <c r="S77" s="1635">
        <f>SUM(S66:T76)</f>
        <v>22500</v>
      </c>
      <c r="T77" s="1636"/>
      <c r="V77" s="1262"/>
      <c r="W77" s="1735"/>
      <c r="X77" s="1736"/>
    </row>
    <row r="78" spans="1:24" ht="12" customHeight="1">
      <c r="A78" s="363"/>
      <c r="B78" s="366" t="s">
        <v>1343</v>
      </c>
      <c r="C78" s="363"/>
      <c r="D78" s="363"/>
      <c r="E78" s="363"/>
      <c r="F78" s="363"/>
      <c r="G78" s="363"/>
      <c r="H78" s="363"/>
      <c r="I78" s="363"/>
      <c r="J78" s="424"/>
      <c r="K78" s="424"/>
      <c r="M78" s="424"/>
      <c r="N78" s="424"/>
      <c r="O78" s="423" t="str">
        <f>B78</f>
        <v>LOCAL GOVERNMENT FEES</v>
      </c>
      <c r="P78" s="424"/>
      <c r="Q78" s="424"/>
      <c r="S78" s="424"/>
      <c r="T78" s="424"/>
      <c r="W78" s="363" t="str">
        <f>B78</f>
        <v>LOCAL GOVERNMENT FEES</v>
      </c>
    </row>
    <row r="79" spans="1:24" s="363" customFormat="1" ht="12" customHeight="1">
      <c r="B79" s="363" t="s">
        <v>1344</v>
      </c>
      <c r="G79" s="1585">
        <v>44235</v>
      </c>
      <c r="H79" s="1586"/>
      <c r="J79" s="1585">
        <v>44235</v>
      </c>
      <c r="K79" s="1586"/>
      <c r="L79" s="1162"/>
      <c r="M79" s="1585"/>
      <c r="N79" s="1586"/>
      <c r="P79" s="1585"/>
      <c r="Q79" s="1586"/>
      <c r="S79" s="1585"/>
      <c r="T79" s="1586"/>
      <c r="V79" s="1260"/>
      <c r="W79" s="1641"/>
      <c r="X79" s="1642"/>
    </row>
    <row r="80" spans="1:24" s="363" customFormat="1" ht="12" customHeight="1">
      <c r="B80" s="363" t="s">
        <v>1345</v>
      </c>
      <c r="G80" s="1585"/>
      <c r="H80" s="1586"/>
      <c r="J80" s="1585"/>
      <c r="K80" s="1586"/>
      <c r="L80" s="1162"/>
      <c r="M80" s="1585"/>
      <c r="N80" s="1586"/>
      <c r="P80" s="1585"/>
      <c r="Q80" s="1586"/>
      <c r="S80" s="1585"/>
      <c r="T80" s="1586"/>
      <c r="V80" s="1260"/>
      <c r="W80" s="1643"/>
      <c r="X80" s="1644"/>
    </row>
    <row r="81" spans="1:24" s="363" customFormat="1" ht="12" customHeight="1">
      <c r="B81" s="363" t="s">
        <v>1346</v>
      </c>
      <c r="D81" s="431" t="s">
        <v>1487</v>
      </c>
      <c r="E81" s="1263" t="s">
        <v>3425</v>
      </c>
      <c r="G81" s="1585">
        <v>160500</v>
      </c>
      <c r="H81" s="1586"/>
      <c r="I81" s="383"/>
      <c r="J81" s="1585">
        <v>160500</v>
      </c>
      <c r="K81" s="1586"/>
      <c r="L81" s="1162"/>
      <c r="M81" s="1585"/>
      <c r="N81" s="1586"/>
      <c r="P81" s="1585"/>
      <c r="Q81" s="1586"/>
      <c r="S81" s="1585"/>
      <c r="T81" s="1586"/>
      <c r="V81" s="1260"/>
      <c r="W81" s="1643"/>
      <c r="X81" s="1644"/>
    </row>
    <row r="82" spans="1:24" s="363" customFormat="1" ht="12" customHeight="1" thickBot="1">
      <c r="B82" s="363" t="s">
        <v>1347</v>
      </c>
      <c r="D82" s="431" t="s">
        <v>1487</v>
      </c>
      <c r="E82" s="1263" t="s">
        <v>3425</v>
      </c>
      <c r="G82" s="1585">
        <v>3600</v>
      </c>
      <c r="H82" s="1586"/>
      <c r="I82" s="383"/>
      <c r="J82" s="1585">
        <v>3600</v>
      </c>
      <c r="K82" s="1586"/>
      <c r="L82" s="1162"/>
      <c r="M82" s="1585"/>
      <c r="N82" s="1586"/>
      <c r="P82" s="1585"/>
      <c r="Q82" s="1586"/>
      <c r="S82" s="1585"/>
      <c r="T82" s="1586"/>
      <c r="V82" s="1260"/>
      <c r="W82" s="1643"/>
      <c r="X82" s="1644"/>
    </row>
    <row r="83" spans="1:24" s="363" customFormat="1" ht="12" customHeight="1" thickTop="1">
      <c r="F83" s="422" t="s">
        <v>199</v>
      </c>
      <c r="G83" s="1635">
        <f>SUM(G79:H82)</f>
        <v>208335</v>
      </c>
      <c r="H83" s="1636"/>
      <c r="J83" s="1635">
        <f>SUM(J79:K82)</f>
        <v>208335</v>
      </c>
      <c r="K83" s="1636"/>
      <c r="L83" s="424"/>
      <c r="M83" s="1635">
        <f>SUM(M79:N82)</f>
        <v>0</v>
      </c>
      <c r="N83" s="1636"/>
      <c r="P83" s="1635">
        <f>SUM(P79:Q82)</f>
        <v>0</v>
      </c>
      <c r="Q83" s="1636"/>
      <c r="S83" s="1635">
        <f>SUM(S79:T82)</f>
        <v>0</v>
      </c>
      <c r="T83" s="1636"/>
      <c r="V83" s="1262"/>
      <c r="W83" s="1645"/>
      <c r="X83" s="1646"/>
    </row>
    <row r="84" spans="1:24" s="363" customFormat="1" ht="12" customHeight="1">
      <c r="B84" s="366" t="s">
        <v>768</v>
      </c>
      <c r="J84" s="424"/>
      <c r="K84" s="424"/>
      <c r="M84" s="424"/>
      <c r="N84" s="424"/>
      <c r="O84" s="423" t="str">
        <f>B84</f>
        <v>PERMANENT FINANCING FEES</v>
      </c>
      <c r="P84" s="424"/>
      <c r="Q84" s="424"/>
      <c r="S84" s="424"/>
      <c r="T84" s="424"/>
      <c r="W84" s="363" t="str">
        <f>B84</f>
        <v>PERMANENT FINANCING FEES</v>
      </c>
    </row>
    <row r="85" spans="1:24" s="363" customFormat="1" ht="12" customHeight="1">
      <c r="B85" s="363" t="s">
        <v>1348</v>
      </c>
      <c r="G85" s="1585">
        <v>11100</v>
      </c>
      <c r="H85" s="1586"/>
      <c r="J85" s="1630"/>
      <c r="K85" s="1630"/>
      <c r="L85" s="1162"/>
      <c r="M85" s="1630"/>
      <c r="N85" s="1630"/>
      <c r="P85" s="1630"/>
      <c r="Q85" s="1630"/>
      <c r="S85" s="1585">
        <v>11100</v>
      </c>
      <c r="T85" s="1586"/>
      <c r="V85" s="1260"/>
      <c r="W85" s="1641"/>
      <c r="X85" s="1642"/>
    </row>
    <row r="86" spans="1:24" s="363" customFormat="1" ht="12" customHeight="1">
      <c r="B86" s="363" t="s">
        <v>1349</v>
      </c>
      <c r="G86" s="1585"/>
      <c r="H86" s="1586"/>
      <c r="J86" s="1630"/>
      <c r="K86" s="1630"/>
      <c r="L86" s="1162"/>
      <c r="M86" s="1630"/>
      <c r="N86" s="1630"/>
      <c r="P86" s="1630"/>
      <c r="Q86" s="1630"/>
      <c r="S86" s="1585"/>
      <c r="T86" s="1586"/>
      <c r="V86" s="1260"/>
      <c r="W86" s="1643"/>
      <c r="X86" s="1644"/>
    </row>
    <row r="87" spans="1:24" s="363" customFormat="1" ht="12" customHeight="1">
      <c r="B87" s="363" t="s">
        <v>1350</v>
      </c>
      <c r="G87" s="1585"/>
      <c r="H87" s="1586"/>
      <c r="J87" s="1630"/>
      <c r="K87" s="1630"/>
      <c r="L87" s="1162"/>
      <c r="M87" s="1630"/>
      <c r="N87" s="1630"/>
      <c r="P87" s="1630"/>
      <c r="Q87" s="1630"/>
      <c r="S87" s="1585"/>
      <c r="T87" s="1586"/>
      <c r="V87" s="1260"/>
      <c r="W87" s="1643"/>
      <c r="X87" s="1644"/>
    </row>
    <row r="88" spans="1:24" s="363" customFormat="1" ht="12" customHeight="1">
      <c r="B88" s="363" t="s">
        <v>1352</v>
      </c>
      <c r="G88" s="1585"/>
      <c r="H88" s="1586"/>
      <c r="J88" s="1630"/>
      <c r="K88" s="1630"/>
      <c r="L88" s="1162"/>
      <c r="M88" s="1630"/>
      <c r="N88" s="1630"/>
      <c r="P88" s="1630"/>
      <c r="Q88" s="1630"/>
      <c r="S88" s="1585"/>
      <c r="T88" s="1586"/>
      <c r="V88" s="1260"/>
      <c r="W88" s="1643"/>
      <c r="X88" s="1644"/>
    </row>
    <row r="89" spans="1:24" s="363" customFormat="1" ht="12" customHeight="1">
      <c r="B89" s="363" t="s">
        <v>2439</v>
      </c>
      <c r="G89" s="1585"/>
      <c r="H89" s="1586"/>
      <c r="J89" s="1630"/>
      <c r="K89" s="1630"/>
      <c r="L89" s="1162"/>
      <c r="M89" s="1630"/>
      <c r="N89" s="1630"/>
      <c r="P89" s="1630"/>
      <c r="Q89" s="1630"/>
      <c r="S89" s="1585"/>
      <c r="T89" s="1586"/>
      <c r="V89" s="1260"/>
      <c r="W89" s="1643"/>
      <c r="X89" s="1644"/>
    </row>
    <row r="90" spans="1:24" s="363" customFormat="1" ht="12" customHeight="1" thickBot="1">
      <c r="A90" s="449" t="str">
        <f>IF(AND(G90&gt;0,OR(C90="",C90="&lt;Enter detailed description here; use Comments section if needed&gt;")),"X","")</f>
        <v/>
      </c>
      <c r="B90" s="363" t="s">
        <v>785</v>
      </c>
      <c r="C90" s="1430" t="s">
        <v>2570</v>
      </c>
      <c r="D90" s="1430"/>
      <c r="E90" s="1430"/>
      <c r="F90" s="1431"/>
      <c r="G90" s="1585"/>
      <c r="H90" s="1586"/>
      <c r="J90" s="1630"/>
      <c r="K90" s="1630"/>
      <c r="L90" s="1162"/>
      <c r="M90" s="1630"/>
      <c r="N90" s="1630"/>
      <c r="P90" s="1630"/>
      <c r="Q90" s="1630"/>
      <c r="S90" s="1585"/>
      <c r="T90" s="1586"/>
      <c r="U90" s="448" t="str">
        <f>IF(AND(G90&gt;0,OR(C90="",C90="&lt;Enter detailed description here; use Comments section if needed&gt;")),"NO DESCRIPTION PROVIDED - please enter detailed description in Other box at left; use Comments section below if needed.","")</f>
        <v/>
      </c>
      <c r="V90" s="1260"/>
      <c r="W90" s="1643"/>
      <c r="X90" s="1644"/>
    </row>
    <row r="91" spans="1:24" s="363" customFormat="1" ht="12" customHeight="1" thickTop="1">
      <c r="F91" s="422" t="s">
        <v>199</v>
      </c>
      <c r="G91" s="1635">
        <f>SUM(G85:H90)</f>
        <v>11100</v>
      </c>
      <c r="H91" s="1636"/>
      <c r="J91" s="1630"/>
      <c r="K91" s="1630"/>
      <c r="L91" s="424"/>
      <c r="M91" s="1630"/>
      <c r="N91" s="1630"/>
      <c r="P91" s="1630"/>
      <c r="Q91" s="1630"/>
      <c r="S91" s="1635">
        <f>SUM(S85:T90)</f>
        <v>11100</v>
      </c>
      <c r="T91" s="1636"/>
      <c r="V91" s="1262"/>
      <c r="W91" s="1645"/>
      <c r="X91" s="1646"/>
    </row>
    <row r="92" spans="1:24" s="363" customFormat="1" ht="6" customHeight="1" thickBot="1">
      <c r="A92" s="621"/>
      <c r="B92" s="621"/>
      <c r="C92" s="621"/>
      <c r="D92" s="621"/>
      <c r="E92" s="621"/>
      <c r="F92" s="621"/>
      <c r="G92" s="621"/>
      <c r="H92" s="621"/>
      <c r="I92" s="621"/>
      <c r="J92" s="621"/>
      <c r="K92" s="621"/>
      <c r="L92" s="621"/>
      <c r="M92" s="621"/>
      <c r="N92" s="621"/>
      <c r="O92" s="621"/>
      <c r="P92" s="621"/>
      <c r="Q92" s="621"/>
      <c r="R92" s="621"/>
      <c r="S92" s="621"/>
      <c r="T92" s="621"/>
    </row>
    <row r="93" spans="1:24" s="363" customFormat="1" ht="18" customHeight="1" thickBot="1">
      <c r="A93" s="525" t="s">
        <v>652</v>
      </c>
      <c r="B93" s="525" t="s">
        <v>3217</v>
      </c>
      <c r="H93" s="1156"/>
      <c r="I93" s="1156"/>
      <c r="J93" s="1637" t="s">
        <v>285</v>
      </c>
      <c r="K93" s="1638"/>
      <c r="L93" s="421"/>
      <c r="M93" s="1631" t="s">
        <v>516</v>
      </c>
      <c r="N93" s="1632"/>
      <c r="P93" s="1637" t="s">
        <v>286</v>
      </c>
      <c r="Q93" s="1638"/>
      <c r="S93" s="1637" t="s">
        <v>287</v>
      </c>
      <c r="T93" s="1638"/>
      <c r="W93" s="526" t="str">
        <f>B93</f>
        <v>DEVELOPMENT BUDGET  (cont'd)</v>
      </c>
    </row>
    <row r="94" spans="1:24" s="363" customFormat="1" ht="18" customHeight="1" thickBot="1">
      <c r="G94" s="1718" t="s">
        <v>104</v>
      </c>
      <c r="H94" s="1719"/>
      <c r="J94" s="1639"/>
      <c r="K94" s="1640"/>
      <c r="L94" s="421"/>
      <c r="M94" s="1633"/>
      <c r="N94" s="1634"/>
      <c r="P94" s="1639"/>
      <c r="Q94" s="1640"/>
      <c r="S94" s="1639"/>
      <c r="T94" s="1640"/>
      <c r="W94" s="1740" t="s">
        <v>2882</v>
      </c>
      <c r="X94" s="1740"/>
    </row>
    <row r="95" spans="1:24" s="363" customFormat="1" ht="13.15" customHeight="1">
      <c r="B95" s="366" t="s">
        <v>769</v>
      </c>
      <c r="J95" s="424"/>
      <c r="K95" s="424"/>
      <c r="M95" s="424"/>
      <c r="N95" s="424"/>
      <c r="O95" s="423" t="str">
        <f>B95</f>
        <v>DCA-RELATED COSTS</v>
      </c>
      <c r="P95" s="424"/>
      <c r="Q95" s="424"/>
      <c r="S95" s="424"/>
      <c r="T95" s="424"/>
      <c r="W95" s="363" t="str">
        <f>B95</f>
        <v>DCA-RELATED COSTS</v>
      </c>
    </row>
    <row r="96" spans="1:24" s="363" customFormat="1" ht="12.6" customHeight="1">
      <c r="B96" s="363" t="s">
        <v>1635</v>
      </c>
      <c r="G96" s="1585"/>
      <c r="H96" s="1586"/>
      <c r="J96" s="424"/>
      <c r="K96" s="424"/>
      <c r="L96" s="1162"/>
      <c r="M96" s="424"/>
      <c r="N96" s="424"/>
      <c r="P96" s="424"/>
      <c r="Q96" s="424"/>
      <c r="S96" s="1585"/>
      <c r="T96" s="1586"/>
      <c r="V96" s="1260"/>
      <c r="W96" s="1641"/>
      <c r="X96" s="1642"/>
    </row>
    <row r="97" spans="1:24" s="363" customFormat="1" ht="12.6" customHeight="1">
      <c r="B97" s="363" t="s">
        <v>1268</v>
      </c>
      <c r="G97" s="1585">
        <v>6500</v>
      </c>
      <c r="H97" s="1586"/>
      <c r="J97" s="424"/>
      <c r="K97" s="424"/>
      <c r="L97" s="432"/>
      <c r="M97" s="424"/>
      <c r="N97" s="424"/>
      <c r="P97" s="424"/>
      <c r="Q97" s="424"/>
      <c r="S97" s="1585">
        <v>6500</v>
      </c>
      <c r="T97" s="1586"/>
      <c r="V97" s="1260"/>
      <c r="W97" s="1643"/>
      <c r="X97" s="1644"/>
    </row>
    <row r="98" spans="1:24" s="363" customFormat="1" ht="12.6" customHeight="1">
      <c r="B98" s="363" t="s">
        <v>2908</v>
      </c>
      <c r="G98" s="1585"/>
      <c r="H98" s="1586"/>
      <c r="J98" s="424"/>
      <c r="K98" s="424"/>
      <c r="L98" s="432"/>
      <c r="M98" s="424"/>
      <c r="N98" s="424"/>
      <c r="O98" s="1156"/>
      <c r="P98" s="424"/>
      <c r="Q98" s="424"/>
      <c r="S98" s="1585"/>
      <c r="T98" s="1586"/>
      <c r="V98" s="1260"/>
      <c r="W98" s="1643"/>
      <c r="X98" s="1644"/>
    </row>
    <row r="99" spans="1:24" s="363" customFormat="1" ht="12.6" customHeight="1">
      <c r="B99" s="363" t="s">
        <v>547</v>
      </c>
      <c r="E99" s="1728">
        <f>'DCA Underwriting Assumptions'!$Q$40*$J$173</f>
        <v>80000</v>
      </c>
      <c r="F99" s="1729"/>
      <c r="G99" s="1585">
        <v>80000</v>
      </c>
      <c r="H99" s="1586"/>
      <c r="J99" s="424"/>
      <c r="K99" s="424"/>
      <c r="L99" s="1162"/>
      <c r="M99" s="424"/>
      <c r="N99" s="424"/>
      <c r="O99" s="1156"/>
      <c r="P99" s="424"/>
      <c r="Q99" s="424"/>
      <c r="S99" s="1585">
        <v>80000</v>
      </c>
      <c r="T99" s="1586"/>
      <c r="V99" s="1260"/>
      <c r="W99" s="1643"/>
      <c r="X99" s="1644"/>
    </row>
    <row r="100" spans="1:24" s="363" customFormat="1" ht="12.6" customHeight="1">
      <c r="B100" s="363" t="s">
        <v>797</v>
      </c>
      <c r="E100" s="1728">
        <f>IF('Part VI-Revenues &amp; Expenses'!$M$89&gt;0,('Part VI-Revenues &amp; Expenses'!$M$89*'DCA Underwriting Assumptions'!$Q$46)+('Part VI-Revenues &amp; Expenses'!$M$62-'Part VI-Revenues &amp; Expenses'!$M$89)*'DCA Underwriting Assumptions'!$Q$44,IF('Part III-Sources of Funds'!$B$8="Yes",'Part VI-Revenues &amp; Expenses'!$M$62*'DCA Underwriting Assumptions'!$Q$45,'Part VI-Revenues &amp; Expenses'!$M$62*'DCA Underwriting Assumptions'!$Q$44))</f>
        <v>67200</v>
      </c>
      <c r="F100" s="1729"/>
      <c r="G100" s="1585">
        <v>67200</v>
      </c>
      <c r="H100" s="1586"/>
      <c r="J100" s="332"/>
      <c r="K100" s="332"/>
      <c r="L100" s="332"/>
      <c r="M100" s="332"/>
      <c r="N100" s="332"/>
      <c r="O100" s="332"/>
      <c r="P100" s="332"/>
      <c r="Q100" s="332"/>
      <c r="S100" s="1585">
        <v>67200</v>
      </c>
      <c r="T100" s="1586"/>
      <c r="V100" s="1260"/>
      <c r="W100" s="1643"/>
      <c r="X100" s="1644"/>
    </row>
    <row r="101" spans="1:24" s="363" customFormat="1" ht="12.6" customHeight="1">
      <c r="B101" s="363" t="s">
        <v>511</v>
      </c>
      <c r="G101" s="1585"/>
      <c r="H101" s="1586"/>
      <c r="J101" s="332"/>
      <c r="K101" s="332"/>
      <c r="L101" s="332"/>
      <c r="M101" s="332"/>
      <c r="N101" s="332"/>
      <c r="O101" s="332"/>
      <c r="P101" s="332"/>
      <c r="Q101" s="332"/>
      <c r="S101" s="1585"/>
      <c r="T101" s="1586"/>
      <c r="V101" s="1260"/>
      <c r="W101" s="1643"/>
      <c r="X101" s="1644"/>
    </row>
    <row r="102" spans="1:24" s="363" customFormat="1" ht="12.6" customHeight="1">
      <c r="B102" s="363" t="s">
        <v>2496</v>
      </c>
      <c r="G102" s="1585">
        <v>3000</v>
      </c>
      <c r="H102" s="1586"/>
      <c r="J102" s="332"/>
      <c r="K102" s="332"/>
      <c r="L102" s="332"/>
      <c r="M102" s="332"/>
      <c r="N102" s="332"/>
      <c r="O102" s="332"/>
      <c r="P102" s="332"/>
      <c r="Q102" s="332"/>
      <c r="S102" s="1585">
        <v>3000</v>
      </c>
      <c r="T102" s="1586"/>
      <c r="V102" s="1260"/>
      <c r="W102" s="1643"/>
      <c r="X102" s="1644"/>
    </row>
    <row r="103" spans="1:24" s="363" customFormat="1" ht="12.6" customHeight="1">
      <c r="A103" s="449" t="str">
        <f>IF(AND(G103&gt;0,OR(C103="",C103="&lt;Enter detailed description here; use Comments section if needed&gt;")),"X","")</f>
        <v/>
      </c>
      <c r="B103" s="363" t="s">
        <v>785</v>
      </c>
      <c r="C103" s="1430" t="s">
        <v>3457</v>
      </c>
      <c r="D103" s="1430"/>
      <c r="E103" s="1430"/>
      <c r="F103" s="1431"/>
      <c r="G103" s="1585">
        <v>1000</v>
      </c>
      <c r="H103" s="1586"/>
      <c r="J103" s="332"/>
      <c r="K103" s="332"/>
      <c r="L103" s="332"/>
      <c r="M103" s="332"/>
      <c r="N103" s="332"/>
      <c r="O103" s="332"/>
      <c r="P103" s="332"/>
      <c r="Q103" s="332"/>
      <c r="S103" s="1585">
        <v>1000</v>
      </c>
      <c r="T103" s="1586"/>
      <c r="U103" s="448" t="str">
        <f>IF(AND(G103&gt;0,OR(C103="",C103="&lt;Enter detailed description here; use Comments section if needed&gt;")),"NO DESCRIPTION PROVIDED - please enter detailed description in Other box at left; use Comments section below if needed.","")</f>
        <v/>
      </c>
      <c r="V103" s="1260"/>
      <c r="W103" s="1643"/>
      <c r="X103" s="1644"/>
    </row>
    <row r="104" spans="1:24" s="363" customFormat="1" ht="12.6" customHeight="1" thickBot="1">
      <c r="A104" s="449" t="str">
        <f>IF(AND(G104&gt;0,OR(C104="",C104="&lt;Enter detailed description here; use Comments section if needed&gt;")),"X","")</f>
        <v/>
      </c>
      <c r="B104" s="363" t="s">
        <v>785</v>
      </c>
      <c r="C104" s="1430" t="s">
        <v>2570</v>
      </c>
      <c r="D104" s="1430"/>
      <c r="E104" s="1430"/>
      <c r="F104" s="1431"/>
      <c r="G104" s="1585"/>
      <c r="H104" s="1586"/>
      <c r="J104" s="332"/>
      <c r="K104" s="332"/>
      <c r="L104" s="332"/>
      <c r="M104" s="332"/>
      <c r="N104" s="332"/>
      <c r="O104" s="332"/>
      <c r="P104" s="332"/>
      <c r="Q104" s="332"/>
      <c r="S104" s="1585"/>
      <c r="T104" s="1586"/>
      <c r="U104" s="448" t="str">
        <f>IF(AND(G104&gt;0,OR(C104="",C104="&lt;Enter detailed description here; use Comments section if needed&gt;")),"NO DESCRIPTION PROVIDED - please enter detailed description in Other box at left; use Comments section below if needed.","")</f>
        <v/>
      </c>
      <c r="V104" s="1260"/>
      <c r="W104" s="1643"/>
      <c r="X104" s="1644"/>
    </row>
    <row r="105" spans="1:24" s="363" customFormat="1" ht="12.6" customHeight="1" thickTop="1">
      <c r="F105" s="422" t="s">
        <v>199</v>
      </c>
      <c r="G105" s="1635">
        <f>SUM(G96:H104)</f>
        <v>157700</v>
      </c>
      <c r="H105" s="1636"/>
      <c r="J105" s="424"/>
      <c r="K105" s="424"/>
      <c r="L105" s="1162"/>
      <c r="M105" s="424"/>
      <c r="N105" s="424"/>
      <c r="P105" s="424"/>
      <c r="Q105" s="424"/>
      <c r="S105" s="1635">
        <f>SUM(S96:T104)</f>
        <v>157700</v>
      </c>
      <c r="T105" s="1636"/>
      <c r="V105" s="1262"/>
      <c r="W105" s="1645"/>
      <c r="X105" s="1646"/>
    </row>
    <row r="106" spans="1:24" s="363" customFormat="1" ht="13.15" customHeight="1">
      <c r="B106" s="366" t="s">
        <v>2440</v>
      </c>
      <c r="J106" s="424"/>
      <c r="K106" s="424"/>
      <c r="M106" s="424"/>
      <c r="N106" s="424"/>
      <c r="O106" s="423" t="str">
        <f>B106</f>
        <v>EQUITY COSTS</v>
      </c>
      <c r="P106" s="424"/>
      <c r="Q106" s="424"/>
      <c r="S106" s="424"/>
      <c r="T106" s="424"/>
      <c r="W106" s="363" t="str">
        <f>B106</f>
        <v>EQUITY COSTS</v>
      </c>
    </row>
    <row r="107" spans="1:24" s="363" customFormat="1" ht="12.6" customHeight="1">
      <c r="B107" s="363" t="s">
        <v>294</v>
      </c>
      <c r="G107" s="1585">
        <v>2500</v>
      </c>
      <c r="H107" s="1586"/>
      <c r="J107" s="1630"/>
      <c r="K107" s="1630"/>
      <c r="L107" s="1162"/>
      <c r="M107" s="1630"/>
      <c r="N107" s="1630"/>
      <c r="O107" s="1156"/>
      <c r="P107" s="1630"/>
      <c r="Q107" s="1630"/>
      <c r="S107" s="1585">
        <v>2500</v>
      </c>
      <c r="T107" s="1586"/>
      <c r="V107" s="1260"/>
      <c r="W107" s="1641"/>
      <c r="X107" s="1642"/>
    </row>
    <row r="108" spans="1:24" s="363" customFormat="1" ht="12.6" customHeight="1">
      <c r="B108" s="363" t="s">
        <v>296</v>
      </c>
      <c r="G108" s="1585"/>
      <c r="H108" s="1586"/>
      <c r="J108" s="1630"/>
      <c r="K108" s="1630"/>
      <c r="L108" s="1162"/>
      <c r="M108" s="1630"/>
      <c r="N108" s="1630"/>
      <c r="O108" s="1156"/>
      <c r="P108" s="1630"/>
      <c r="Q108" s="1630"/>
      <c r="S108" s="1585"/>
      <c r="T108" s="1586"/>
      <c r="V108" s="1260"/>
      <c r="W108" s="1643"/>
      <c r="X108" s="1644"/>
    </row>
    <row r="109" spans="1:24" s="363" customFormat="1" ht="12.6" customHeight="1">
      <c r="B109" s="363" t="s">
        <v>2534</v>
      </c>
      <c r="G109" s="1585"/>
      <c r="H109" s="1586"/>
      <c r="J109" s="1630"/>
      <c r="K109" s="1630"/>
      <c r="L109" s="1162"/>
      <c r="M109" s="1630"/>
      <c r="N109" s="1630"/>
      <c r="O109" s="1156"/>
      <c r="P109" s="1630"/>
      <c r="Q109" s="1630"/>
      <c r="S109" s="1585"/>
      <c r="T109" s="1586"/>
      <c r="V109" s="1260"/>
      <c r="W109" s="1643"/>
      <c r="X109" s="1644"/>
    </row>
    <row r="110" spans="1:24" s="363" customFormat="1" ht="12.6" customHeight="1" thickBot="1">
      <c r="A110" s="449" t="str">
        <f>IF(AND(G110&gt;0,OR(C110="",C110="&lt;Enter detailed description here; use Comments section if needed&gt;")),"X","")</f>
        <v/>
      </c>
      <c r="B110" s="363" t="s">
        <v>785</v>
      </c>
      <c r="C110" s="1430" t="s">
        <v>2570</v>
      </c>
      <c r="D110" s="1430"/>
      <c r="E110" s="1430"/>
      <c r="F110" s="1431"/>
      <c r="G110" s="1585"/>
      <c r="H110" s="1586"/>
      <c r="J110" s="1630"/>
      <c r="K110" s="1630"/>
      <c r="L110" s="1162"/>
      <c r="M110" s="1630"/>
      <c r="N110" s="1630"/>
      <c r="O110" s="1156"/>
      <c r="P110" s="1630"/>
      <c r="Q110" s="1630"/>
      <c r="S110" s="1585"/>
      <c r="T110" s="1586"/>
      <c r="U110" s="448" t="str">
        <f>IF(AND(G110&gt;0,OR(C110="",C110="&lt;Enter detailed description here; use Comments section if needed&gt;")),"NO DESCRIPTION PROVIDED - please enter detailed description in Other box at left; use Comments section below if needed.","")</f>
        <v/>
      </c>
      <c r="V110" s="1260"/>
      <c r="W110" s="1643"/>
      <c r="X110" s="1644"/>
    </row>
    <row r="111" spans="1:24" s="363" customFormat="1" ht="12.6" customHeight="1" thickTop="1">
      <c r="F111" s="422" t="s">
        <v>199</v>
      </c>
      <c r="G111" s="1635">
        <f>SUM(G107:H110)</f>
        <v>2500</v>
      </c>
      <c r="H111" s="1636"/>
      <c r="J111" s="1630"/>
      <c r="K111" s="1630"/>
      <c r="L111" s="1162"/>
      <c r="M111" s="1630"/>
      <c r="N111" s="1630"/>
      <c r="O111" s="1156"/>
      <c r="P111" s="1630"/>
      <c r="Q111" s="1630"/>
      <c r="S111" s="1635">
        <f>SUM(S107:T110)</f>
        <v>2500</v>
      </c>
      <c r="T111" s="1636"/>
      <c r="V111" s="1262"/>
      <c r="W111" s="1645"/>
      <c r="X111" s="1646"/>
    </row>
    <row r="112" spans="1:24" s="363" customFormat="1" ht="13.15" customHeight="1">
      <c r="B112" s="366" t="s">
        <v>297</v>
      </c>
      <c r="J112" s="424"/>
      <c r="K112" s="421"/>
      <c r="M112" s="424"/>
      <c r="N112" s="421"/>
      <c r="O112" s="423" t="str">
        <f>B112</f>
        <v>DEVELOPER'S FEE</v>
      </c>
      <c r="P112" s="424"/>
      <c r="Q112" s="421"/>
      <c r="S112" s="424"/>
      <c r="T112" s="421"/>
      <c r="W112" s="363" t="str">
        <f>B112</f>
        <v>DEVELOPER'S FEE</v>
      </c>
    </row>
    <row r="113" spans="1:24" s="363" customFormat="1" ht="12.6" customHeight="1">
      <c r="B113" s="363" t="s">
        <v>1981</v>
      </c>
      <c r="F113" s="490">
        <f>G113/$G$116</f>
        <v>0.43097965884215156</v>
      </c>
      <c r="G113" s="1585">
        <v>645564</v>
      </c>
      <c r="H113" s="1586"/>
      <c r="J113" s="1585">
        <v>645564</v>
      </c>
      <c r="K113" s="1586"/>
      <c r="L113" s="423"/>
      <c r="M113" s="1585"/>
      <c r="N113" s="1586"/>
      <c r="P113" s="1585"/>
      <c r="Q113" s="1586"/>
      <c r="S113" s="1585"/>
      <c r="T113" s="1586"/>
      <c r="V113" s="1260"/>
      <c r="W113" s="1641"/>
      <c r="X113" s="1642"/>
    </row>
    <row r="114" spans="1:24" s="363" customFormat="1" ht="12.6" customHeight="1">
      <c r="B114" s="363" t="s">
        <v>1982</v>
      </c>
      <c r="F114" s="490">
        <f>G114/$G$116</f>
        <v>0</v>
      </c>
      <c r="G114" s="1585"/>
      <c r="H114" s="1586"/>
      <c r="J114" s="1585"/>
      <c r="K114" s="1586"/>
      <c r="L114" s="1162"/>
      <c r="M114" s="1585"/>
      <c r="N114" s="1586"/>
      <c r="P114" s="1585"/>
      <c r="Q114" s="1586"/>
      <c r="S114" s="1585"/>
      <c r="T114" s="1586"/>
      <c r="V114" s="1260"/>
      <c r="W114" s="1643"/>
      <c r="X114" s="1644"/>
    </row>
    <row r="115" spans="1:24" s="363" customFormat="1" ht="12.6" customHeight="1" thickBot="1">
      <c r="B115" s="363" t="s">
        <v>1974</v>
      </c>
      <c r="F115" s="490">
        <f>G115/$G$116</f>
        <v>0.56902034115784839</v>
      </c>
      <c r="G115" s="1585">
        <v>852335</v>
      </c>
      <c r="H115" s="1586"/>
      <c r="J115" s="1585">
        <v>852335</v>
      </c>
      <c r="K115" s="1586"/>
      <c r="L115" s="1162"/>
      <c r="M115" s="1585"/>
      <c r="N115" s="1586"/>
      <c r="P115" s="1585"/>
      <c r="Q115" s="1586"/>
      <c r="S115" s="1585"/>
      <c r="T115" s="1586"/>
      <c r="V115" s="1260"/>
      <c r="W115" s="1643"/>
      <c r="X115" s="1644"/>
    </row>
    <row r="116" spans="1:24" s="363" customFormat="1" ht="12.6" customHeight="1" thickTop="1">
      <c r="C116" s="448" t="str">
        <f>IF(G116&lt;='DCA Underwriting Assumptions'!$Q$48,"","Developer Fee exceeds DCA Program Maximum !!!")</f>
        <v/>
      </c>
      <c r="F116" s="422" t="s">
        <v>199</v>
      </c>
      <c r="G116" s="1635">
        <f>SUM(G113:H115)</f>
        <v>1497899</v>
      </c>
      <c r="H116" s="1636"/>
      <c r="J116" s="1635">
        <f>SUM(J113:K115)</f>
        <v>1497899</v>
      </c>
      <c r="K116" s="1636"/>
      <c r="L116" s="1162"/>
      <c r="M116" s="1635">
        <f>SUM(M113:N115)</f>
        <v>0</v>
      </c>
      <c r="N116" s="1636"/>
      <c r="P116" s="1635">
        <f>SUM(P113:Q115)</f>
        <v>0</v>
      </c>
      <c r="Q116" s="1636"/>
      <c r="S116" s="1635">
        <f>SUM(S113:T115)</f>
        <v>0</v>
      </c>
      <c r="T116" s="1636"/>
      <c r="V116" s="1262"/>
      <c r="W116" s="1645"/>
      <c r="X116" s="1646"/>
    </row>
    <row r="117" spans="1:24" s="363" customFormat="1" ht="13.15" customHeight="1">
      <c r="B117" s="366" t="s">
        <v>1389</v>
      </c>
      <c r="J117" s="421"/>
      <c r="K117" s="421"/>
      <c r="M117" s="421"/>
      <c r="N117" s="421"/>
      <c r="O117" s="423" t="str">
        <f>B117</f>
        <v>START-UP AND RESERVES</v>
      </c>
      <c r="P117" s="421"/>
      <c r="Q117" s="421"/>
      <c r="S117" s="421"/>
      <c r="T117" s="421"/>
      <c r="W117" s="363" t="str">
        <f>B117</f>
        <v>START-UP AND RESERVES</v>
      </c>
    </row>
    <row r="118" spans="1:24" s="363" customFormat="1" ht="12.6" customHeight="1">
      <c r="B118" s="363" t="s">
        <v>264</v>
      </c>
      <c r="G118" s="1585">
        <v>15000</v>
      </c>
      <c r="H118" s="1586"/>
      <c r="J118" s="433"/>
      <c r="K118" s="433"/>
      <c r="L118" s="433"/>
      <c r="M118" s="433"/>
      <c r="N118" s="433"/>
      <c r="P118" s="433"/>
      <c r="Q118" s="433"/>
      <c r="S118" s="1585"/>
      <c r="T118" s="1586"/>
      <c r="V118" s="1260"/>
      <c r="W118" s="1641"/>
      <c r="X118" s="1642"/>
    </row>
    <row r="119" spans="1:24" s="363" customFormat="1" ht="12.6" customHeight="1">
      <c r="B119" s="363" t="s">
        <v>1634</v>
      </c>
      <c r="F119" s="648">
        <f>+'Part VI-Revenues &amp; Expenses'!P157*('DCA Underwriting Assumptions'!$Q$60/12)</f>
        <v>84000</v>
      </c>
      <c r="G119" s="1585">
        <v>84000</v>
      </c>
      <c r="H119" s="1586"/>
      <c r="J119" s="1630"/>
      <c r="K119" s="1630"/>
      <c r="L119" s="1162"/>
      <c r="M119" s="1630"/>
      <c r="N119" s="1630"/>
      <c r="O119" s="1156"/>
      <c r="P119" s="1630"/>
      <c r="Q119" s="1630"/>
      <c r="R119" s="1156"/>
      <c r="S119" s="1585"/>
      <c r="T119" s="1586"/>
      <c r="V119" s="1260"/>
      <c r="W119" s="1643"/>
      <c r="X119" s="1644"/>
    </row>
    <row r="120" spans="1:24" s="363" customFormat="1" ht="12.6" customHeight="1">
      <c r="B120" s="363" t="s">
        <v>718</v>
      </c>
      <c r="F120" s="649">
        <f>'Part VI-Revenues &amp; Expenses'!P157*('DCA Underwriting Assumptions'!Q59/12)+('Part VII-Pro Forma'!B23+'Part VII-Pro Forma'!B24+'Part VII-Pro Forma'!B25+'Part VII-Pro Forma'!B26)*'DCA Underwriting Assumptions'!Q58/(-12)</f>
        <v>203765.28419622569</v>
      </c>
      <c r="G120" s="1585">
        <v>203765</v>
      </c>
      <c r="H120" s="1586"/>
      <c r="J120" s="432"/>
      <c r="K120" s="432"/>
      <c r="L120" s="432"/>
      <c r="M120" s="432"/>
      <c r="N120" s="432"/>
      <c r="O120" s="1156"/>
      <c r="P120" s="432"/>
      <c r="Q120" s="432"/>
      <c r="R120" s="1156"/>
      <c r="S120" s="1585"/>
      <c r="T120" s="1586"/>
      <c r="V120" s="1260"/>
      <c r="W120" s="1643"/>
      <c r="X120" s="1644"/>
    </row>
    <row r="121" spans="1:24" s="363" customFormat="1" ht="12.6" customHeight="1">
      <c r="B121" s="363" t="s">
        <v>1316</v>
      </c>
      <c r="G121" s="1585"/>
      <c r="H121" s="1586"/>
      <c r="J121" s="433"/>
      <c r="K121" s="433"/>
      <c r="L121" s="433"/>
      <c r="M121" s="433"/>
      <c r="N121" s="433"/>
      <c r="P121" s="433"/>
      <c r="Q121" s="433"/>
      <c r="S121" s="1585"/>
      <c r="T121" s="1586"/>
      <c r="V121" s="1260"/>
      <c r="W121" s="1643"/>
      <c r="X121" s="1644"/>
    </row>
    <row r="122" spans="1:24" s="363" customFormat="1" ht="12.6" customHeight="1">
      <c r="B122" s="363" t="s">
        <v>1317</v>
      </c>
      <c r="E122" s="363" t="s">
        <v>3020</v>
      </c>
      <c r="F122" s="591">
        <f>G122/'Part VI-Revenues &amp; Expenses'!$M$62</f>
        <v>714.28571428571433</v>
      </c>
      <c r="G122" s="1585">
        <v>60000</v>
      </c>
      <c r="H122" s="1586"/>
      <c r="J122" s="1585">
        <v>60000</v>
      </c>
      <c r="K122" s="1586"/>
      <c r="L122" s="1162"/>
      <c r="M122" s="1585"/>
      <c r="N122" s="1586"/>
      <c r="P122" s="1585"/>
      <c r="Q122" s="1586"/>
      <c r="S122" s="1585"/>
      <c r="T122" s="1586"/>
      <c r="V122" s="1260"/>
      <c r="W122" s="1643"/>
      <c r="X122" s="1644"/>
    </row>
    <row r="123" spans="1:24" s="363" customFormat="1" ht="12.6" customHeight="1" thickBot="1">
      <c r="A123" s="449" t="str">
        <f>IF(AND(G123&gt;0,OR(C123="",C123="&lt;Enter detailed description here; use Comments section if needed&gt;")),"X","")</f>
        <v/>
      </c>
      <c r="B123" s="363" t="s">
        <v>785</v>
      </c>
      <c r="C123" s="1430" t="s">
        <v>2570</v>
      </c>
      <c r="D123" s="1430"/>
      <c r="E123" s="1430"/>
      <c r="F123" s="1431"/>
      <c r="G123" s="1585"/>
      <c r="H123" s="1586"/>
      <c r="J123" s="1585"/>
      <c r="K123" s="1586"/>
      <c r="L123" s="1162"/>
      <c r="M123" s="1585"/>
      <c r="N123" s="1586"/>
      <c r="P123" s="1585"/>
      <c r="Q123" s="1586"/>
      <c r="S123" s="1585"/>
      <c r="T123" s="1586"/>
      <c r="U123" s="448" t="str">
        <f>IF(AND(G123&gt;0,OR(C123="",C123="&lt;Enter detailed description here; use Comments section if needed&gt;")),"NO DESCRIPTION PROVIDED - please enter detailed description in Other box at left; use Comments section below if needed.","")</f>
        <v/>
      </c>
      <c r="V123" s="1260"/>
      <c r="W123" s="1643"/>
      <c r="X123" s="1644"/>
    </row>
    <row r="124" spans="1:24" s="363" customFormat="1" ht="12.6" customHeight="1" thickTop="1">
      <c r="B124" s="434"/>
      <c r="F124" s="422" t="s">
        <v>199</v>
      </c>
      <c r="G124" s="1635">
        <f>SUM(G118:H123)</f>
        <v>362765</v>
      </c>
      <c r="H124" s="1636"/>
      <c r="J124" s="1635">
        <f>SUM(J122:K123)</f>
        <v>60000</v>
      </c>
      <c r="K124" s="1636"/>
      <c r="L124" s="1162"/>
      <c r="M124" s="1635">
        <f>SUM(M122:N123)</f>
        <v>0</v>
      </c>
      <c r="N124" s="1636"/>
      <c r="P124" s="1635">
        <f>SUM(P122:Q123)</f>
        <v>0</v>
      </c>
      <c r="Q124" s="1636"/>
      <c r="S124" s="1635">
        <f>SUM(S118:T123)</f>
        <v>0</v>
      </c>
      <c r="T124" s="1636"/>
      <c r="V124" s="1262"/>
      <c r="W124" s="1645"/>
      <c r="X124" s="1646"/>
    </row>
    <row r="125" spans="1:24" s="363" customFormat="1" ht="13.15" customHeight="1">
      <c r="B125" s="366" t="s">
        <v>646</v>
      </c>
      <c r="C125" s="1148"/>
      <c r="H125" s="430"/>
      <c r="I125" s="430"/>
      <c r="J125" s="421"/>
      <c r="K125" s="421"/>
      <c r="M125" s="421"/>
      <c r="N125" s="421"/>
      <c r="O125" s="423" t="str">
        <f>B125</f>
        <v>OTHER COSTS</v>
      </c>
      <c r="P125" s="421"/>
      <c r="Q125" s="421"/>
      <c r="S125" s="421"/>
      <c r="T125" s="421"/>
      <c r="W125" s="363" t="str">
        <f>B125</f>
        <v>OTHER COSTS</v>
      </c>
    </row>
    <row r="126" spans="1:24" s="363" customFormat="1" ht="12.6" customHeight="1">
      <c r="B126" s="363" t="s">
        <v>647</v>
      </c>
      <c r="C126" s="1148"/>
      <c r="G126" s="1585"/>
      <c r="H126" s="1586"/>
      <c r="J126" s="1585"/>
      <c r="K126" s="1586"/>
      <c r="L126" s="423"/>
      <c r="M126" s="1585"/>
      <c r="N126" s="1586"/>
      <c r="P126" s="1585"/>
      <c r="Q126" s="1586"/>
      <c r="S126" s="1585"/>
      <c r="T126" s="1586"/>
      <c r="V126" s="1260"/>
      <c r="W126" s="1641"/>
      <c r="X126" s="1642"/>
    </row>
    <row r="127" spans="1:24" s="363" customFormat="1" ht="12.6" customHeight="1" thickBot="1">
      <c r="A127" s="449" t="str">
        <f>IF(AND(G127&gt;0,OR(C127="",C127="&lt;Enter detailed description here; use Comments section if needed&gt;")),"X","")</f>
        <v/>
      </c>
      <c r="B127" s="363" t="s">
        <v>785</v>
      </c>
      <c r="C127" s="1430" t="s">
        <v>2570</v>
      </c>
      <c r="D127" s="1430"/>
      <c r="E127" s="1430"/>
      <c r="F127" s="1431"/>
      <c r="G127" s="1585"/>
      <c r="H127" s="1586"/>
      <c r="J127" s="1585"/>
      <c r="K127" s="1586"/>
      <c r="L127" s="1162"/>
      <c r="M127" s="1585"/>
      <c r="N127" s="1586"/>
      <c r="P127" s="1585"/>
      <c r="Q127" s="1586"/>
      <c r="S127" s="1585"/>
      <c r="T127" s="1586"/>
      <c r="U127" s="448" t="str">
        <f>IF(AND(G127&gt;0,OR(C127="",C127="&lt;Enter detailed description here; use Comments section if needed&gt;")),"NO DESCRIPTION PROVIDED - please enter detailed description in Other box at left; use Comments section below if needed.","")</f>
        <v/>
      </c>
      <c r="V127" s="1260"/>
      <c r="W127" s="1643"/>
      <c r="X127" s="1644"/>
    </row>
    <row r="128" spans="1:24" s="363" customFormat="1" ht="12.6" customHeight="1" thickTop="1">
      <c r="C128" s="1148"/>
      <c r="F128" s="422" t="s">
        <v>199</v>
      </c>
      <c r="G128" s="1635">
        <f>SUM(G126:H127)</f>
        <v>0</v>
      </c>
      <c r="H128" s="1636"/>
      <c r="J128" s="1635">
        <f>SUM(J126:K127)</f>
        <v>0</v>
      </c>
      <c r="K128" s="1636"/>
      <c r="L128" s="1162"/>
      <c r="M128" s="1635">
        <f>SUM(M126:N127)</f>
        <v>0</v>
      </c>
      <c r="N128" s="1636"/>
      <c r="P128" s="1635">
        <f>SUM(P126:Q127)</f>
        <v>0</v>
      </c>
      <c r="Q128" s="1636"/>
      <c r="S128" s="1635">
        <f>SUM(S126:T127)</f>
        <v>0</v>
      </c>
      <c r="T128" s="1636"/>
      <c r="V128" s="1262"/>
      <c r="W128" s="1643"/>
      <c r="X128" s="1644"/>
    </row>
    <row r="129" spans="1:24" s="363" customFormat="1" ht="3" customHeight="1" thickBot="1">
      <c r="C129" s="1148"/>
      <c r="H129" s="430"/>
      <c r="I129" s="430"/>
      <c r="L129" s="1156"/>
      <c r="W129" s="1643"/>
      <c r="X129" s="1644"/>
    </row>
    <row r="130" spans="1:24" s="363" customFormat="1" ht="13.9" customHeight="1" thickBot="1">
      <c r="B130" s="370" t="s">
        <v>3040</v>
      </c>
      <c r="G130" s="1706">
        <f>G17+G23+G27+G33+G38+G41+G47+G64+G77+G83+G91+G105+G111+G116+G124+G128</f>
        <v>12233897</v>
      </c>
      <c r="H130" s="1707"/>
      <c r="J130" s="1706">
        <f>J17+J23+J27+J33+J38+J41+J47+J64+J77+J83+J91+J105+J111+J116+J124+J128</f>
        <v>10834891</v>
      </c>
      <c r="K130" s="1707"/>
      <c r="M130" s="1706">
        <f>M17+M23+M27+M33+M38+M41+M47+M64+M77+M83+M91+M105+M111+M116+M124+M128</f>
        <v>0</v>
      </c>
      <c r="N130" s="1707"/>
      <c r="P130" s="1706">
        <f>P17+P23+P27+P33+P38+P41+P47+P64+P77+P83+P91+P105+P111+P116+P124+P128</f>
        <v>0</v>
      </c>
      <c r="Q130" s="1707"/>
      <c r="S130" s="1706">
        <f>S17+S23+S27+S33+S38+S41+S47+S64+S77+S83+S91+S105+S111+S116+S124+S128</f>
        <v>346241</v>
      </c>
      <c r="T130" s="1707"/>
      <c r="V130" s="1264"/>
      <c r="W130" s="1739"/>
      <c r="X130" s="1646"/>
    </row>
    <row r="131" spans="1:24" s="363" customFormat="1" ht="3" customHeight="1">
      <c r="C131" s="1148"/>
      <c r="H131" s="430"/>
      <c r="I131" s="430"/>
      <c r="L131" s="1156"/>
    </row>
    <row r="132" spans="1:24" s="363" customFormat="1" ht="13.9" customHeight="1">
      <c r="B132" s="659" t="s">
        <v>3031</v>
      </c>
      <c r="C132" s="657"/>
      <c r="D132" s="1708">
        <f>G130/'Part VI-Revenues &amp; Expenses'!$M$62</f>
        <v>145641.63095238095</v>
      </c>
      <c r="E132" s="1708"/>
      <c r="F132" s="658" t="s">
        <v>3030</v>
      </c>
      <c r="G132" s="1708">
        <f>G130/'Part VI-Revenues &amp; Expenses'!$M$100</f>
        <v>175.77438218390805</v>
      </c>
      <c r="H132" s="1730"/>
      <c r="I132" s="435"/>
    </row>
    <row r="133" spans="1:24" s="363" customFormat="1" ht="3" customHeight="1">
      <c r="I133" s="435"/>
      <c r="L133" s="435"/>
    </row>
    <row r="134" spans="1:24" s="363" customFormat="1" ht="3.6" customHeight="1" thickBot="1">
      <c r="D134" s="1148"/>
      <c r="E134" s="1148"/>
      <c r="I134" s="430"/>
      <c r="J134" s="430"/>
      <c r="K134" s="436"/>
      <c r="L134" s="369"/>
      <c r="P134" s="1156"/>
    </row>
    <row r="135" spans="1:24" s="363" customFormat="1" ht="25.9" customHeight="1">
      <c r="A135" s="525" t="s">
        <v>784</v>
      </c>
      <c r="B135" s="527" t="s">
        <v>1513</v>
      </c>
      <c r="C135" s="364"/>
      <c r="D135" s="1162"/>
      <c r="E135" s="1162"/>
      <c r="F135" s="1162"/>
      <c r="G135" s="1156"/>
      <c r="H135" s="1156"/>
      <c r="I135" s="437"/>
      <c r="J135" s="1637" t="s">
        <v>285</v>
      </c>
      <c r="K135" s="1638"/>
      <c r="M135" s="1637" t="s">
        <v>103</v>
      </c>
      <c r="N135" s="1638"/>
      <c r="P135" s="1637" t="s">
        <v>286</v>
      </c>
      <c r="Q135" s="1638"/>
      <c r="W135" s="526" t="str">
        <f>B135</f>
        <v>TAX CREDIT CALCULATION - BASIS METHOD</v>
      </c>
    </row>
    <row r="136" spans="1:24" s="363" customFormat="1" ht="15" customHeight="1" thickBot="1">
      <c r="B136" s="370" t="s">
        <v>2174</v>
      </c>
      <c r="D136" s="1162"/>
      <c r="E136" s="1162"/>
      <c r="I136" s="437"/>
      <c r="J136" s="1639"/>
      <c r="K136" s="1640"/>
      <c r="L136" s="364"/>
      <c r="M136" s="1639"/>
      <c r="N136" s="1640"/>
      <c r="P136" s="1639"/>
      <c r="Q136" s="1640"/>
      <c r="W136" s="363" t="str">
        <f>B136</f>
        <v>Subtractions From Eligible Basis</v>
      </c>
      <c r="X136" s="406"/>
    </row>
    <row r="137" spans="1:24" s="363" customFormat="1" ht="6" customHeight="1">
      <c r="D137" s="1148"/>
      <c r="E137" s="1148"/>
      <c r="I137" s="430"/>
      <c r="J137" s="430"/>
      <c r="K137" s="436"/>
      <c r="L137" s="369"/>
      <c r="P137" s="1156"/>
    </row>
    <row r="138" spans="1:24" s="363" customFormat="1" ht="13.9" customHeight="1">
      <c r="B138" s="1148" t="s">
        <v>147</v>
      </c>
      <c r="D138" s="1156"/>
      <c r="E138" s="1156"/>
      <c r="F138" s="1156"/>
      <c r="G138" s="1156"/>
      <c r="H138" s="1156"/>
      <c r="I138" s="437"/>
      <c r="J138" s="1654"/>
      <c r="K138" s="1655"/>
      <c r="P138" s="1654"/>
      <c r="Q138" s="1655"/>
      <c r="V138" s="1260"/>
      <c r="W138" s="1641"/>
      <c r="X138" s="1642"/>
    </row>
    <row r="139" spans="1:24" s="363" customFormat="1" ht="13.9" customHeight="1">
      <c r="B139" s="1156" t="s">
        <v>2283</v>
      </c>
      <c r="D139" s="1156"/>
      <c r="E139" s="1156"/>
      <c r="F139" s="1156"/>
      <c r="G139" s="1156"/>
      <c r="H139" s="1156"/>
      <c r="I139" s="437"/>
      <c r="J139" s="1654"/>
      <c r="K139" s="1655"/>
      <c r="P139" s="1654"/>
      <c r="Q139" s="1655"/>
      <c r="V139" s="1260"/>
      <c r="W139" s="1643"/>
      <c r="X139" s="1644"/>
    </row>
    <row r="140" spans="1:24" s="363" customFormat="1" ht="13.9" customHeight="1">
      <c r="B140" s="1156" t="s">
        <v>1984</v>
      </c>
      <c r="D140" s="1156"/>
      <c r="E140" s="1156"/>
      <c r="I140" s="437"/>
      <c r="J140" s="1654"/>
      <c r="K140" s="1655"/>
      <c r="P140" s="1654"/>
      <c r="Q140" s="1655"/>
      <c r="V140" s="1260"/>
      <c r="W140" s="1643"/>
      <c r="X140" s="1644"/>
    </row>
    <row r="141" spans="1:24" s="363" customFormat="1" ht="13.9" customHeight="1">
      <c r="B141" s="1156" t="s">
        <v>1985</v>
      </c>
      <c r="D141" s="1156"/>
      <c r="E141" s="1156"/>
      <c r="I141" s="437"/>
      <c r="J141" s="1654"/>
      <c r="K141" s="1655"/>
      <c r="P141" s="1654"/>
      <c r="Q141" s="1655"/>
      <c r="V141" s="1260"/>
      <c r="W141" s="1643"/>
      <c r="X141" s="1644"/>
    </row>
    <row r="142" spans="1:24" s="363" customFormat="1" ht="13.9" customHeight="1">
      <c r="B142" s="1156" t="s">
        <v>267</v>
      </c>
      <c r="D142" s="1156"/>
      <c r="E142" s="1156"/>
      <c r="I142" s="437"/>
      <c r="J142" s="1654"/>
      <c r="K142" s="1655"/>
      <c r="P142" s="1654"/>
      <c r="Q142" s="1655"/>
      <c r="V142" s="1260"/>
      <c r="W142" s="1643"/>
      <c r="X142" s="1644"/>
    </row>
    <row r="143" spans="1:24" s="363" customFormat="1" ht="13.9" customHeight="1" thickBot="1">
      <c r="B143" s="1156" t="s">
        <v>1701</v>
      </c>
      <c r="C143" s="1430" t="s">
        <v>2570</v>
      </c>
      <c r="D143" s="1430"/>
      <c r="E143" s="1430"/>
      <c r="F143" s="1430"/>
      <c r="G143" s="1430"/>
      <c r="H143" s="1430"/>
      <c r="I143" s="1431"/>
      <c r="J143" s="1654"/>
      <c r="K143" s="1655"/>
      <c r="P143" s="1654"/>
      <c r="Q143" s="1655"/>
      <c r="V143" s="1260"/>
      <c r="W143" s="1643"/>
      <c r="X143" s="1644"/>
    </row>
    <row r="144" spans="1:24" s="363" customFormat="1" ht="13.9" customHeight="1" thickBot="1">
      <c r="B144" s="375" t="s">
        <v>1986</v>
      </c>
      <c r="C144" s="378"/>
      <c r="J144" s="1592">
        <f>SUM(J138:K143)</f>
        <v>0</v>
      </c>
      <c r="K144" s="1593"/>
      <c r="P144" s="1592">
        <f>SUM(P138:Q143)</f>
        <v>0</v>
      </c>
      <c r="Q144" s="1593"/>
      <c r="V144" s="1262"/>
      <c r="W144" s="1645"/>
      <c r="X144" s="1646"/>
    </row>
    <row r="145" spans="1:24" s="363" customFormat="1" ht="3" customHeight="1"/>
    <row r="146" spans="1:24" s="363" customFormat="1" ht="15" customHeight="1" thickBot="1">
      <c r="B146" s="366" t="s">
        <v>2482</v>
      </c>
      <c r="W146" s="363" t="str">
        <f>B146</f>
        <v>Eligible Basis Calculation</v>
      </c>
    </row>
    <row r="147" spans="1:24" s="363" customFormat="1" ht="13.9" customHeight="1">
      <c r="B147" s="363" t="s">
        <v>1905</v>
      </c>
      <c r="J147" s="1676">
        <f>J130</f>
        <v>10834891</v>
      </c>
      <c r="K147" s="1677"/>
      <c r="M147" s="1678">
        <f>M130</f>
        <v>0</v>
      </c>
      <c r="N147" s="1679"/>
      <c r="P147" s="1676">
        <f>P130</f>
        <v>0</v>
      </c>
      <c r="Q147" s="1677"/>
      <c r="V147" s="1260"/>
      <c r="W147" s="1641"/>
      <c r="X147" s="1642"/>
    </row>
    <row r="148" spans="1:24" s="363" customFormat="1" ht="13.9" customHeight="1">
      <c r="B148" s="363" t="s">
        <v>2357</v>
      </c>
      <c r="J148" s="1650">
        <f>J144</f>
        <v>0</v>
      </c>
      <c r="K148" s="1659"/>
      <c r="M148" s="1651"/>
      <c r="N148" s="1651"/>
      <c r="P148" s="1650">
        <f>P144</f>
        <v>0</v>
      </c>
      <c r="Q148" s="1659"/>
      <c r="V148" s="1260"/>
      <c r="W148" s="1643"/>
      <c r="X148" s="1644"/>
    </row>
    <row r="149" spans="1:24" s="363" customFormat="1" ht="13.9" customHeight="1">
      <c r="B149" s="363" t="s">
        <v>2358</v>
      </c>
      <c r="J149" s="1650">
        <f>J147-J148</f>
        <v>10834891</v>
      </c>
      <c r="K149" s="1659"/>
      <c r="M149" s="1650">
        <f>M147</f>
        <v>0</v>
      </c>
      <c r="N149" s="1659"/>
      <c r="P149" s="1650">
        <f>P147-P148</f>
        <v>0</v>
      </c>
      <c r="Q149" s="1659"/>
      <c r="V149" s="1260"/>
      <c r="W149" s="1643"/>
      <c r="X149" s="1644"/>
    </row>
    <row r="150" spans="1:24" s="363" customFormat="1" ht="13.9" customHeight="1">
      <c r="B150" s="363" t="s">
        <v>1579</v>
      </c>
      <c r="G150" s="1145" t="s">
        <v>1824</v>
      </c>
      <c r="H150" s="1421" t="s">
        <v>3460</v>
      </c>
      <c r="I150" s="1422"/>
      <c r="J150" s="1668">
        <v>1.3</v>
      </c>
      <c r="K150" s="1669"/>
      <c r="M150" s="1675"/>
      <c r="N150" s="1675"/>
      <c r="P150" s="1668"/>
      <c r="Q150" s="1669"/>
      <c r="V150" s="1260"/>
      <c r="W150" s="1643"/>
      <c r="X150" s="1644"/>
    </row>
    <row r="151" spans="1:24" s="363" customFormat="1" ht="13.9" customHeight="1">
      <c r="B151" s="363" t="s">
        <v>2184</v>
      </c>
      <c r="J151" s="1650">
        <f>J149*J150</f>
        <v>14085358.300000001</v>
      </c>
      <c r="K151" s="1659"/>
      <c r="M151" s="1650">
        <f>+M149</f>
        <v>0</v>
      </c>
      <c r="N151" s="1659"/>
      <c r="P151" s="1650">
        <f>P149*P150</f>
        <v>0</v>
      </c>
      <c r="Q151" s="1659"/>
      <c r="V151" s="1260"/>
      <c r="W151" s="1643"/>
      <c r="X151" s="1644"/>
    </row>
    <row r="152" spans="1:24" s="363" customFormat="1" ht="13.9" customHeight="1">
      <c r="B152" s="363" t="s">
        <v>2714</v>
      </c>
      <c r="J152" s="1673">
        <f>MIN('Part VI-Revenues &amp; Expenses'!$M$58/'Part VI-Revenues &amp; Expenses'!$M$60,'Part VI-Revenues &amp; Expenses'!$M$96/'Part VI-Revenues &amp; Expenses'!$M$98)</f>
        <v>0.93893678160919536</v>
      </c>
      <c r="K152" s="1674"/>
      <c r="M152" s="1673">
        <f>MIN('Part VI-Revenues &amp; Expenses'!$M$58/'Part VI-Revenues &amp; Expenses'!$M$60,'Part VI-Revenues &amp; Expenses'!$M$96/'Part VI-Revenues &amp; Expenses'!$M$98)</f>
        <v>0.93893678160919536</v>
      </c>
      <c r="N152" s="1674"/>
      <c r="P152" s="1673">
        <f>MIN('Part VI-Revenues &amp; Expenses'!$M$58/'Part VI-Revenues &amp; Expenses'!$M$60,'Part VI-Revenues &amp; Expenses'!$M$96/'Part VI-Revenues &amp; Expenses'!$M$98)</f>
        <v>0.93893678160919536</v>
      </c>
      <c r="Q152" s="1674"/>
      <c r="V152" s="1260"/>
      <c r="W152" s="1643"/>
      <c r="X152" s="1644"/>
    </row>
    <row r="153" spans="1:24" s="363" customFormat="1" ht="13.9" customHeight="1">
      <c r="B153" s="363" t="s">
        <v>2175</v>
      </c>
      <c r="J153" s="1650">
        <f>J151*J152</f>
        <v>13225260.990014369</v>
      </c>
      <c r="K153" s="1659"/>
      <c r="M153" s="1650">
        <f>M151*M152</f>
        <v>0</v>
      </c>
      <c r="N153" s="1659"/>
      <c r="P153" s="1650">
        <f>P151*P152</f>
        <v>0</v>
      </c>
      <c r="Q153" s="1659"/>
      <c r="V153" s="1260"/>
      <c r="W153" s="1643"/>
      <c r="X153" s="1644"/>
    </row>
    <row r="154" spans="1:24" s="363" customFormat="1" ht="13.9" customHeight="1">
      <c r="B154" s="363" t="s">
        <v>2176</v>
      </c>
      <c r="J154" s="1668">
        <v>7.5999999999999998E-2</v>
      </c>
      <c r="K154" s="1669"/>
      <c r="M154" s="1668"/>
      <c r="N154" s="1669"/>
      <c r="P154" s="1668"/>
      <c r="Q154" s="1669"/>
      <c r="V154" s="1260"/>
      <c r="W154" s="1643"/>
      <c r="X154" s="1644"/>
    </row>
    <row r="155" spans="1:24" s="363" customFormat="1" ht="13.9" customHeight="1" thickBot="1">
      <c r="B155" s="363" t="s">
        <v>2715</v>
      </c>
      <c r="J155" s="1670">
        <f>J153*J154</f>
        <v>1005119.835241092</v>
      </c>
      <c r="K155" s="1671"/>
      <c r="M155" s="1670">
        <f>M153*M154</f>
        <v>0</v>
      </c>
      <c r="N155" s="1671"/>
      <c r="P155" s="1670">
        <f>P153*P154</f>
        <v>0</v>
      </c>
      <c r="Q155" s="1671"/>
      <c r="V155" s="1265"/>
      <c r="W155" s="1643"/>
      <c r="X155" s="1644"/>
    </row>
    <row r="156" spans="1:24" s="363" customFormat="1" ht="13.9" customHeight="1" thickBot="1">
      <c r="B156" s="366" t="s">
        <v>1511</v>
      </c>
      <c r="J156" s="1592">
        <f>J155+M155+P155</f>
        <v>1005119.835241092</v>
      </c>
      <c r="K156" s="1698"/>
      <c r="L156" s="1698"/>
      <c r="M156" s="1698"/>
      <c r="N156" s="1698"/>
      <c r="O156" s="1698"/>
      <c r="P156" s="1698"/>
      <c r="Q156" s="1593"/>
      <c r="V156" s="1262"/>
      <c r="W156" s="1645"/>
      <c r="X156" s="1646"/>
    </row>
    <row r="157" spans="1:24" s="363" customFormat="1" ht="6" customHeight="1">
      <c r="B157" s="438"/>
      <c r="L157" s="439"/>
      <c r="M157" s="439"/>
      <c r="N157" s="439"/>
      <c r="O157" s="439"/>
    </row>
    <row r="158" spans="1:24" s="363" customFormat="1" ht="13.9" customHeight="1">
      <c r="A158" s="526" t="s">
        <v>786</v>
      </c>
      <c r="B158" s="526" t="s">
        <v>1514</v>
      </c>
      <c r="H158" s="430"/>
      <c r="I158" s="430"/>
      <c r="L158" s="1156"/>
      <c r="M158" s="611"/>
      <c r="N158" s="1156"/>
      <c r="O158" s="1156"/>
      <c r="P158" s="1156"/>
      <c r="Q158" s="1156"/>
      <c r="R158" s="1156"/>
      <c r="S158" s="1156"/>
      <c r="T158" s="1156"/>
    </row>
    <row r="159" spans="1:24" s="363" customFormat="1" ht="15" customHeight="1" thickBot="1">
      <c r="B159" s="366" t="s">
        <v>181</v>
      </c>
      <c r="H159" s="330"/>
      <c r="M159" s="611"/>
      <c r="N159" s="1156"/>
      <c r="O159" s="1156"/>
      <c r="P159" s="1156"/>
      <c r="Q159" s="1156"/>
      <c r="R159" s="1156"/>
      <c r="S159" s="1156"/>
      <c r="T159" s="1156"/>
      <c r="W159" s="526" t="str">
        <f>B158</f>
        <v>TAX CREDIT CALCULATION - GAP METHOD</v>
      </c>
    </row>
    <row r="160" spans="1:24" s="363" customFormat="1" ht="15" customHeight="1">
      <c r="B160" s="356" t="s">
        <v>3041</v>
      </c>
      <c r="G160" s="1693" t="str">
        <f>IF(J161&gt;J160,"TDC exceeds QAP PUCL!","")</f>
        <v/>
      </c>
      <c r="H160" s="1693"/>
      <c r="I160" s="1694"/>
      <c r="J160" s="1695">
        <f>'Part VIII-Threshold Criteria'!$P$47</f>
        <v>12279708</v>
      </c>
      <c r="K160" s="1696"/>
      <c r="L160" s="1697"/>
      <c r="M160" s="1683" t="s">
        <v>3001</v>
      </c>
      <c r="N160" s="1684"/>
      <c r="O160" s="1684"/>
      <c r="P160" s="1684"/>
      <c r="Q160" s="1684"/>
      <c r="R160" s="1685"/>
      <c r="S160" s="1689" t="s">
        <v>2958</v>
      </c>
      <c r="T160" s="1690"/>
      <c r="V160" s="1260"/>
      <c r="W160" s="1641"/>
      <c r="X160" s="1642"/>
    </row>
    <row r="161" spans="1:24" s="363" customFormat="1" ht="13.9" customHeight="1">
      <c r="B161" s="363" t="s">
        <v>3003</v>
      </c>
      <c r="J161" s="1680">
        <f>MIN(G130,J160,(G130-O163))</f>
        <v>12233897</v>
      </c>
      <c r="K161" s="1681"/>
      <c r="L161" s="1682"/>
      <c r="M161" s="1686"/>
      <c r="N161" s="1687"/>
      <c r="O161" s="1687"/>
      <c r="P161" s="1687"/>
      <c r="Q161" s="1687"/>
      <c r="R161" s="1688"/>
      <c r="S161" s="1691"/>
      <c r="T161" s="1692"/>
      <c r="V161" s="1260"/>
      <c r="W161" s="1643"/>
      <c r="X161" s="1644"/>
    </row>
    <row r="162" spans="1:24" s="363" customFormat="1" ht="13.9" customHeight="1">
      <c r="B162" s="363" t="s">
        <v>277</v>
      </c>
      <c r="J162" s="1650">
        <f>'Part III-Sources of Funds'!$H$49-'Part III-Sources of Funds'!H36-'Part III-Sources of Funds'!$H$37-'Part III-Sources of Funds'!$H$40-'Part III-Sources of Funds'!$H$41</f>
        <v>1110110</v>
      </c>
      <c r="K162" s="1651"/>
      <c r="L162" s="1652"/>
      <c r="M162" s="1686"/>
      <c r="N162" s="1687"/>
      <c r="O162" s="1687"/>
      <c r="P162" s="1687"/>
      <c r="Q162" s="1687"/>
      <c r="R162" s="1688"/>
      <c r="S162" s="1691"/>
      <c r="T162" s="1692"/>
      <c r="V162" s="1260"/>
      <c r="W162" s="1643"/>
      <c r="X162" s="1644"/>
    </row>
    <row r="163" spans="1:24" s="363" customFormat="1" ht="13.9" customHeight="1" thickBot="1">
      <c r="B163" s="363" t="s">
        <v>2370</v>
      </c>
      <c r="J163" s="1650">
        <f>+J161-J162</f>
        <v>11123787</v>
      </c>
      <c r="K163" s="1651"/>
      <c r="L163" s="1652"/>
      <c r="M163" s="1660" t="s">
        <v>3002</v>
      </c>
      <c r="N163" s="1661"/>
      <c r="O163" s="1701">
        <f>'Part III-Sources of Funds'!H36</f>
        <v>0</v>
      </c>
      <c r="P163" s="1701"/>
      <c r="Q163" s="1701"/>
      <c r="R163" s="1702"/>
      <c r="S163" s="502" t="s">
        <v>1766</v>
      </c>
      <c r="T163" s="1266"/>
      <c r="V163" s="1260"/>
      <c r="W163" s="1643"/>
      <c r="X163" s="1644"/>
    </row>
    <row r="164" spans="1:24" s="363" customFormat="1" ht="13.9" customHeight="1">
      <c r="B164" s="363" t="s">
        <v>1366</v>
      </c>
      <c r="J164" s="1653" t="str">
        <f>"/ 10"</f>
        <v>/ 10</v>
      </c>
      <c r="K164" s="1653"/>
      <c r="L164" s="1653"/>
      <c r="M164" s="1156"/>
      <c r="N164" s="608"/>
      <c r="O164" s="608"/>
      <c r="P164" s="608"/>
      <c r="Q164" s="608"/>
      <c r="R164" s="608"/>
      <c r="W164" s="1643"/>
      <c r="X164" s="1644"/>
    </row>
    <row r="165" spans="1:24" s="363" customFormat="1" ht="13.9" customHeight="1">
      <c r="B165" s="363" t="s">
        <v>1367</v>
      </c>
      <c r="J165" s="1650">
        <f>J163/10</f>
        <v>1112378.7</v>
      </c>
      <c r="K165" s="1651"/>
      <c r="L165" s="1659"/>
      <c r="M165" s="383"/>
      <c r="N165" s="1410" t="s">
        <v>1368</v>
      </c>
      <c r="O165" s="1410"/>
      <c r="Q165" s="1410" t="s">
        <v>1914</v>
      </c>
      <c r="R165" s="1410"/>
      <c r="V165" s="1260"/>
      <c r="W165" s="1643"/>
      <c r="X165" s="1644"/>
    </row>
    <row r="166" spans="1:24" s="363" customFormat="1" ht="13.9" customHeight="1" thickBot="1">
      <c r="B166" s="363" t="s">
        <v>1578</v>
      </c>
      <c r="J166" s="1703">
        <f>N166+Q166</f>
        <v>1.1000000000000001</v>
      </c>
      <c r="K166" s="1704"/>
      <c r="L166" s="1705"/>
      <c r="M166" s="1145" t="s">
        <v>1369</v>
      </c>
      <c r="N166" s="1699">
        <v>0.85</v>
      </c>
      <c r="O166" s="1700"/>
      <c r="P166" s="1145" t="s">
        <v>648</v>
      </c>
      <c r="Q166" s="1699">
        <v>0.25</v>
      </c>
      <c r="R166" s="1700"/>
      <c r="V166" s="1260"/>
      <c r="W166" s="1643"/>
      <c r="X166" s="1644"/>
    </row>
    <row r="167" spans="1:24" s="363" customFormat="1" ht="13.9" customHeight="1" thickBot="1">
      <c r="B167" s="366" t="s">
        <v>1512</v>
      </c>
      <c r="J167" s="1592">
        <f>IF(J166=0,"",J165/J166)</f>
        <v>1011253.3636363635</v>
      </c>
      <c r="K167" s="1698"/>
      <c r="L167" s="1593"/>
      <c r="M167" s="383"/>
      <c r="N167" s="1156"/>
      <c r="O167" s="1156"/>
      <c r="V167" s="1260"/>
      <c r="W167" s="1643"/>
      <c r="X167" s="1644"/>
    </row>
    <row r="168" spans="1:24" s="363" customFormat="1" ht="6" customHeight="1">
      <c r="J168" s="440"/>
      <c r="K168" s="440"/>
      <c r="L168" s="440"/>
      <c r="M168" s="383"/>
      <c r="N168" s="1153"/>
      <c r="O168" s="1153"/>
      <c r="W168" s="1643"/>
      <c r="X168" s="1644"/>
    </row>
    <row r="169" spans="1:24" s="363" customFormat="1" ht="16.149999999999999" customHeight="1">
      <c r="B169" s="366" t="s">
        <v>3322</v>
      </c>
      <c r="J169" s="1656">
        <f>IF('Part I-Project Information'!I161 = "Yes",+MIN(J156,J167,'Part I-Project Information'!$O$161,'DCA Underwriting Assumptions'!$R$7),+MIN(J156,J167,'DCA Underwriting Assumptions'!$R$6))</f>
        <v>1000000</v>
      </c>
      <c r="K169" s="1657"/>
      <c r="L169" s="1658"/>
      <c r="M169" s="383"/>
      <c r="N169" s="1153"/>
      <c r="O169" s="1153"/>
      <c r="V169" s="1260"/>
      <c r="W169" s="1643"/>
      <c r="X169" s="1644"/>
    </row>
    <row r="170" spans="1:24" s="363" customFormat="1" ht="3" customHeight="1">
      <c r="J170" s="440"/>
      <c r="K170" s="440"/>
      <c r="L170" s="440"/>
      <c r="M170" s="383"/>
      <c r="N170" s="1153"/>
      <c r="O170" s="1153"/>
      <c r="W170" s="1643"/>
      <c r="X170" s="1644"/>
    </row>
    <row r="171" spans="1:24" s="363" customFormat="1" ht="16.149999999999999" customHeight="1">
      <c r="B171" s="366" t="s">
        <v>367</v>
      </c>
      <c r="J171" s="1647">
        <v>1000000</v>
      </c>
      <c r="K171" s="1648"/>
      <c r="L171" s="1649"/>
      <c r="M171" s="441" t="str">
        <f>IF(J169=0,"",IF(J171&gt;J169,"ALLOCATION CANNOT EXCEED MAXIMUM - REVISE REQUEST!",""))</f>
        <v/>
      </c>
      <c r="N171" s="1153"/>
      <c r="O171" s="1153"/>
      <c r="V171" s="1260"/>
      <c r="W171" s="1643"/>
      <c r="X171" s="1644"/>
    </row>
    <row r="172" spans="1:24" s="363" customFormat="1" ht="3" customHeight="1">
      <c r="J172" s="440"/>
      <c r="K172" s="440"/>
      <c r="L172" s="440"/>
      <c r="M172" s="383"/>
      <c r="N172" s="1153"/>
      <c r="O172" s="1153"/>
      <c r="W172" s="1643"/>
      <c r="X172" s="1644"/>
    </row>
    <row r="173" spans="1:24" s="363" customFormat="1" ht="16.149999999999999" customHeight="1">
      <c r="A173" s="526" t="s">
        <v>1907</v>
      </c>
      <c r="B173" s="526" t="s">
        <v>2794</v>
      </c>
      <c r="D173" s="383"/>
      <c r="E173" s="383"/>
      <c r="F173" s="369"/>
      <c r="J173" s="1656">
        <f>IF(J171="",0,+MIN(J169,J171))</f>
        <v>1000000</v>
      </c>
      <c r="K173" s="1657"/>
      <c r="L173" s="1658"/>
      <c r="N173" s="1267"/>
      <c r="O173" s="1267"/>
      <c r="P173" s="1267"/>
      <c r="Q173" s="1267"/>
      <c r="R173" s="1267"/>
      <c r="S173" s="1267"/>
      <c r="T173" s="1267"/>
      <c r="V173" s="1260"/>
      <c r="W173" s="1645"/>
      <c r="X173" s="1646"/>
    </row>
    <row r="174" spans="1:24" ht="3" customHeight="1"/>
    <row r="175" spans="1:24" ht="6" customHeight="1"/>
    <row r="176" spans="1:24" ht="12" customHeight="1">
      <c r="A176" s="366" t="s">
        <v>1909</v>
      </c>
      <c r="B176" s="392" t="s">
        <v>603</v>
      </c>
      <c r="K176" s="366" t="s">
        <v>558</v>
      </c>
      <c r="L176" s="366" t="s">
        <v>82</v>
      </c>
    </row>
    <row r="177" spans="1:24" ht="201" customHeight="1">
      <c r="A177" s="1662" t="s">
        <v>3552</v>
      </c>
      <c r="B177" s="1663"/>
      <c r="C177" s="1663"/>
      <c r="D177" s="1663"/>
      <c r="E177" s="1663"/>
      <c r="F177" s="1663"/>
      <c r="G177" s="1663"/>
      <c r="H177" s="1663"/>
      <c r="I177" s="1663"/>
      <c r="J177" s="1664"/>
      <c r="K177" s="1665"/>
      <c r="L177" s="1666"/>
      <c r="M177" s="1666"/>
      <c r="N177" s="1666"/>
      <c r="O177" s="1666"/>
      <c r="P177" s="1666"/>
      <c r="Q177" s="1666"/>
      <c r="R177" s="1666"/>
      <c r="S177" s="1666"/>
      <c r="T177" s="1667"/>
      <c r="W177" s="1544" t="s">
        <v>2914</v>
      </c>
      <c r="X177" s="1544"/>
    </row>
    <row r="178" spans="1:24" ht="11.25" customHeight="1"/>
    <row r="179" spans="1:24" ht="12" customHeight="1"/>
    <row r="180" spans="1:24" ht="12" customHeight="1"/>
    <row r="181" spans="1:24" ht="14.45" customHeight="1"/>
    <row r="182" spans="1:24" s="363" customFormat="1" ht="14.45" customHeight="1"/>
    <row r="183" spans="1:24" s="363" customFormat="1" ht="14.45" customHeight="1"/>
    <row r="184" spans="1:24" s="363" customFormat="1" ht="14.45" customHeight="1"/>
    <row r="185" spans="1:24" ht="14.45" customHeight="1"/>
    <row r="186" spans="1:24" s="363" customFormat="1" ht="14.45" customHeight="1">
      <c r="A186" s="370"/>
    </row>
    <row r="187" spans="1:24" ht="14.45" customHeight="1"/>
    <row r="188" spans="1:24" s="363" customFormat="1" ht="14.45" customHeight="1"/>
    <row r="189" spans="1:24" s="363" customFormat="1" ht="14.45" customHeight="1">
      <c r="A189" s="370"/>
    </row>
    <row r="190" spans="1:24" s="363" customFormat="1" ht="14.45" customHeight="1">
      <c r="A190" s="621"/>
    </row>
    <row r="191" spans="1:24" s="363" customFormat="1" ht="14.45" customHeight="1"/>
    <row r="192" spans="1:24" s="363" customFormat="1" ht="14.45" customHeight="1">
      <c r="A192" s="407"/>
    </row>
    <row r="193" spans="1:1" s="363" customFormat="1" ht="14.45" customHeight="1">
      <c r="A193" s="407"/>
    </row>
    <row r="194" spans="1:1" s="363" customFormat="1" ht="14.45" customHeight="1">
      <c r="A194" s="407"/>
    </row>
    <row r="195" spans="1:1" s="363" customFormat="1" ht="14.45" customHeight="1"/>
    <row r="196" spans="1:1" s="363" customFormat="1" ht="14.45" customHeight="1"/>
    <row r="197" spans="1:1" ht="14.45" customHeight="1"/>
    <row r="198" spans="1:1" ht="14.45" customHeight="1"/>
    <row r="199" spans="1:1" ht="14.45" customHeight="1"/>
    <row r="200" spans="1:1" ht="14.45" customHeight="1"/>
    <row r="201" spans="1:1" ht="14.45" customHeight="1"/>
    <row r="202" spans="1:1" ht="14.45" customHeight="1"/>
    <row r="203" spans="1:1" ht="14.45" customHeight="1"/>
    <row r="204" spans="1:1" ht="14.45" customHeight="1"/>
    <row r="205" spans="1:1" s="363" customFormat="1" ht="14.45" customHeight="1"/>
    <row r="206" spans="1:1" ht="14.45" customHeight="1"/>
    <row r="207" spans="1:1" ht="14.45" customHeight="1"/>
    <row r="208" spans="1:1" ht="14.45" customHeight="1"/>
    <row r="209" ht="14.45" customHeight="1"/>
    <row r="210" ht="14.45" customHeight="1"/>
    <row r="211" ht="14.45" customHeight="1"/>
    <row r="212" ht="14.45" customHeight="1"/>
    <row r="213" ht="14.45" customHeight="1"/>
    <row r="214" ht="14.45" customHeight="1"/>
    <row r="215" ht="14.45" customHeight="1"/>
    <row r="216" ht="14.45" customHeight="1"/>
    <row r="217" ht="14.45" customHeight="1"/>
    <row r="218" ht="14.45" customHeight="1"/>
    <row r="219" ht="14.45" customHeight="1"/>
    <row r="220" ht="14.45" customHeight="1"/>
  </sheetData>
  <sheetProtection password="ACD2" sheet="1" objects="1" scenarios="1" formatColumns="0" formatRows="0"/>
  <mergeCells count="559">
    <mergeCell ref="M31:N31"/>
    <mergeCell ref="P31:Q31"/>
    <mergeCell ref="S31:T31"/>
    <mergeCell ref="S29:T29"/>
    <mergeCell ref="S13:T13"/>
    <mergeCell ref="G8:H8"/>
    <mergeCell ref="G9:H9"/>
    <mergeCell ref="J15:K15"/>
    <mergeCell ref="G20:H20"/>
    <mergeCell ref="G21:H21"/>
    <mergeCell ref="G22:H22"/>
    <mergeCell ref="G10:H10"/>
    <mergeCell ref="G13:H13"/>
    <mergeCell ref="G11:H11"/>
    <mergeCell ref="G16:H16"/>
    <mergeCell ref="G12:H12"/>
    <mergeCell ref="J17:K17"/>
    <mergeCell ref="P26:Q26"/>
    <mergeCell ref="P8:Q8"/>
    <mergeCell ref="P9:Q9"/>
    <mergeCell ref="P15:Q15"/>
    <mergeCell ref="P12:Q12"/>
    <mergeCell ref="J13:K13"/>
    <mergeCell ref="J12:K12"/>
    <mergeCell ref="M12:N12"/>
    <mergeCell ref="M15:N15"/>
    <mergeCell ref="M13:N13"/>
    <mergeCell ref="W6:X6"/>
    <mergeCell ref="W51:X51"/>
    <mergeCell ref="W47:X47"/>
    <mergeCell ref="W25:X27"/>
    <mergeCell ref="W19:X23"/>
    <mergeCell ref="W8:X17"/>
    <mergeCell ref="S8:T8"/>
    <mergeCell ref="S9:T9"/>
    <mergeCell ref="S11:T11"/>
    <mergeCell ref="S10:T10"/>
    <mergeCell ref="W29:X33"/>
    <mergeCell ref="S12:T12"/>
    <mergeCell ref="S26:T26"/>
    <mergeCell ref="S27:T27"/>
    <mergeCell ref="S15:T15"/>
    <mergeCell ref="S17:T17"/>
    <mergeCell ref="S25:T25"/>
    <mergeCell ref="S20:T20"/>
    <mergeCell ref="S23:T23"/>
    <mergeCell ref="S21:T21"/>
    <mergeCell ref="S22:T22"/>
    <mergeCell ref="S14:T14"/>
    <mergeCell ref="S19:T19"/>
    <mergeCell ref="S30:T30"/>
    <mergeCell ref="W147:X156"/>
    <mergeCell ref="W138:X144"/>
    <mergeCell ref="W126:X130"/>
    <mergeCell ref="W118:X124"/>
    <mergeCell ref="W113:X116"/>
    <mergeCell ref="W107:X111"/>
    <mergeCell ref="W96:X105"/>
    <mergeCell ref="W85:X91"/>
    <mergeCell ref="W94:X94"/>
    <mergeCell ref="W79:X83"/>
    <mergeCell ref="W66:X77"/>
    <mergeCell ref="W53:X64"/>
    <mergeCell ref="W35:X38"/>
    <mergeCell ref="S59:T59"/>
    <mergeCell ref="S61:T61"/>
    <mergeCell ref="S60:T60"/>
    <mergeCell ref="S71:T71"/>
    <mergeCell ref="S83:T83"/>
    <mergeCell ref="S70:T70"/>
    <mergeCell ref="S80:T80"/>
    <mergeCell ref="S72:T72"/>
    <mergeCell ref="S73:T73"/>
    <mergeCell ref="S77:T77"/>
    <mergeCell ref="S68:T68"/>
    <mergeCell ref="S54:T54"/>
    <mergeCell ref="S67:T67"/>
    <mergeCell ref="S38:T38"/>
    <mergeCell ref="W41:X44"/>
    <mergeCell ref="S76:T76"/>
    <mergeCell ref="S53:T53"/>
    <mergeCell ref="S43:T43"/>
    <mergeCell ref="G80:H80"/>
    <mergeCell ref="J85:K85"/>
    <mergeCell ref="M88:N88"/>
    <mergeCell ref="S103:T103"/>
    <mergeCell ref="P85:Q85"/>
    <mergeCell ref="P110:Q110"/>
    <mergeCell ref="P91:Q91"/>
    <mergeCell ref="P87:Q87"/>
    <mergeCell ref="P109:Q109"/>
    <mergeCell ref="S93:T94"/>
    <mergeCell ref="S89:T89"/>
    <mergeCell ref="S107:T107"/>
    <mergeCell ref="S88:T88"/>
    <mergeCell ref="S87:T87"/>
    <mergeCell ref="S90:T90"/>
    <mergeCell ref="S109:T109"/>
    <mergeCell ref="S99:T99"/>
    <mergeCell ref="S101:T101"/>
    <mergeCell ref="S102:T102"/>
    <mergeCell ref="S85:T85"/>
    <mergeCell ref="S97:T97"/>
    <mergeCell ref="S82:T82"/>
    <mergeCell ref="S98:T98"/>
    <mergeCell ref="S104:T104"/>
    <mergeCell ref="S105:T105"/>
    <mergeCell ref="P114:Q114"/>
    <mergeCell ref="S108:T108"/>
    <mergeCell ref="S110:T110"/>
    <mergeCell ref="S91:T91"/>
    <mergeCell ref="S100:T100"/>
    <mergeCell ref="S86:T86"/>
    <mergeCell ref="S113:T113"/>
    <mergeCell ref="S96:T96"/>
    <mergeCell ref="P107:Q107"/>
    <mergeCell ref="P108:Q108"/>
    <mergeCell ref="P113:Q113"/>
    <mergeCell ref="S111:T111"/>
    <mergeCell ref="C127:F127"/>
    <mergeCell ref="S128:T128"/>
    <mergeCell ref="J116:K116"/>
    <mergeCell ref="G118:H118"/>
    <mergeCell ref="S119:T119"/>
    <mergeCell ref="M119:N119"/>
    <mergeCell ref="S126:T126"/>
    <mergeCell ref="S127:T127"/>
    <mergeCell ref="M108:N108"/>
    <mergeCell ref="P126:Q126"/>
    <mergeCell ref="P127:Q127"/>
    <mergeCell ref="M126:N126"/>
    <mergeCell ref="C110:F110"/>
    <mergeCell ref="G110:H110"/>
    <mergeCell ref="J109:K109"/>
    <mergeCell ref="G115:H115"/>
    <mergeCell ref="G109:H109"/>
    <mergeCell ref="G111:H111"/>
    <mergeCell ref="J110:K110"/>
    <mergeCell ref="J108:K108"/>
    <mergeCell ref="J115:K115"/>
    <mergeCell ref="S114:T114"/>
    <mergeCell ref="S123:T123"/>
    <mergeCell ref="M123:N123"/>
    <mergeCell ref="G128:H128"/>
    <mergeCell ref="S115:T115"/>
    <mergeCell ref="G127:H127"/>
    <mergeCell ref="G122:H122"/>
    <mergeCell ref="S130:T130"/>
    <mergeCell ref="P153:Q153"/>
    <mergeCell ref="M152:N152"/>
    <mergeCell ref="M149:N149"/>
    <mergeCell ref="M151:N151"/>
    <mergeCell ref="P152:Q152"/>
    <mergeCell ref="M148:N148"/>
    <mergeCell ref="J151:K151"/>
    <mergeCell ref="J150:K150"/>
    <mergeCell ref="J149:K149"/>
    <mergeCell ref="P151:Q151"/>
    <mergeCell ref="P150:Q150"/>
    <mergeCell ref="P148:Q148"/>
    <mergeCell ref="P135:Q136"/>
    <mergeCell ref="P130:Q130"/>
    <mergeCell ref="G132:H132"/>
    <mergeCell ref="M130:N130"/>
    <mergeCell ref="P142:Q142"/>
    <mergeCell ref="M153:N153"/>
    <mergeCell ref="J135:K136"/>
    <mergeCell ref="G107:H107"/>
    <mergeCell ref="G108:H108"/>
    <mergeCell ref="G104:H104"/>
    <mergeCell ref="G105:H105"/>
    <mergeCell ref="C123:F123"/>
    <mergeCell ref="G123:H123"/>
    <mergeCell ref="G102:H102"/>
    <mergeCell ref="G101:H101"/>
    <mergeCell ref="J107:K107"/>
    <mergeCell ref="G113:H113"/>
    <mergeCell ref="C104:F104"/>
    <mergeCell ref="C103:F103"/>
    <mergeCell ref="G103:H103"/>
    <mergeCell ref="C90:F90"/>
    <mergeCell ref="G100:H100"/>
    <mergeCell ref="G94:H94"/>
    <mergeCell ref="G98:H98"/>
    <mergeCell ref="B44:C44"/>
    <mergeCell ref="G81:H81"/>
    <mergeCell ref="G91:H91"/>
    <mergeCell ref="G90:H90"/>
    <mergeCell ref="G47:H47"/>
    <mergeCell ref="G61:H61"/>
    <mergeCell ref="G75:H75"/>
    <mergeCell ref="G83:H83"/>
    <mergeCell ref="G89:H89"/>
    <mergeCell ref="G96:H96"/>
    <mergeCell ref="G99:H99"/>
    <mergeCell ref="G97:H97"/>
    <mergeCell ref="E100:F100"/>
    <mergeCell ref="E99:F99"/>
    <mergeCell ref="G86:H86"/>
    <mergeCell ref="G88:H88"/>
    <mergeCell ref="G82:H82"/>
    <mergeCell ref="G85:H85"/>
    <mergeCell ref="G87:H87"/>
    <mergeCell ref="G77:H77"/>
    <mergeCell ref="M5:N6"/>
    <mergeCell ref="J5:K6"/>
    <mergeCell ref="M8:N8"/>
    <mergeCell ref="M9:N9"/>
    <mergeCell ref="M47:N47"/>
    <mergeCell ref="M68:N68"/>
    <mergeCell ref="M74:N74"/>
    <mergeCell ref="J53:K53"/>
    <mergeCell ref="J50:K51"/>
    <mergeCell ref="J72:K72"/>
    <mergeCell ref="J55:K55"/>
    <mergeCell ref="M67:N67"/>
    <mergeCell ref="M73:N73"/>
    <mergeCell ref="J73:K73"/>
    <mergeCell ref="J41:K41"/>
    <mergeCell ref="M41:N41"/>
    <mergeCell ref="J37:K37"/>
    <mergeCell ref="M37:N37"/>
    <mergeCell ref="M10:N10"/>
    <mergeCell ref="M11:N11"/>
    <mergeCell ref="J9:K9"/>
    <mergeCell ref="J10:K10"/>
    <mergeCell ref="J11:K11"/>
    <mergeCell ref="J14:K14"/>
    <mergeCell ref="C63:F63"/>
    <mergeCell ref="C76:F76"/>
    <mergeCell ref="G74:H74"/>
    <mergeCell ref="G79:H79"/>
    <mergeCell ref="G76:H76"/>
    <mergeCell ref="G70:H70"/>
    <mergeCell ref="G38:H38"/>
    <mergeCell ref="G58:H58"/>
    <mergeCell ref="G73:H73"/>
    <mergeCell ref="G71:H71"/>
    <mergeCell ref="G41:H41"/>
    <mergeCell ref="G72:H72"/>
    <mergeCell ref="G57:H57"/>
    <mergeCell ref="G67:H67"/>
    <mergeCell ref="G59:H59"/>
    <mergeCell ref="G63:H63"/>
    <mergeCell ref="G64:H64"/>
    <mergeCell ref="P5:Q6"/>
    <mergeCell ref="G6:H6"/>
    <mergeCell ref="J8:K8"/>
    <mergeCell ref="P10:Q10"/>
    <mergeCell ref="P11:Q11"/>
    <mergeCell ref="M83:N83"/>
    <mergeCell ref="M22:N22"/>
    <mergeCell ref="M29:N29"/>
    <mergeCell ref="P13:Q13"/>
    <mergeCell ref="P16:Q16"/>
    <mergeCell ref="P27:Q27"/>
    <mergeCell ref="M27:N27"/>
    <mergeCell ref="P14:Q14"/>
    <mergeCell ref="M17:N17"/>
    <mergeCell ref="M16:N16"/>
    <mergeCell ref="P25:Q25"/>
    <mergeCell ref="J77:K77"/>
    <mergeCell ref="M14:N14"/>
    <mergeCell ref="P17:Q17"/>
    <mergeCell ref="P29:Q29"/>
    <mergeCell ref="J70:K70"/>
    <mergeCell ref="P63:Q63"/>
    <mergeCell ref="P58:Q58"/>
    <mergeCell ref="P64:Q64"/>
    <mergeCell ref="C14:F14"/>
    <mergeCell ref="G14:H14"/>
    <mergeCell ref="P82:Q82"/>
    <mergeCell ref="P122:Q122"/>
    <mergeCell ref="G55:H55"/>
    <mergeCell ref="G54:H54"/>
    <mergeCell ref="M53:N53"/>
    <mergeCell ref="M54:N54"/>
    <mergeCell ref="J54:K54"/>
    <mergeCell ref="G53:H53"/>
    <mergeCell ref="M50:N51"/>
    <mergeCell ref="J81:K81"/>
    <mergeCell ref="M111:N111"/>
    <mergeCell ref="J87:K87"/>
    <mergeCell ref="J89:K89"/>
    <mergeCell ref="J60:K60"/>
    <mergeCell ref="P61:Q61"/>
    <mergeCell ref="P83:Q83"/>
    <mergeCell ref="J76:K76"/>
    <mergeCell ref="G114:H114"/>
    <mergeCell ref="G36:H36"/>
    <mergeCell ref="G60:H60"/>
    <mergeCell ref="G69:H69"/>
    <mergeCell ref="P30:Q30"/>
    <mergeCell ref="P32:Q32"/>
    <mergeCell ref="M32:N32"/>
    <mergeCell ref="P38:Q38"/>
    <mergeCell ref="M59:N59"/>
    <mergeCell ref="M33:N33"/>
    <mergeCell ref="P33:Q33"/>
    <mergeCell ref="S55:T55"/>
    <mergeCell ref="S58:T58"/>
    <mergeCell ref="S63:T63"/>
    <mergeCell ref="S57:T57"/>
    <mergeCell ref="M56:N56"/>
    <mergeCell ref="P56:Q56"/>
    <mergeCell ref="M57:N57"/>
    <mergeCell ref="S36:T36"/>
    <mergeCell ref="S56:T56"/>
    <mergeCell ref="S41:T41"/>
    <mergeCell ref="M55:N55"/>
    <mergeCell ref="S50:T51"/>
    <mergeCell ref="P36:Q36"/>
    <mergeCell ref="M36:N36"/>
    <mergeCell ref="P53:Q53"/>
    <mergeCell ref="P54:Q54"/>
    <mergeCell ref="S37:T37"/>
    <mergeCell ref="S62:T62"/>
    <mergeCell ref="S33:T33"/>
    <mergeCell ref="S64:T64"/>
    <mergeCell ref="S66:T66"/>
    <mergeCell ref="J71:K71"/>
    <mergeCell ref="M71:N71"/>
    <mergeCell ref="J61:K61"/>
    <mergeCell ref="J67:K67"/>
    <mergeCell ref="M72:N72"/>
    <mergeCell ref="P68:Q68"/>
    <mergeCell ref="P69:Q69"/>
    <mergeCell ref="M61:N61"/>
    <mergeCell ref="M66:N66"/>
    <mergeCell ref="M63:N63"/>
    <mergeCell ref="P67:Q67"/>
    <mergeCell ref="P55:Q55"/>
    <mergeCell ref="J59:K59"/>
    <mergeCell ref="P59:Q59"/>
    <mergeCell ref="J57:K57"/>
    <mergeCell ref="M58:N58"/>
    <mergeCell ref="P60:Q60"/>
    <mergeCell ref="P72:Q72"/>
    <mergeCell ref="P66:Q66"/>
    <mergeCell ref="P71:Q71"/>
    <mergeCell ref="G17:H17"/>
    <mergeCell ref="J33:K33"/>
    <mergeCell ref="J83:K83"/>
    <mergeCell ref="J82:K82"/>
    <mergeCell ref="J74:K74"/>
    <mergeCell ref="J80:K80"/>
    <mergeCell ref="J27:K27"/>
    <mergeCell ref="M69:N69"/>
    <mergeCell ref="J30:K30"/>
    <mergeCell ref="J56:K56"/>
    <mergeCell ref="M38:N38"/>
    <mergeCell ref="J66:K66"/>
    <mergeCell ref="J38:K38"/>
    <mergeCell ref="J36:K36"/>
    <mergeCell ref="J58:K58"/>
    <mergeCell ref="J69:K69"/>
    <mergeCell ref="M70:N70"/>
    <mergeCell ref="M60:N60"/>
    <mergeCell ref="J35:K35"/>
    <mergeCell ref="M35:N35"/>
    <mergeCell ref="J68:K68"/>
    <mergeCell ref="J47:K47"/>
    <mergeCell ref="M64:N64"/>
    <mergeCell ref="J63:K63"/>
    <mergeCell ref="W1:X1"/>
    <mergeCell ref="P93:Q94"/>
    <mergeCell ref="P90:Q90"/>
    <mergeCell ref="S47:T47"/>
    <mergeCell ref="S69:T69"/>
    <mergeCell ref="S79:T79"/>
    <mergeCell ref="P80:Q80"/>
    <mergeCell ref="P77:Q77"/>
    <mergeCell ref="S81:T81"/>
    <mergeCell ref="S35:T35"/>
    <mergeCell ref="S32:T32"/>
    <mergeCell ref="A1:T1"/>
    <mergeCell ref="M30:N30"/>
    <mergeCell ref="S16:T16"/>
    <mergeCell ref="S5:T6"/>
    <mergeCell ref="S74:T74"/>
    <mergeCell ref="G68:H68"/>
    <mergeCell ref="G51:H51"/>
    <mergeCell ref="G56:H56"/>
    <mergeCell ref="G66:H66"/>
    <mergeCell ref="J44:K44"/>
    <mergeCell ref="P62:Q62"/>
    <mergeCell ref="E43:E44"/>
    <mergeCell ref="C41:F41"/>
    <mergeCell ref="M25:N25"/>
    <mergeCell ref="G25:H25"/>
    <mergeCell ref="P50:Q51"/>
    <mergeCell ref="G30:H30"/>
    <mergeCell ref="G32:H32"/>
    <mergeCell ref="G29:H29"/>
    <mergeCell ref="G33:H33"/>
    <mergeCell ref="M26:N26"/>
    <mergeCell ref="J32:K32"/>
    <mergeCell ref="J29:K29"/>
    <mergeCell ref="G26:H26"/>
    <mergeCell ref="P41:Q41"/>
    <mergeCell ref="G35:H35"/>
    <mergeCell ref="G37:H37"/>
    <mergeCell ref="P37:Q37"/>
    <mergeCell ref="P35:Q35"/>
    <mergeCell ref="G27:H27"/>
    <mergeCell ref="M43:N43"/>
    <mergeCell ref="M44:N44"/>
    <mergeCell ref="P47:Q47"/>
    <mergeCell ref="J43:K43"/>
    <mergeCell ref="P43:Q43"/>
    <mergeCell ref="G31:H31"/>
    <mergeCell ref="J31:K31"/>
    <mergeCell ref="C15:F15"/>
    <mergeCell ref="G130:H130"/>
    <mergeCell ref="D132:E132"/>
    <mergeCell ref="J130:K130"/>
    <mergeCell ref="G116:H116"/>
    <mergeCell ref="M135:N136"/>
    <mergeCell ref="M127:N127"/>
    <mergeCell ref="M128:N128"/>
    <mergeCell ref="G121:H121"/>
    <mergeCell ref="J119:K119"/>
    <mergeCell ref="G120:H120"/>
    <mergeCell ref="G119:H119"/>
    <mergeCell ref="C62:F62"/>
    <mergeCell ref="G62:H62"/>
    <mergeCell ref="J62:K62"/>
    <mergeCell ref="M62:N62"/>
    <mergeCell ref="G23:H23"/>
    <mergeCell ref="G15:H15"/>
    <mergeCell ref="J26:K26"/>
    <mergeCell ref="C16:F16"/>
    <mergeCell ref="J25:K25"/>
    <mergeCell ref="M21:N21"/>
    <mergeCell ref="M23:N23"/>
    <mergeCell ref="J16:K16"/>
    <mergeCell ref="G19:H19"/>
    <mergeCell ref="J173:L173"/>
    <mergeCell ref="J161:L161"/>
    <mergeCell ref="M160:R162"/>
    <mergeCell ref="S160:T162"/>
    <mergeCell ref="G160:I160"/>
    <mergeCell ref="J160:L160"/>
    <mergeCell ref="J167:L167"/>
    <mergeCell ref="J162:L162"/>
    <mergeCell ref="Q166:R166"/>
    <mergeCell ref="O163:R163"/>
    <mergeCell ref="J165:L165"/>
    <mergeCell ref="J166:L166"/>
    <mergeCell ref="N166:O166"/>
    <mergeCell ref="N165:O165"/>
    <mergeCell ref="Q165:R165"/>
    <mergeCell ref="J156:Q156"/>
    <mergeCell ref="H150:I150"/>
    <mergeCell ref="P138:Q138"/>
    <mergeCell ref="S75:T75"/>
    <mergeCell ref="J123:K123"/>
    <mergeCell ref="J127:K127"/>
    <mergeCell ref="J111:K111"/>
    <mergeCell ref="P111:Q111"/>
    <mergeCell ref="C33:D33"/>
    <mergeCell ref="P155:Q155"/>
    <mergeCell ref="P154:Q154"/>
    <mergeCell ref="J155:K155"/>
    <mergeCell ref="J152:K152"/>
    <mergeCell ref="M150:N150"/>
    <mergeCell ref="J147:K147"/>
    <mergeCell ref="C143:I143"/>
    <mergeCell ref="J139:K139"/>
    <mergeCell ref="J138:K138"/>
    <mergeCell ref="P149:Q149"/>
    <mergeCell ref="M147:N147"/>
    <mergeCell ref="J142:K142"/>
    <mergeCell ref="J144:K144"/>
    <mergeCell ref="J140:K140"/>
    <mergeCell ref="P140:Q140"/>
    <mergeCell ref="P139:Q139"/>
    <mergeCell ref="P147:Q147"/>
    <mergeCell ref="J141:K141"/>
    <mergeCell ref="P143:Q143"/>
    <mergeCell ref="J75:K75"/>
    <mergeCell ref="P57:Q57"/>
    <mergeCell ref="P70:Q70"/>
    <mergeCell ref="J64:K64"/>
    <mergeCell ref="W177:X177"/>
    <mergeCell ref="W160:X173"/>
    <mergeCell ref="J122:K122"/>
    <mergeCell ref="M122:N122"/>
    <mergeCell ref="J171:L171"/>
    <mergeCell ref="J163:L163"/>
    <mergeCell ref="J164:L164"/>
    <mergeCell ref="P123:Q123"/>
    <mergeCell ref="P144:Q144"/>
    <mergeCell ref="P141:Q141"/>
    <mergeCell ref="P128:Q128"/>
    <mergeCell ref="J169:L169"/>
    <mergeCell ref="J153:K153"/>
    <mergeCell ref="J148:K148"/>
    <mergeCell ref="M163:N163"/>
    <mergeCell ref="J143:K143"/>
    <mergeCell ref="A177:J177"/>
    <mergeCell ref="K177:T177"/>
    <mergeCell ref="J128:K128"/>
    <mergeCell ref="G124:H124"/>
    <mergeCell ref="G126:H126"/>
    <mergeCell ref="J154:K154"/>
    <mergeCell ref="M155:N155"/>
    <mergeCell ref="M154:N154"/>
    <mergeCell ref="S122:T122"/>
    <mergeCell ref="M124:N124"/>
    <mergeCell ref="P115:Q115"/>
    <mergeCell ref="P119:Q119"/>
    <mergeCell ref="P116:Q116"/>
    <mergeCell ref="S118:T118"/>
    <mergeCell ref="S120:T120"/>
    <mergeCell ref="S124:T124"/>
    <mergeCell ref="M116:N116"/>
    <mergeCell ref="S116:T116"/>
    <mergeCell ref="M115:N115"/>
    <mergeCell ref="S121:T121"/>
    <mergeCell ref="J126:K126"/>
    <mergeCell ref="P81:Q81"/>
    <mergeCell ref="M90:N90"/>
    <mergeCell ref="J90:K90"/>
    <mergeCell ref="J93:K94"/>
    <mergeCell ref="M109:N109"/>
    <mergeCell ref="M107:N107"/>
    <mergeCell ref="M110:N110"/>
    <mergeCell ref="M81:N81"/>
    <mergeCell ref="M114:N114"/>
    <mergeCell ref="M113:N113"/>
    <mergeCell ref="P89:Q89"/>
    <mergeCell ref="J86:K86"/>
    <mergeCell ref="J88:K88"/>
    <mergeCell ref="M82:N82"/>
    <mergeCell ref="M87:N87"/>
    <mergeCell ref="M86:N86"/>
    <mergeCell ref="P124:Q124"/>
    <mergeCell ref="J113:K113"/>
    <mergeCell ref="J114:K114"/>
    <mergeCell ref="J124:K124"/>
    <mergeCell ref="P88:Q88"/>
    <mergeCell ref="P86:Q86"/>
    <mergeCell ref="J91:K91"/>
    <mergeCell ref="P73:Q73"/>
    <mergeCell ref="M85:N85"/>
    <mergeCell ref="M93:N94"/>
    <mergeCell ref="M91:N91"/>
    <mergeCell ref="M89:N89"/>
    <mergeCell ref="M76:N76"/>
    <mergeCell ref="P74:Q74"/>
    <mergeCell ref="J79:K79"/>
    <mergeCell ref="M77:N77"/>
    <mergeCell ref="M80:N80"/>
    <mergeCell ref="M75:N75"/>
    <mergeCell ref="P75:Q75"/>
    <mergeCell ref="P79:Q79"/>
    <mergeCell ref="M79:N79"/>
    <mergeCell ref="P76:Q76"/>
  </mergeCells>
  <phoneticPr fontId="6" type="noConversion"/>
  <conditionalFormatting sqref="G35">
    <cfRule type="cellIs" dxfId="21" priority="4" stopIfTrue="1" operator="greaterThan">
      <formula>$F35</formula>
    </cfRule>
  </conditionalFormatting>
  <conditionalFormatting sqref="J173:L173">
    <cfRule type="cellIs" dxfId="20" priority="6" stopIfTrue="1" operator="greaterThan">
      <formula>$J$169</formula>
    </cfRule>
  </conditionalFormatting>
  <conditionalFormatting sqref="G36">
    <cfRule type="cellIs" dxfId="19" priority="7" stopIfTrue="1" operator="greaterThan">
      <formula>$F$36</formula>
    </cfRule>
  </conditionalFormatting>
  <conditionalFormatting sqref="G34">
    <cfRule type="cellIs" priority="8" stopIfTrue="1" operator="equal">
      <formula>"""Exceeds the limit! Re-check amounts."""</formula>
    </cfRule>
  </conditionalFormatting>
  <conditionalFormatting sqref="J35:K35 M35:N35 P35:Q35">
    <cfRule type="cellIs" dxfId="18" priority="3" operator="greaterThan">
      <formula>$G$35</formula>
    </cfRule>
  </conditionalFormatting>
  <conditionalFormatting sqref="J36:K37 M36:N37 P36:Q37">
    <cfRule type="cellIs" dxfId="17" priority="2" operator="greaterThan">
      <formula>$G$37</formula>
    </cfRule>
  </conditionalFormatting>
  <conditionalFormatting sqref="G37">
    <cfRule type="cellIs" dxfId="16" priority="1" operator="greaterThan">
      <formula>$F$37</formula>
    </cfRule>
  </conditionalFormatting>
  <dataValidations xWindow="265" yWindow="773" count="3">
    <dataValidation type="list" operator="greaterThanOrEqual" allowBlank="1" showInputMessage="1" showErrorMessage="1" sqref="T163">
      <formula1>"Yes, No"</formula1>
    </dataValidation>
    <dataValidation type="list" allowBlank="1" showInputMessage="1" showErrorMessage="1" sqref="H150">
      <formula1>"&lt;&lt;Select&gt;&gt;,DDA/QCT, State Boost"</formula1>
    </dataValidation>
    <dataValidation type="list" allowBlank="1" showInputMessage="1" showErrorMessage="1" sqref="E81:E82">
      <formula1>"Yes, No"</formula1>
    </dataValidation>
  </dataValidations>
  <printOptions horizontalCentered="1"/>
  <pageMargins left="0.3" right="0.3" top="0.5" bottom="0.5" header="0.25" footer="0.25"/>
  <pageSetup fitToHeight="0" orientation="landscape" r:id="rId1"/>
  <headerFooter alignWithMargins="0">
    <oddHeader>&amp;L&amp;11Georgia Department of Community Affairs&amp;C&amp;11 2014 Funding Application&amp;R&amp;11Housing Finance and Development Division</oddHeader>
    <oddFooter>&amp;L&amp;"Arial Narrow,Regular"&amp;G &amp;F&amp;C&amp;"Arial Narrow,Regular"&amp;A&amp;R&amp;"Arial Narrow,Regular"&amp;P of &amp;N</oddFooter>
  </headerFooter>
  <rowBreaks count="4" manualBreakCount="4">
    <brk id="48" max="16383" man="1"/>
    <brk id="91" max="16383" man="1"/>
    <brk id="133" max="16383" man="1"/>
    <brk id="174" max="16383" man="1"/>
  </rowBreaks>
  <legacyDrawingHF r:id="rId2"/>
</worksheet>
</file>

<file path=xl/worksheets/sheet8.xml><?xml version="1.0" encoding="utf-8"?>
<worksheet xmlns="http://schemas.openxmlformats.org/spreadsheetml/2006/main" xmlns:r="http://schemas.openxmlformats.org/officeDocument/2006/relationships">
  <sheetPr codeName="Sheet9">
    <pageSetUpPr fitToPage="1"/>
  </sheetPr>
  <dimension ref="A1:T39"/>
  <sheetViews>
    <sheetView showGridLines="0" zoomScaleNormal="100" workbookViewId="0">
      <selection sqref="A1:XFD1048576"/>
    </sheetView>
  </sheetViews>
  <sheetFormatPr defaultColWidth="8.85546875" defaultRowHeight="12.75"/>
  <cols>
    <col min="1" max="1" width="2.28515625" style="31" customWidth="1"/>
    <col min="2" max="3" width="8.85546875" style="31"/>
    <col min="4" max="4" width="12.140625" style="31" customWidth="1"/>
    <col min="5" max="5" width="8.85546875" style="31"/>
    <col min="6" max="12" width="9.7109375" style="31" customWidth="1"/>
    <col min="13" max="13" width="8.85546875" style="31"/>
    <col min="14" max="14" width="3" style="31" customWidth="1"/>
    <col min="15" max="17" width="8.85546875" style="31"/>
    <col min="18" max="18" width="8.85546875" style="31" customWidth="1"/>
    <col min="19" max="16384" width="8.85546875" style="31"/>
  </cols>
  <sheetData>
    <row r="1" spans="1:20" s="9" customFormat="1" ht="13.9" customHeight="1">
      <c r="A1" s="1761" t="str">
        <f>CONCATENATE("PART FIVE - UTILITY ALLOWANCES","  -  ",'Part I-Project Information'!$O$4," ",'Part I-Project Information'!$F$23,", ",'Part I-Project Information'!F27,", ",'Part I-Project Information'!J28," County")</f>
        <v>PART FIVE - UTILITY ALLOWANCES  -  2014-028 Highland Estates, Rome, Floyd County</v>
      </c>
      <c r="B1" s="1762"/>
      <c r="C1" s="1762"/>
      <c r="D1" s="1762"/>
      <c r="E1" s="1762"/>
      <c r="F1" s="1762"/>
      <c r="G1" s="1762"/>
      <c r="H1" s="1762"/>
      <c r="I1" s="1762"/>
      <c r="J1" s="1762"/>
      <c r="K1" s="1762"/>
      <c r="L1" s="1762"/>
      <c r="M1" s="1762"/>
      <c r="N1" s="11"/>
      <c r="O1" s="11"/>
      <c r="P1" s="11"/>
      <c r="Q1" s="11"/>
      <c r="R1" s="19"/>
      <c r="S1" s="19"/>
      <c r="T1" s="19"/>
    </row>
    <row r="2" spans="1:20" s="9" customFormat="1"/>
    <row r="3" spans="1:20" s="9" customFormat="1">
      <c r="F3" s="5" t="s">
        <v>543</v>
      </c>
      <c r="I3" s="1178" t="str">
        <f>VLOOKUP('Part I-Project Information'!$J$28,'Part I-Project Information'!$C$179:$D$338,2)</f>
        <v>North</v>
      </c>
    </row>
    <row r="4" spans="1:20" s="9" customFormat="1"/>
    <row r="5" spans="1:20" s="9" customFormat="1">
      <c r="A5" s="16" t="s">
        <v>652</v>
      </c>
      <c r="B5" s="16" t="s">
        <v>2365</v>
      </c>
      <c r="F5" s="9" t="s">
        <v>2681</v>
      </c>
      <c r="I5" s="1763" t="s">
        <v>3458</v>
      </c>
      <c r="J5" s="1756"/>
      <c r="K5" s="1756"/>
      <c r="L5" s="1756"/>
      <c r="M5" s="1757"/>
    </row>
    <row r="6" spans="1:20" s="9" customFormat="1" ht="13.15" customHeight="1">
      <c r="A6" s="16"/>
      <c r="F6" s="9" t="s">
        <v>672</v>
      </c>
      <c r="H6" s="31"/>
      <c r="I6" s="1759">
        <v>41821</v>
      </c>
      <c r="J6" s="1760"/>
      <c r="K6" s="73" t="s">
        <v>568</v>
      </c>
      <c r="L6" s="1755" t="s">
        <v>3478</v>
      </c>
      <c r="M6" s="1757"/>
    </row>
    <row r="7" spans="1:20" s="9" customFormat="1" ht="6" customHeight="1">
      <c r="A7" s="16"/>
    </row>
    <row r="8" spans="1:20" s="16" customFormat="1">
      <c r="B8" s="293"/>
      <c r="C8" s="293"/>
      <c r="D8" s="293"/>
      <c r="E8" s="293"/>
      <c r="F8" s="1758" t="s">
        <v>645</v>
      </c>
      <c r="G8" s="1758"/>
      <c r="I8" s="1754" t="s">
        <v>208</v>
      </c>
      <c r="J8" s="1754"/>
      <c r="K8" s="1754"/>
      <c r="L8" s="1754"/>
      <c r="M8" s="1754"/>
    </row>
    <row r="9" spans="1:20" s="16" customFormat="1">
      <c r="B9" s="293" t="s">
        <v>846</v>
      </c>
      <c r="D9" s="293" t="s">
        <v>1699</v>
      </c>
      <c r="F9" s="1167" t="s">
        <v>678</v>
      </c>
      <c r="G9" s="1167" t="s">
        <v>1971</v>
      </c>
      <c r="I9" s="294" t="s">
        <v>596</v>
      </c>
      <c r="J9" s="295">
        <v>1</v>
      </c>
      <c r="K9" s="295">
        <v>2</v>
      </c>
      <c r="L9" s="295">
        <v>3</v>
      </c>
      <c r="M9" s="295">
        <v>4</v>
      </c>
    </row>
    <row r="10" spans="1:20" s="9" customFormat="1">
      <c r="B10" s="296" t="s">
        <v>1973</v>
      </c>
      <c r="C10" s="297"/>
      <c r="D10" s="1747" t="s">
        <v>3459</v>
      </c>
      <c r="E10" s="1748"/>
      <c r="F10" s="1268" t="s">
        <v>461</v>
      </c>
      <c r="G10" s="1268"/>
      <c r="H10" s="298"/>
      <c r="I10" s="1269"/>
      <c r="J10" s="1269">
        <v>10</v>
      </c>
      <c r="K10" s="1269">
        <v>12</v>
      </c>
      <c r="L10" s="1269"/>
      <c r="M10" s="1269"/>
    </row>
    <row r="11" spans="1:20" s="9" customFormat="1">
      <c r="B11" s="299" t="s">
        <v>491</v>
      </c>
      <c r="C11" s="300"/>
      <c r="D11" s="299" t="s">
        <v>1695</v>
      </c>
      <c r="E11" s="300"/>
      <c r="F11" s="1270" t="s">
        <v>461</v>
      </c>
      <c r="G11" s="1270"/>
      <c r="H11" s="301"/>
      <c r="I11" s="1271"/>
      <c r="J11" s="1271">
        <v>23</v>
      </c>
      <c r="K11" s="1271">
        <v>30</v>
      </c>
      <c r="L11" s="1272"/>
      <c r="M11" s="1272"/>
    </row>
    <row r="12" spans="1:20" s="9" customFormat="1">
      <c r="B12" s="299" t="s">
        <v>1696</v>
      </c>
      <c r="C12" s="300"/>
      <c r="D12" s="1749" t="s">
        <v>1695</v>
      </c>
      <c r="E12" s="1750"/>
      <c r="F12" s="1270" t="s">
        <v>461</v>
      </c>
      <c r="G12" s="1270"/>
      <c r="H12" s="301"/>
      <c r="I12" s="1271"/>
      <c r="J12" s="1271">
        <v>8</v>
      </c>
      <c r="K12" s="1271">
        <v>11</v>
      </c>
      <c r="L12" s="1272"/>
      <c r="M12" s="1272"/>
    </row>
    <row r="13" spans="1:20" s="9" customFormat="1">
      <c r="B13" s="299" t="s">
        <v>1697</v>
      </c>
      <c r="C13" s="300"/>
      <c r="D13" s="1749" t="s">
        <v>1695</v>
      </c>
      <c r="E13" s="1750"/>
      <c r="F13" s="1270" t="s">
        <v>461</v>
      </c>
      <c r="G13" s="1270"/>
      <c r="H13" s="301"/>
      <c r="I13" s="1271"/>
      <c r="J13" s="1271">
        <v>26</v>
      </c>
      <c r="K13" s="1271">
        <v>33</v>
      </c>
      <c r="L13" s="1272"/>
      <c r="M13" s="1272"/>
    </row>
    <row r="14" spans="1:20" s="9" customFormat="1">
      <c r="B14" s="299" t="s">
        <v>1698</v>
      </c>
      <c r="C14" s="300"/>
      <c r="D14" s="299" t="s">
        <v>1695</v>
      </c>
      <c r="E14" s="302"/>
      <c r="F14" s="1270" t="s">
        <v>461</v>
      </c>
      <c r="G14" s="1270"/>
      <c r="H14" s="301"/>
      <c r="I14" s="1271"/>
      <c r="J14" s="1271">
        <v>24</v>
      </c>
      <c r="K14" s="1271">
        <v>31</v>
      </c>
      <c r="L14" s="1272"/>
      <c r="M14" s="1272"/>
    </row>
    <row r="15" spans="1:20" s="9" customFormat="1">
      <c r="B15" s="299" t="s">
        <v>1451</v>
      </c>
      <c r="C15" s="300"/>
      <c r="D15" s="299" t="s">
        <v>2364</v>
      </c>
      <c r="E15" s="1273"/>
      <c r="F15" s="1270" t="s">
        <v>461</v>
      </c>
      <c r="G15" s="1270"/>
      <c r="H15" s="301"/>
      <c r="I15" s="1271"/>
      <c r="J15" s="1271">
        <v>37</v>
      </c>
      <c r="K15" s="1271">
        <v>43</v>
      </c>
      <c r="L15" s="1272"/>
      <c r="M15" s="1272"/>
    </row>
    <row r="16" spans="1:20" s="9" customFormat="1">
      <c r="B16" s="303" t="s">
        <v>1972</v>
      </c>
      <c r="C16" s="304"/>
      <c r="D16" s="303"/>
      <c r="E16" s="270"/>
      <c r="F16" s="1274"/>
      <c r="G16" s="1274" t="s">
        <v>461</v>
      </c>
      <c r="H16" s="305"/>
      <c r="I16" s="1275"/>
      <c r="J16" s="1275"/>
      <c r="K16" s="1275"/>
      <c r="L16" s="1276"/>
      <c r="M16" s="1276"/>
    </row>
    <row r="17" spans="1:19" s="9" customFormat="1">
      <c r="B17" s="293" t="s">
        <v>1076</v>
      </c>
      <c r="D17" s="31"/>
      <c r="E17" s="31"/>
      <c r="F17" s="94"/>
      <c r="G17" s="94"/>
      <c r="I17" s="1167">
        <f>SUM(I10:I16)</f>
        <v>0</v>
      </c>
      <c r="J17" s="1167">
        <f>SUM(J10:J16)</f>
        <v>128</v>
      </c>
      <c r="K17" s="1167">
        <f>SUM(K10:K16)</f>
        <v>160</v>
      </c>
      <c r="L17" s="1167">
        <f>SUM(L10:L16)</f>
        <v>0</v>
      </c>
      <c r="M17" s="1167">
        <f>SUM(M10:M16)</f>
        <v>0</v>
      </c>
    </row>
    <row r="18" spans="1:19" s="9" customFormat="1" ht="11.25" customHeight="1">
      <c r="M18" s="31"/>
      <c r="N18" s="31"/>
      <c r="O18" s="31"/>
      <c r="P18" s="31"/>
      <c r="Q18" s="31"/>
      <c r="R18" s="31"/>
      <c r="S18" s="31"/>
    </row>
    <row r="19" spans="1:19" s="9" customFormat="1">
      <c r="A19" s="16" t="s">
        <v>784</v>
      </c>
      <c r="B19" s="16" t="s">
        <v>2366</v>
      </c>
      <c r="F19" s="9" t="s">
        <v>2681</v>
      </c>
      <c r="I19" s="1755"/>
      <c r="J19" s="1756"/>
      <c r="K19" s="1756"/>
      <c r="L19" s="1756"/>
      <c r="M19" s="1757"/>
    </row>
    <row r="20" spans="1:19" s="9" customFormat="1" ht="13.15" customHeight="1">
      <c r="A20" s="16"/>
      <c r="B20" s="16"/>
      <c r="F20" s="9" t="s">
        <v>672</v>
      </c>
      <c r="H20" s="31"/>
      <c r="I20" s="1759"/>
      <c r="J20" s="1760"/>
      <c r="K20" s="73" t="s">
        <v>568</v>
      </c>
      <c r="L20" s="1755"/>
      <c r="M20" s="1757"/>
    </row>
    <row r="21" spans="1:19" s="9" customFormat="1" ht="6" customHeight="1">
      <c r="A21" s="16"/>
    </row>
    <row r="22" spans="1:19" s="16" customFormat="1">
      <c r="B22" s="293"/>
      <c r="C22" s="293"/>
      <c r="D22" s="293"/>
      <c r="E22" s="293"/>
      <c r="F22" s="1758" t="s">
        <v>645</v>
      </c>
      <c r="G22" s="1758"/>
      <c r="I22" s="1754" t="s">
        <v>208</v>
      </c>
      <c r="J22" s="1754"/>
      <c r="K22" s="1754"/>
      <c r="L22" s="1754"/>
      <c r="M22" s="1754"/>
    </row>
    <row r="23" spans="1:19" s="16" customFormat="1">
      <c r="B23" s="293" t="s">
        <v>846</v>
      </c>
      <c r="D23" s="293" t="s">
        <v>1699</v>
      </c>
      <c r="F23" s="1167" t="s">
        <v>678</v>
      </c>
      <c r="G23" s="1167" t="s">
        <v>1971</v>
      </c>
      <c r="I23" s="294" t="s">
        <v>596</v>
      </c>
      <c r="J23" s="295">
        <v>1</v>
      </c>
      <c r="K23" s="295">
        <v>2</v>
      </c>
      <c r="L23" s="295">
        <v>3</v>
      </c>
      <c r="M23" s="295">
        <v>4</v>
      </c>
    </row>
    <row r="24" spans="1:19" s="9" customFormat="1">
      <c r="B24" s="296" t="s">
        <v>1973</v>
      </c>
      <c r="C24" s="297"/>
      <c r="D24" s="1747" t="s">
        <v>1938</v>
      </c>
      <c r="E24" s="1748"/>
      <c r="F24" s="1268"/>
      <c r="G24" s="1268"/>
      <c r="H24" s="298"/>
      <c r="I24" s="1269"/>
      <c r="J24" s="1269"/>
      <c r="K24" s="1269"/>
      <c r="L24" s="1269"/>
      <c r="M24" s="1269"/>
    </row>
    <row r="25" spans="1:19" s="9" customFormat="1">
      <c r="B25" s="299" t="s">
        <v>491</v>
      </c>
      <c r="C25" s="300"/>
      <c r="D25" s="299" t="s">
        <v>1695</v>
      </c>
      <c r="E25" s="300"/>
      <c r="F25" s="1270"/>
      <c r="G25" s="1270"/>
      <c r="H25" s="301"/>
      <c r="I25" s="1271"/>
      <c r="J25" s="1271"/>
      <c r="K25" s="1271"/>
      <c r="L25" s="1272"/>
      <c r="M25" s="1272"/>
    </row>
    <row r="26" spans="1:19" s="9" customFormat="1">
      <c r="B26" s="299" t="s">
        <v>1696</v>
      </c>
      <c r="C26" s="300"/>
      <c r="D26" s="1749" t="s">
        <v>1938</v>
      </c>
      <c r="E26" s="1750"/>
      <c r="F26" s="1270"/>
      <c r="G26" s="1270"/>
      <c r="H26" s="301"/>
      <c r="I26" s="1271"/>
      <c r="J26" s="1271"/>
      <c r="K26" s="1271"/>
      <c r="L26" s="1272"/>
      <c r="M26" s="1272"/>
    </row>
    <row r="27" spans="1:19" s="9" customFormat="1">
      <c r="B27" s="299" t="s">
        <v>1697</v>
      </c>
      <c r="C27" s="300"/>
      <c r="D27" s="1749" t="s">
        <v>1938</v>
      </c>
      <c r="E27" s="1750"/>
      <c r="F27" s="1270"/>
      <c r="G27" s="1270"/>
      <c r="H27" s="301"/>
      <c r="I27" s="1271"/>
      <c r="J27" s="1271"/>
      <c r="K27" s="1271"/>
      <c r="L27" s="1272"/>
      <c r="M27" s="1272"/>
    </row>
    <row r="28" spans="1:19" s="9" customFormat="1">
      <c r="B28" s="299" t="s">
        <v>1698</v>
      </c>
      <c r="C28" s="300"/>
      <c r="D28" s="299" t="s">
        <v>1695</v>
      </c>
      <c r="E28" s="302"/>
      <c r="F28" s="1270"/>
      <c r="G28" s="1270"/>
      <c r="H28" s="301"/>
      <c r="I28" s="1271"/>
      <c r="J28" s="1271"/>
      <c r="K28" s="1271"/>
      <c r="L28" s="1272"/>
      <c r="M28" s="1272"/>
    </row>
    <row r="29" spans="1:19" s="9" customFormat="1">
      <c r="B29" s="299" t="s">
        <v>1451</v>
      </c>
      <c r="C29" s="300"/>
      <c r="D29" s="299" t="s">
        <v>2364</v>
      </c>
      <c r="E29" s="1273" t="s">
        <v>209</v>
      </c>
      <c r="F29" s="1270"/>
      <c r="G29" s="1270"/>
      <c r="H29" s="301"/>
      <c r="I29" s="1271"/>
      <c r="J29" s="1271"/>
      <c r="K29" s="1271"/>
      <c r="L29" s="1272"/>
      <c r="M29" s="1272"/>
    </row>
    <row r="30" spans="1:19" s="9" customFormat="1">
      <c r="B30" s="303" t="s">
        <v>1972</v>
      </c>
      <c r="C30" s="304"/>
      <c r="D30" s="303"/>
      <c r="E30" s="270"/>
      <c r="F30" s="1274"/>
      <c r="G30" s="1274"/>
      <c r="H30" s="305"/>
      <c r="I30" s="1275"/>
      <c r="J30" s="1275"/>
      <c r="K30" s="1275"/>
      <c r="L30" s="1276"/>
      <c r="M30" s="1276"/>
    </row>
    <row r="31" spans="1:19" s="9" customFormat="1">
      <c r="B31" s="293" t="s">
        <v>1076</v>
      </c>
      <c r="D31" s="31"/>
      <c r="E31" s="31"/>
      <c r="F31" s="94"/>
      <c r="G31" s="94"/>
      <c r="I31" s="1167">
        <f>SUM(I24:I30)</f>
        <v>0</v>
      </c>
      <c r="J31" s="1167">
        <f>SUM(J24:J30)</f>
        <v>0</v>
      </c>
      <c r="K31" s="1167">
        <f>SUM(K24:K30)</f>
        <v>0</v>
      </c>
      <c r="L31" s="1167">
        <f>SUM(L24:L30)</f>
        <v>0</v>
      </c>
      <c r="M31" s="1167">
        <f>SUM(M24:M30)</f>
        <v>0</v>
      </c>
    </row>
    <row r="32" spans="1:19">
      <c r="A32" s="9"/>
    </row>
    <row r="33" spans="1:19">
      <c r="B33" s="306" t="s">
        <v>1923</v>
      </c>
    </row>
    <row r="34" spans="1:19" s="9" customFormat="1" ht="6" customHeight="1">
      <c r="M34" s="31"/>
      <c r="N34" s="31"/>
      <c r="O34" s="31"/>
      <c r="P34" s="31"/>
      <c r="Q34" s="31"/>
      <c r="R34" s="31"/>
      <c r="S34" s="31"/>
    </row>
    <row r="35" spans="1:19" s="9" customFormat="1" ht="12" customHeight="1">
      <c r="A35" s="16"/>
      <c r="B35" s="16" t="s">
        <v>603</v>
      </c>
      <c r="M35" s="31"/>
      <c r="N35" s="31"/>
      <c r="O35" s="31"/>
      <c r="P35" s="31"/>
      <c r="Q35" s="31"/>
      <c r="R35" s="31"/>
      <c r="S35" s="31"/>
    </row>
    <row r="36" spans="1:19" s="9" customFormat="1" ht="24.75" customHeight="1">
      <c r="B36" s="1751"/>
      <c r="C36" s="1752"/>
      <c r="D36" s="1752"/>
      <c r="E36" s="1752"/>
      <c r="F36" s="1752"/>
      <c r="G36" s="1752"/>
      <c r="H36" s="1752"/>
      <c r="I36" s="1752"/>
      <c r="J36" s="1752"/>
      <c r="K36" s="1752"/>
      <c r="L36" s="1752"/>
      <c r="M36" s="1753"/>
      <c r="N36" s="31"/>
      <c r="O36" s="1352" t="s">
        <v>2914</v>
      </c>
      <c r="P36" s="1352"/>
      <c r="Q36" s="1352"/>
      <c r="R36" s="1352"/>
      <c r="S36" s="1352"/>
    </row>
    <row r="37" spans="1:19" s="9" customFormat="1" ht="3" customHeight="1">
      <c r="M37" s="31"/>
      <c r="N37" s="31"/>
      <c r="O37" s="1352"/>
      <c r="P37" s="1352"/>
      <c r="Q37" s="1352"/>
      <c r="R37" s="1352"/>
      <c r="S37" s="1352"/>
    </row>
    <row r="38" spans="1:19" s="9" customFormat="1" ht="12" customHeight="1">
      <c r="A38" s="16"/>
      <c r="B38" s="16" t="s">
        <v>1966</v>
      </c>
      <c r="M38" s="31"/>
      <c r="N38" s="31"/>
      <c r="O38" s="1352"/>
      <c r="P38" s="1352"/>
      <c r="Q38" s="1352"/>
      <c r="R38" s="1352"/>
      <c r="S38" s="1352"/>
    </row>
    <row r="39" spans="1:19" s="9" customFormat="1" ht="24.75" customHeight="1">
      <c r="B39" s="1744"/>
      <c r="C39" s="1745"/>
      <c r="D39" s="1745"/>
      <c r="E39" s="1745"/>
      <c r="F39" s="1745"/>
      <c r="G39" s="1745"/>
      <c r="H39" s="1745"/>
      <c r="I39" s="1745"/>
      <c r="J39" s="1745"/>
      <c r="K39" s="1745"/>
      <c r="L39" s="1745"/>
      <c r="M39" s="1746"/>
      <c r="N39" s="31"/>
      <c r="O39" s="1352"/>
      <c r="P39" s="1352"/>
      <c r="Q39" s="1352"/>
      <c r="R39" s="1352"/>
      <c r="S39" s="1352"/>
    </row>
  </sheetData>
  <sheetProtection password="ACD2" sheet="1" objects="1" scenarios="1"/>
  <mergeCells count="20">
    <mergeCell ref="A1:M1"/>
    <mergeCell ref="I5:M5"/>
    <mergeCell ref="I6:J6"/>
    <mergeCell ref="L6:M6"/>
    <mergeCell ref="I8:M8"/>
    <mergeCell ref="F8:G8"/>
    <mergeCell ref="D10:E10"/>
    <mergeCell ref="D13:E13"/>
    <mergeCell ref="I22:M22"/>
    <mergeCell ref="I19:M19"/>
    <mergeCell ref="D12:E12"/>
    <mergeCell ref="F22:G22"/>
    <mergeCell ref="I20:J20"/>
    <mergeCell ref="L20:M20"/>
    <mergeCell ref="O36:S39"/>
    <mergeCell ref="B39:M39"/>
    <mergeCell ref="D24:E24"/>
    <mergeCell ref="D26:E26"/>
    <mergeCell ref="D27:E27"/>
    <mergeCell ref="B36:M36"/>
  </mergeCells>
  <phoneticPr fontId="6" type="noConversion"/>
  <dataValidations count="5">
    <dataValidation type="list" allowBlank="1" showInputMessage="1" showErrorMessage="1" sqref="F24:G30 F10:G16">
      <formula1>"X"</formula1>
    </dataValidation>
    <dataValidation type="list" allowBlank="1" showInputMessage="1" showErrorMessage="1" sqref="L20:M20 L6:M6">
      <formula1>"MF, SF Detached, Mfd Home, Duplex, Townhome, 1-Story, 2-Story, 2-Story Walkup, 3+ Story"</formula1>
    </dataValidation>
    <dataValidation type="list" allowBlank="1" showInputMessage="1" showErrorMessage="1" sqref="D24:E24 D10:E10">
      <formula1>"&lt;&lt;Select Fuel &gt;&gt;,Natural Gas, Electric, Propane, 78+% AFUE, Electric Heat Pump"</formula1>
    </dataValidation>
    <dataValidation type="list" allowBlank="1" showInputMessage="1" showErrorMessage="1" sqref="D26:E27 D12:E13">
      <formula1>"&lt;&lt;Select Fuel &gt;&gt;,Natural Gas, Electric, Propane"</formula1>
    </dataValidation>
    <dataValidation type="list" allowBlank="1" showInputMessage="1" showErrorMessage="1" sqref="E29 E15">
      <formula1>"&lt;Select&gt;,Yes, No"</formula1>
    </dataValidation>
  </dataValidations>
  <printOptions horizontalCentered="1" verticalCentered="1"/>
  <pageMargins left="0.5" right="0.5" top="0.75" bottom="0.5" header="0.5" footer="0.25"/>
  <pageSetup fitToHeight="0" orientation="landscape" r:id="rId1"/>
  <headerFooter alignWithMargins="0">
    <oddHeader>&amp;LGeorgia Department of Community Affairs&amp;C2014 Funding Application&amp;RHousing Finance and Development Division</oddHeader>
    <oddFooter>&amp;L&amp;"Arial Narrow,Regular"&amp;G &amp;F&amp;C&amp;"Arial Narrow,Regular"&amp;A&amp;R&amp;"Arial Narrow,Regular"page &amp;P of &amp;N</oddFooter>
  </headerFooter>
  <legacyDrawingHF r:id="rId2"/>
</worksheet>
</file>

<file path=xl/worksheets/sheet9.xml><?xml version="1.0" encoding="utf-8"?>
<worksheet xmlns="http://schemas.openxmlformats.org/spreadsheetml/2006/main" xmlns:r="http://schemas.openxmlformats.org/officeDocument/2006/relationships">
  <sheetPr codeName="Sheet10">
    <pageSetUpPr fitToPage="1"/>
  </sheetPr>
  <dimension ref="A1:IU211"/>
  <sheetViews>
    <sheetView showGridLines="0" showZeros="0" topLeftCell="A10" zoomScale="80" zoomScaleNormal="80" workbookViewId="0">
      <selection activeCell="A10" sqref="A1:XFD1048576"/>
    </sheetView>
  </sheetViews>
  <sheetFormatPr defaultColWidth="9.140625" defaultRowHeight="12.75"/>
  <cols>
    <col min="1" max="1" width="2.7109375" style="9" customWidth="1"/>
    <col min="2" max="2" width="12.7109375" style="9" customWidth="1"/>
    <col min="3" max="5" width="6.7109375" style="9" customWidth="1"/>
    <col min="6" max="6" width="10" style="9" customWidth="1"/>
    <col min="7" max="7" width="9.28515625" style="9" customWidth="1"/>
    <col min="8" max="9" width="10.42578125" style="9" customWidth="1"/>
    <col min="10" max="10" width="10.5703125" style="9" customWidth="1"/>
    <col min="11" max="11" width="10.42578125" style="9" customWidth="1"/>
    <col min="12" max="12" width="11" style="9" customWidth="1"/>
    <col min="13" max="13" width="11.140625" style="9" bestFit="1" customWidth="1"/>
    <col min="14" max="14" width="12" style="9" customWidth="1"/>
    <col min="15" max="15" width="14" style="9" customWidth="1"/>
    <col min="16" max="16" width="10.42578125" style="96" customWidth="1"/>
    <col min="17" max="19" width="7.7109375" style="96" customWidth="1"/>
    <col min="20" max="20" width="59.28515625" style="96" customWidth="1"/>
    <col min="21" max="21" width="47.7109375" style="96" customWidth="1"/>
    <col min="22" max="75" width="9.140625" style="567" customWidth="1"/>
    <col min="76" max="81" width="12.5703125" style="567" customWidth="1"/>
    <col min="82" max="180" width="9.140625" style="567" customWidth="1"/>
    <col min="181" max="197" width="9.140625" style="576" customWidth="1"/>
    <col min="198" max="203" width="9.140625" style="567" customWidth="1"/>
    <col min="204" max="204" width="9.140625" style="581" customWidth="1"/>
    <col min="205" max="219" width="9.140625" style="567" customWidth="1"/>
    <col min="220" max="221" width="9.140625" style="581" customWidth="1"/>
    <col min="222" max="223" width="9.140625" style="567"/>
    <col min="224" max="255" width="9.140625" style="175"/>
    <col min="256" max="16384" width="9.140625" style="96"/>
  </cols>
  <sheetData>
    <row r="1" spans="1:255" s="105" customFormat="1" ht="13.9" customHeight="1">
      <c r="A1" s="1622" t="str">
        <f>CONCATENATE("PART SIX - PROJECTED REVENUES &amp; EXPENSES","  -  ",'Part I-Project Information'!$O$4," ",'Part I-Project Information'!$F$23,", ",'Part I-Project Information'!F27,", ",'Part I-Project Information'!J28," County")</f>
        <v>PART SIX - PROJECTED REVENUES &amp; EXPENSES  -  2014-028 Highland Estates, Rome, Floyd County</v>
      </c>
      <c r="B1" s="1623"/>
      <c r="C1" s="1623"/>
      <c r="D1" s="1623"/>
      <c r="E1" s="1623"/>
      <c r="F1" s="1623"/>
      <c r="G1" s="1623"/>
      <c r="H1" s="1623"/>
      <c r="I1" s="1623"/>
      <c r="J1" s="1623"/>
      <c r="K1" s="1623"/>
      <c r="L1" s="1623"/>
      <c r="M1" s="1623"/>
      <c r="N1" s="1623"/>
      <c r="O1" s="1623"/>
      <c r="P1" s="1624"/>
      <c r="T1" s="1767" t="str">
        <f>A1</f>
        <v>PART SIX - PROJECTED REVENUES &amp; EXPENSES  -  2014-028 Highland Estates, Rome, Floyd County</v>
      </c>
      <c r="U1" s="1767"/>
      <c r="V1" s="569"/>
      <c r="W1" s="569"/>
      <c r="X1" s="569"/>
      <c r="Y1" s="569"/>
      <c r="Z1" s="569"/>
      <c r="AA1" s="569"/>
      <c r="AB1" s="569"/>
      <c r="AC1" s="569"/>
      <c r="AD1" s="569"/>
      <c r="AE1" s="569"/>
      <c r="AF1" s="569"/>
      <c r="AG1" s="569"/>
      <c r="AH1" s="569"/>
      <c r="AI1" s="569"/>
      <c r="AJ1" s="569"/>
      <c r="AK1" s="569"/>
      <c r="AL1" s="569"/>
      <c r="AM1" s="569"/>
      <c r="AN1" s="569"/>
      <c r="AO1" s="569"/>
      <c r="AP1" s="569"/>
      <c r="AQ1" s="569"/>
      <c r="AR1" s="569"/>
      <c r="AS1" s="569"/>
      <c r="AT1" s="569"/>
      <c r="AU1" s="569"/>
      <c r="AV1" s="569"/>
      <c r="AW1" s="569"/>
      <c r="AX1" s="569"/>
      <c r="AY1" s="569"/>
      <c r="AZ1" s="569"/>
      <c r="BA1" s="569"/>
      <c r="BB1" s="569"/>
      <c r="BC1" s="569"/>
      <c r="BD1" s="569"/>
      <c r="BE1" s="569"/>
      <c r="BF1" s="569"/>
      <c r="BG1" s="569"/>
      <c r="BH1" s="569"/>
      <c r="BI1" s="569"/>
      <c r="BJ1" s="569"/>
      <c r="BK1" s="569"/>
      <c r="BL1" s="569"/>
      <c r="BM1" s="569"/>
      <c r="BN1" s="569"/>
      <c r="BO1" s="569"/>
      <c r="BP1" s="569"/>
      <c r="BQ1" s="569"/>
      <c r="BR1" s="569"/>
      <c r="BS1" s="569"/>
      <c r="BT1" s="569"/>
      <c r="BU1" s="569"/>
      <c r="BV1" s="569"/>
      <c r="BW1" s="569"/>
      <c r="BX1" s="569"/>
      <c r="BY1" s="569"/>
      <c r="BZ1" s="569"/>
      <c r="CA1" s="569"/>
      <c r="CB1" s="569"/>
      <c r="CC1" s="569"/>
      <c r="CD1" s="569"/>
      <c r="CE1" s="569"/>
      <c r="CF1" s="569"/>
      <c r="CG1" s="569"/>
      <c r="CH1" s="569"/>
      <c r="CI1" s="569"/>
      <c r="CJ1" s="569"/>
      <c r="CK1" s="569"/>
      <c r="CL1" s="569"/>
      <c r="CM1" s="569"/>
      <c r="CN1" s="569"/>
      <c r="CO1" s="569"/>
      <c r="CP1" s="569"/>
      <c r="CQ1" s="569"/>
      <c r="CR1" s="569"/>
      <c r="CS1" s="569"/>
      <c r="CT1" s="569"/>
      <c r="CU1" s="569"/>
      <c r="CV1" s="569"/>
      <c r="CW1" s="569"/>
      <c r="CX1" s="569"/>
      <c r="CY1" s="569"/>
      <c r="CZ1" s="569"/>
      <c r="DA1" s="569"/>
      <c r="DB1" s="569"/>
      <c r="DC1" s="569"/>
      <c r="DD1" s="569"/>
      <c r="DE1" s="569"/>
      <c r="DF1" s="569"/>
      <c r="DG1" s="569"/>
      <c r="DH1" s="569"/>
      <c r="DI1" s="569"/>
      <c r="DJ1" s="569"/>
      <c r="DK1" s="569"/>
      <c r="DL1" s="569"/>
      <c r="DM1" s="569"/>
      <c r="DN1" s="569"/>
      <c r="DO1" s="569"/>
      <c r="DP1" s="569"/>
      <c r="DQ1" s="569"/>
      <c r="DR1" s="569"/>
      <c r="DS1" s="569"/>
      <c r="DT1" s="569"/>
      <c r="DU1" s="569"/>
      <c r="DV1" s="569"/>
      <c r="DW1" s="569"/>
      <c r="DX1" s="569"/>
      <c r="DY1" s="569"/>
      <c r="DZ1" s="569"/>
      <c r="EA1" s="569"/>
      <c r="EB1" s="569"/>
      <c r="EC1" s="569"/>
      <c r="ED1" s="569"/>
      <c r="EE1" s="569"/>
      <c r="EF1" s="569"/>
      <c r="EG1" s="569"/>
      <c r="EH1" s="569"/>
      <c r="EI1" s="569"/>
      <c r="EJ1" s="569"/>
      <c r="EK1" s="569"/>
      <c r="EL1" s="569"/>
      <c r="EM1" s="569"/>
      <c r="EN1" s="569"/>
      <c r="EO1" s="569"/>
      <c r="EP1" s="569"/>
      <c r="EQ1" s="569"/>
      <c r="ER1" s="569"/>
      <c r="ES1" s="569"/>
      <c r="ET1" s="570"/>
      <c r="EU1" s="570"/>
      <c r="EV1" s="570"/>
      <c r="EW1" s="570"/>
      <c r="EX1" s="570"/>
      <c r="EY1" s="570"/>
      <c r="EZ1" s="570"/>
      <c r="FA1" s="570"/>
      <c r="FB1" s="570"/>
      <c r="FC1" s="570"/>
      <c r="FD1" s="570"/>
      <c r="FE1" s="570"/>
      <c r="FF1" s="570"/>
      <c r="FG1" s="570"/>
      <c r="FH1" s="570"/>
      <c r="FI1" s="570"/>
      <c r="FJ1" s="570"/>
      <c r="FK1" s="570"/>
      <c r="FL1" s="570"/>
      <c r="FM1" s="570"/>
      <c r="FN1" s="570"/>
      <c r="FO1" s="570"/>
      <c r="FP1" s="570"/>
      <c r="FQ1" s="570"/>
      <c r="FR1" s="570"/>
      <c r="FS1" s="570"/>
      <c r="FT1" s="570"/>
      <c r="FU1" s="570"/>
      <c r="FV1" s="570"/>
      <c r="FW1" s="570"/>
      <c r="FX1" s="570"/>
      <c r="FY1" s="570"/>
      <c r="FZ1" s="570"/>
      <c r="GA1" s="570"/>
      <c r="GB1" s="570"/>
      <c r="GC1" s="570"/>
      <c r="GD1" s="570"/>
      <c r="GE1" s="570"/>
      <c r="GF1" s="570"/>
      <c r="GG1" s="570"/>
      <c r="GH1" s="569"/>
      <c r="GI1" s="569"/>
      <c r="GJ1" s="569"/>
      <c r="GK1" s="569"/>
      <c r="GL1" s="571"/>
      <c r="GM1" s="569"/>
      <c r="GN1" s="569"/>
      <c r="GO1" s="569"/>
      <c r="GP1" s="569"/>
      <c r="GQ1" s="569"/>
      <c r="GR1" s="569"/>
      <c r="GS1" s="569"/>
      <c r="GT1" s="569"/>
      <c r="GU1" s="569"/>
      <c r="GV1" s="569"/>
      <c r="GW1" s="569"/>
      <c r="GX1" s="569"/>
      <c r="GY1" s="569"/>
      <c r="GZ1" s="569"/>
      <c r="HA1" s="569"/>
      <c r="HB1" s="569"/>
      <c r="HC1" s="569"/>
      <c r="HD1" s="569"/>
      <c r="HE1" s="569"/>
      <c r="HF1" s="569"/>
      <c r="HG1" s="569"/>
      <c r="HH1" s="569"/>
      <c r="HI1" s="569"/>
      <c r="HJ1" s="569"/>
      <c r="HK1" s="569"/>
      <c r="HL1" s="569"/>
      <c r="HM1" s="569"/>
      <c r="HN1" s="569"/>
      <c r="HO1" s="569"/>
      <c r="HP1" s="111"/>
      <c r="HQ1" s="111"/>
      <c r="HR1" s="111"/>
      <c r="HS1" s="111"/>
      <c r="HT1" s="111"/>
      <c r="HU1" s="111"/>
      <c r="HV1" s="111"/>
      <c r="HW1" s="111"/>
      <c r="HX1" s="111"/>
      <c r="HY1" s="111"/>
      <c r="HZ1" s="111"/>
      <c r="IA1" s="111"/>
      <c r="IB1" s="111"/>
      <c r="IC1" s="111"/>
      <c r="ID1" s="111"/>
      <c r="IE1" s="111"/>
      <c r="IF1" s="111"/>
      <c r="IG1" s="111"/>
      <c r="IH1" s="111"/>
      <c r="II1" s="111"/>
      <c r="IJ1" s="111"/>
      <c r="IK1" s="111"/>
      <c r="IL1" s="111"/>
      <c r="IM1" s="111"/>
      <c r="IN1" s="111"/>
      <c r="IO1" s="111"/>
      <c r="IP1" s="111"/>
      <c r="IQ1" s="111"/>
      <c r="IR1" s="111"/>
      <c r="IS1" s="111"/>
      <c r="IT1" s="111"/>
      <c r="IU1" s="111"/>
    </row>
    <row r="2" spans="1:255" ht="9" customHeight="1">
      <c r="V2" s="572"/>
      <c r="W2" s="572"/>
      <c r="X2" s="572"/>
      <c r="Y2" s="572"/>
      <c r="Z2" s="572"/>
      <c r="AA2" s="572"/>
      <c r="AB2" s="572"/>
      <c r="AC2" s="572"/>
      <c r="AD2" s="572"/>
      <c r="AE2" s="572"/>
      <c r="AF2" s="572"/>
      <c r="AG2" s="572"/>
      <c r="AH2" s="572"/>
      <c r="AI2" s="572"/>
      <c r="AJ2" s="572"/>
      <c r="AK2" s="572"/>
      <c r="AL2" s="572"/>
      <c r="AM2" s="572"/>
      <c r="AN2" s="572"/>
      <c r="AO2" s="572"/>
      <c r="AP2" s="572"/>
      <c r="AQ2" s="572"/>
      <c r="AR2" s="572"/>
      <c r="AS2" s="572"/>
      <c r="AT2" s="572"/>
      <c r="AU2" s="572"/>
      <c r="AV2" s="572"/>
      <c r="AW2" s="572"/>
      <c r="AX2" s="572"/>
      <c r="AY2" s="572"/>
      <c r="AZ2" s="572"/>
      <c r="BA2" s="572"/>
      <c r="BB2" s="572"/>
      <c r="BC2" s="572"/>
      <c r="BD2" s="572"/>
      <c r="BE2" s="572"/>
      <c r="BF2" s="572"/>
      <c r="BG2" s="572"/>
      <c r="BH2" s="572"/>
      <c r="BI2" s="572"/>
      <c r="BJ2" s="572"/>
      <c r="BK2" s="572"/>
      <c r="BL2" s="572"/>
      <c r="BM2" s="572"/>
      <c r="BN2" s="572"/>
      <c r="BO2" s="572"/>
      <c r="BP2" s="572"/>
      <c r="BQ2" s="572"/>
      <c r="BR2" s="572"/>
      <c r="BS2" s="572"/>
      <c r="BT2" s="572"/>
      <c r="BU2" s="572"/>
      <c r="BV2" s="572"/>
      <c r="BW2" s="572"/>
      <c r="BX2" s="572"/>
      <c r="BY2" s="572"/>
      <c r="BZ2" s="572"/>
      <c r="CA2" s="572"/>
      <c r="CB2" s="572"/>
      <c r="CC2" s="572"/>
      <c r="CD2" s="572"/>
      <c r="CE2" s="572"/>
      <c r="CF2" s="572"/>
      <c r="CG2" s="572"/>
      <c r="CH2" s="572"/>
      <c r="CI2" s="572"/>
      <c r="CJ2" s="572"/>
      <c r="CK2" s="572"/>
      <c r="CL2" s="572"/>
      <c r="CM2" s="572"/>
      <c r="CN2" s="572"/>
      <c r="CO2" s="572"/>
      <c r="CP2" s="572"/>
      <c r="CQ2" s="572"/>
      <c r="CR2" s="572"/>
      <c r="CS2" s="572"/>
      <c r="CT2" s="572"/>
      <c r="CU2" s="572"/>
      <c r="CV2" s="572"/>
      <c r="CW2" s="572"/>
      <c r="CX2" s="572"/>
      <c r="CY2" s="572"/>
      <c r="CZ2" s="572"/>
      <c r="DA2" s="572"/>
      <c r="DB2" s="572"/>
      <c r="DC2" s="572"/>
      <c r="DD2" s="572"/>
      <c r="DE2" s="572"/>
      <c r="DF2" s="572"/>
      <c r="DG2" s="572"/>
      <c r="DH2" s="572"/>
      <c r="DI2" s="572"/>
      <c r="DJ2" s="572"/>
      <c r="DK2" s="572"/>
      <c r="DL2" s="572"/>
      <c r="DM2" s="572"/>
      <c r="DN2" s="572"/>
      <c r="DO2" s="572"/>
      <c r="DP2" s="572"/>
      <c r="DQ2" s="572"/>
      <c r="DR2" s="572"/>
      <c r="DS2" s="572"/>
      <c r="DT2" s="572"/>
      <c r="DU2" s="572"/>
      <c r="DV2" s="572"/>
      <c r="DW2" s="572"/>
      <c r="DX2" s="572"/>
      <c r="DY2" s="572"/>
      <c r="DZ2" s="572"/>
      <c r="EA2" s="572"/>
      <c r="EB2" s="572"/>
      <c r="EC2" s="572"/>
      <c r="ED2" s="572"/>
      <c r="EE2" s="572"/>
      <c r="EF2" s="572"/>
      <c r="EG2" s="572"/>
      <c r="EH2" s="572"/>
      <c r="EI2" s="572"/>
      <c r="EJ2" s="572"/>
      <c r="EK2" s="572"/>
      <c r="EL2" s="572"/>
      <c r="EM2" s="572"/>
      <c r="EN2" s="572"/>
      <c r="EO2" s="572"/>
      <c r="EP2" s="572"/>
      <c r="EQ2" s="572"/>
      <c r="ER2" s="572"/>
      <c r="ES2" s="572"/>
      <c r="ET2" s="572"/>
      <c r="EU2" s="572"/>
      <c r="EV2" s="573"/>
      <c r="EW2" s="573"/>
      <c r="EX2" s="573"/>
      <c r="EY2" s="573"/>
      <c r="EZ2" s="573"/>
      <c r="FA2" s="573"/>
      <c r="FB2" s="573"/>
      <c r="FC2" s="573"/>
      <c r="FD2" s="573"/>
      <c r="FE2" s="573"/>
      <c r="FF2" s="573"/>
      <c r="FG2" s="573"/>
      <c r="FH2" s="573"/>
      <c r="FI2" s="573"/>
      <c r="FJ2" s="573"/>
      <c r="FK2" s="573"/>
      <c r="FL2" s="573"/>
      <c r="FM2" s="573"/>
      <c r="FN2" s="573"/>
      <c r="FO2" s="573"/>
      <c r="FP2" s="573"/>
      <c r="FQ2" s="573"/>
      <c r="FR2" s="573"/>
      <c r="FS2" s="573"/>
      <c r="FT2" s="573"/>
      <c r="FU2" s="573"/>
      <c r="FV2" s="573"/>
      <c r="FW2" s="573"/>
      <c r="FX2" s="573"/>
      <c r="FY2" s="573"/>
      <c r="FZ2" s="573"/>
      <c r="GA2" s="573"/>
      <c r="GB2" s="573"/>
      <c r="GC2" s="573"/>
      <c r="GD2" s="573"/>
      <c r="GE2" s="573"/>
      <c r="GF2" s="573"/>
      <c r="GG2" s="573"/>
      <c r="GH2" s="573"/>
      <c r="GI2" s="573"/>
      <c r="GJ2" s="572"/>
      <c r="GK2" s="572"/>
      <c r="GL2" s="572"/>
      <c r="GM2" s="572"/>
      <c r="GN2" s="572"/>
      <c r="GO2" s="567"/>
      <c r="GT2" s="572"/>
      <c r="GU2" s="572"/>
      <c r="GV2" s="572"/>
      <c r="GW2" s="572"/>
      <c r="GX2" s="572"/>
      <c r="GY2" s="572"/>
      <c r="GZ2" s="572"/>
      <c r="HA2" s="572"/>
      <c r="HB2" s="572"/>
      <c r="HC2" s="572"/>
      <c r="HD2" s="572"/>
      <c r="HE2" s="572"/>
      <c r="HF2" s="572"/>
      <c r="HG2" s="572"/>
      <c r="HH2" s="572"/>
      <c r="HI2" s="572"/>
      <c r="HJ2" s="572"/>
      <c r="HK2" s="572"/>
      <c r="HL2" s="572"/>
      <c r="HM2" s="572"/>
    </row>
    <row r="3" spans="1:255" s="105" customFormat="1" ht="12.6" customHeight="1">
      <c r="A3" s="5" t="s">
        <v>652</v>
      </c>
      <c r="B3" s="5" t="s">
        <v>2512</v>
      </c>
      <c r="C3" s="1"/>
      <c r="E3" s="162" t="s">
        <v>2894</v>
      </c>
      <c r="F3" s="1"/>
      <c r="G3" s="145"/>
      <c r="H3" s="145"/>
      <c r="I3" s="145"/>
      <c r="J3" s="145"/>
      <c r="K3" s="145"/>
      <c r="L3" s="145"/>
      <c r="Q3" s="357"/>
      <c r="R3" s="357"/>
      <c r="S3" s="357"/>
      <c r="T3" s="5" t="str">
        <f>B3</f>
        <v>RENT SCHEDULE</v>
      </c>
      <c r="V3" s="574"/>
      <c r="W3" s="574"/>
      <c r="X3" s="574"/>
      <c r="Y3" s="574"/>
      <c r="Z3" s="574"/>
      <c r="AA3" s="574"/>
      <c r="AB3" s="574"/>
      <c r="AC3" s="574"/>
      <c r="AD3" s="574"/>
      <c r="AE3" s="574"/>
      <c r="AF3" s="574"/>
      <c r="AG3" s="574"/>
      <c r="AH3" s="574"/>
      <c r="AI3" s="574"/>
      <c r="AJ3" s="574"/>
      <c r="AK3" s="574"/>
      <c r="AL3" s="574"/>
      <c r="AM3" s="574"/>
      <c r="AN3" s="574"/>
      <c r="AO3" s="574"/>
      <c r="AP3" s="574"/>
      <c r="AQ3" s="574"/>
      <c r="AR3" s="574"/>
      <c r="AS3" s="574"/>
      <c r="AT3" s="574"/>
      <c r="AU3" s="574"/>
      <c r="AV3" s="574"/>
      <c r="AW3" s="574"/>
      <c r="AX3" s="574"/>
      <c r="AY3" s="574"/>
      <c r="AZ3" s="574"/>
      <c r="BA3" s="574"/>
      <c r="BB3" s="574"/>
      <c r="BC3" s="574"/>
      <c r="BD3" s="574"/>
      <c r="BE3" s="574"/>
      <c r="BF3" s="574"/>
      <c r="BG3" s="574"/>
      <c r="BH3" s="574"/>
      <c r="BI3" s="574"/>
      <c r="BJ3" s="574"/>
      <c r="BK3" s="574"/>
      <c r="BL3" s="574"/>
      <c r="BM3" s="574"/>
      <c r="BN3" s="574"/>
      <c r="BO3" s="574"/>
      <c r="BP3" s="574"/>
      <c r="BQ3" s="574"/>
      <c r="BR3" s="574"/>
      <c r="BS3" s="574"/>
      <c r="BT3" s="574"/>
      <c r="BU3" s="574"/>
      <c r="BV3" s="574"/>
      <c r="BW3" s="574"/>
      <c r="BX3" s="574"/>
      <c r="BY3" s="574"/>
      <c r="BZ3" s="574"/>
      <c r="CA3" s="574"/>
      <c r="CB3" s="574"/>
      <c r="CC3" s="574"/>
      <c r="CD3" s="574"/>
      <c r="CE3" s="574"/>
      <c r="CF3" s="574"/>
      <c r="CG3" s="574"/>
      <c r="CH3" s="574"/>
      <c r="CI3" s="574"/>
      <c r="CJ3" s="574"/>
      <c r="CK3" s="574"/>
      <c r="CL3" s="574"/>
      <c r="CM3" s="574"/>
      <c r="CN3" s="574"/>
      <c r="CO3" s="574"/>
      <c r="CP3" s="574"/>
      <c r="CQ3" s="574"/>
      <c r="CR3" s="574"/>
      <c r="CS3" s="574"/>
      <c r="CT3" s="574"/>
      <c r="CU3" s="574"/>
      <c r="CV3" s="574"/>
      <c r="CW3" s="574"/>
      <c r="CX3" s="574"/>
      <c r="CY3" s="574"/>
      <c r="CZ3" s="574"/>
      <c r="DA3" s="574"/>
      <c r="DB3" s="574"/>
      <c r="DC3" s="574"/>
      <c r="DD3" s="574"/>
      <c r="DE3" s="574"/>
      <c r="DF3" s="574"/>
      <c r="DG3" s="574"/>
      <c r="DH3" s="574"/>
      <c r="DI3" s="574"/>
      <c r="DJ3" s="574"/>
      <c r="DK3" s="574"/>
      <c r="DL3" s="574"/>
      <c r="DM3" s="574"/>
      <c r="DN3" s="574"/>
      <c r="DO3" s="574"/>
      <c r="DP3" s="574"/>
      <c r="DQ3" s="574"/>
      <c r="DR3" s="574"/>
      <c r="DS3" s="574"/>
      <c r="DT3" s="574"/>
      <c r="DU3" s="574"/>
      <c r="DV3" s="574"/>
      <c r="DW3" s="574"/>
      <c r="DX3" s="574"/>
      <c r="DY3" s="574"/>
      <c r="DZ3" s="574"/>
      <c r="EA3" s="574"/>
      <c r="EB3" s="574"/>
      <c r="EC3" s="574"/>
      <c r="ED3" s="574"/>
      <c r="EE3" s="574"/>
      <c r="EF3" s="574"/>
      <c r="EG3" s="574"/>
      <c r="EH3" s="574"/>
      <c r="EI3" s="574"/>
      <c r="EJ3" s="574"/>
      <c r="EK3" s="574"/>
      <c r="EL3" s="574"/>
      <c r="EM3" s="574"/>
      <c r="EN3" s="574"/>
      <c r="EO3" s="574"/>
      <c r="EP3" s="574"/>
      <c r="EQ3" s="574"/>
      <c r="ER3" s="574"/>
      <c r="ES3" s="574"/>
      <c r="ET3" s="574"/>
      <c r="EU3" s="574"/>
      <c r="EV3" s="575"/>
      <c r="EW3" s="575"/>
      <c r="EX3" s="575"/>
      <c r="EY3" s="575"/>
      <c r="EZ3" s="575"/>
      <c r="FA3" s="573" t="s">
        <v>512</v>
      </c>
      <c r="FB3" s="573" t="s">
        <v>2595</v>
      </c>
      <c r="FC3" s="573" t="s">
        <v>2596</v>
      </c>
      <c r="FD3" s="573" t="s">
        <v>2597</v>
      </c>
      <c r="FE3" s="573" t="s">
        <v>2598</v>
      </c>
      <c r="FF3" s="575"/>
      <c r="FG3" s="575"/>
      <c r="FH3" s="575"/>
      <c r="FI3" s="575"/>
      <c r="FJ3" s="575"/>
      <c r="FK3" s="573" t="s">
        <v>512</v>
      </c>
      <c r="FL3" s="573" t="s">
        <v>2595</v>
      </c>
      <c r="FM3" s="573" t="s">
        <v>2596</v>
      </c>
      <c r="FN3" s="573" t="s">
        <v>2597</v>
      </c>
      <c r="FO3" s="573" t="s">
        <v>2598</v>
      </c>
      <c r="FP3" s="573" t="s">
        <v>512</v>
      </c>
      <c r="FQ3" s="573" t="s">
        <v>2595</v>
      </c>
      <c r="FR3" s="573" t="s">
        <v>2596</v>
      </c>
      <c r="FS3" s="573" t="s">
        <v>2597</v>
      </c>
      <c r="FT3" s="573" t="s">
        <v>2598</v>
      </c>
      <c r="FU3" s="573" t="s">
        <v>512</v>
      </c>
      <c r="FV3" s="573" t="s">
        <v>2595</v>
      </c>
      <c r="FW3" s="573" t="s">
        <v>2596</v>
      </c>
      <c r="FX3" s="573" t="s">
        <v>2597</v>
      </c>
      <c r="FY3" s="573" t="s">
        <v>2598</v>
      </c>
      <c r="FZ3" s="573" t="s">
        <v>512</v>
      </c>
      <c r="GA3" s="573" t="s">
        <v>2595</v>
      </c>
      <c r="GB3" s="573" t="s">
        <v>2596</v>
      </c>
      <c r="GC3" s="573" t="s">
        <v>2597</v>
      </c>
      <c r="GD3" s="573" t="s">
        <v>2598</v>
      </c>
      <c r="GE3" s="573" t="s">
        <v>512</v>
      </c>
      <c r="GF3" s="573" t="s">
        <v>2595</v>
      </c>
      <c r="GG3" s="573" t="s">
        <v>2596</v>
      </c>
      <c r="GH3" s="573" t="s">
        <v>2597</v>
      </c>
      <c r="GI3" s="573" t="s">
        <v>2598</v>
      </c>
      <c r="GJ3" s="573" t="s">
        <v>512</v>
      </c>
      <c r="GK3" s="573" t="s">
        <v>2595</v>
      </c>
      <c r="GL3" s="573" t="s">
        <v>2596</v>
      </c>
      <c r="GM3" s="573" t="s">
        <v>2597</v>
      </c>
      <c r="GN3" s="573" t="s">
        <v>2598</v>
      </c>
      <c r="GO3" s="569"/>
      <c r="GP3" s="569"/>
      <c r="GQ3" s="569"/>
      <c r="GR3" s="569"/>
      <c r="GS3" s="569"/>
      <c r="GT3" s="574"/>
      <c r="GU3" s="574"/>
      <c r="GV3" s="574"/>
      <c r="GW3" s="574"/>
      <c r="GX3" s="574"/>
      <c r="GY3" s="574"/>
      <c r="GZ3" s="574"/>
      <c r="HA3" s="574"/>
      <c r="HB3" s="574"/>
      <c r="HC3" s="574"/>
      <c r="HD3" s="574"/>
      <c r="HE3" s="574"/>
      <c r="HF3" s="574"/>
      <c r="HG3" s="574"/>
      <c r="HH3" s="574"/>
      <c r="HI3" s="574"/>
      <c r="HJ3" s="574"/>
      <c r="HK3" s="574"/>
      <c r="HL3" s="574"/>
      <c r="HM3" s="574"/>
      <c r="HN3" s="569"/>
      <c r="HO3" s="569"/>
      <c r="HP3" s="111"/>
      <c r="HQ3" s="111"/>
      <c r="HR3" s="111"/>
      <c r="HS3" s="111"/>
      <c r="HT3" s="111"/>
      <c r="HU3" s="111"/>
      <c r="HV3" s="111"/>
      <c r="HW3" s="111"/>
      <c r="HX3" s="111"/>
      <c r="HY3" s="111"/>
      <c r="HZ3" s="111"/>
      <c r="IA3" s="111"/>
      <c r="IB3" s="111"/>
      <c r="IC3" s="111"/>
      <c r="ID3" s="111"/>
      <c r="IE3" s="111"/>
      <c r="IF3" s="111"/>
      <c r="IG3" s="111"/>
      <c r="IH3" s="111"/>
      <c r="II3" s="111"/>
      <c r="IJ3" s="111"/>
      <c r="IK3" s="111"/>
      <c r="IL3" s="111"/>
      <c r="IM3" s="111"/>
      <c r="IN3" s="111"/>
      <c r="IO3" s="111"/>
      <c r="IP3" s="111"/>
      <c r="IQ3" s="111"/>
      <c r="IR3" s="111"/>
      <c r="IS3" s="111"/>
      <c r="IT3" s="111"/>
      <c r="IU3" s="111"/>
    </row>
    <row r="4" spans="1:255" s="105" customFormat="1" ht="6" customHeight="1">
      <c r="B4" s="5"/>
      <c r="C4" s="1"/>
      <c r="D4" s="5"/>
      <c r="E4" s="1"/>
      <c r="F4" s="1"/>
      <c r="G4" s="1"/>
      <c r="H4" s="1"/>
      <c r="I4" s="1"/>
      <c r="J4" s="1"/>
      <c r="K4" s="1"/>
      <c r="L4" s="1"/>
      <c r="M4" s="1"/>
      <c r="P4" s="512"/>
      <c r="Q4" s="513"/>
      <c r="R4" s="513"/>
      <c r="S4" s="513"/>
      <c r="T4" s="513"/>
      <c r="U4" s="514"/>
      <c r="V4" s="1770" t="s">
        <v>969</v>
      </c>
      <c r="W4" s="1770" t="s">
        <v>800</v>
      </c>
      <c r="X4" s="1770" t="s">
        <v>801</v>
      </c>
      <c r="Y4" s="1770" t="s">
        <v>802</v>
      </c>
      <c r="Z4" s="1770" t="s">
        <v>803</v>
      </c>
      <c r="AA4" s="1770" t="s">
        <v>970</v>
      </c>
      <c r="AB4" s="1770" t="s">
        <v>2451</v>
      </c>
      <c r="AC4" s="1770" t="s">
        <v>2452</v>
      </c>
      <c r="AD4" s="1770" t="s">
        <v>2453</v>
      </c>
      <c r="AE4" s="1770" t="s">
        <v>2454</v>
      </c>
      <c r="AF4" s="1770" t="s">
        <v>971</v>
      </c>
      <c r="AG4" s="1770" t="s">
        <v>2455</v>
      </c>
      <c r="AH4" s="1770" t="s">
        <v>2456</v>
      </c>
      <c r="AI4" s="1770" t="s">
        <v>2457</v>
      </c>
      <c r="AJ4" s="1770" t="s">
        <v>2458</v>
      </c>
      <c r="AK4" s="1770" t="s">
        <v>132</v>
      </c>
      <c r="AL4" s="1770" t="s">
        <v>2459</v>
      </c>
      <c r="AM4" s="1770" t="s">
        <v>2460</v>
      </c>
      <c r="AN4" s="1770" t="s">
        <v>2461</v>
      </c>
      <c r="AO4" s="1770" t="s">
        <v>1211</v>
      </c>
      <c r="AP4" s="1770" t="s">
        <v>584</v>
      </c>
      <c r="AQ4" s="1770" t="s">
        <v>585</v>
      </c>
      <c r="AR4" s="1770" t="s">
        <v>609</v>
      </c>
      <c r="AS4" s="1770" t="s">
        <v>610</v>
      </c>
      <c r="AT4" s="1770" t="s">
        <v>611</v>
      </c>
      <c r="AU4" s="1770" t="s">
        <v>612</v>
      </c>
      <c r="AV4" s="1770" t="s">
        <v>613</v>
      </c>
      <c r="AW4" s="1770" t="s">
        <v>614</v>
      </c>
      <c r="AX4" s="1770" t="s">
        <v>615</v>
      </c>
      <c r="AY4" s="1770" t="s">
        <v>616</v>
      </c>
      <c r="AZ4" s="1770" t="s">
        <v>617</v>
      </c>
      <c r="BA4" s="1770" t="s">
        <v>618</v>
      </c>
      <c r="BB4" s="1770" t="s">
        <v>981</v>
      </c>
      <c r="BC4" s="1770" t="s">
        <v>982</v>
      </c>
      <c r="BD4" s="1770" t="s">
        <v>983</v>
      </c>
      <c r="BE4" s="1770" t="s">
        <v>523</v>
      </c>
      <c r="BF4" s="1770" t="s">
        <v>524</v>
      </c>
      <c r="BG4" s="1770" t="s">
        <v>525</v>
      </c>
      <c r="BH4" s="1770" t="s">
        <v>526</v>
      </c>
      <c r="BI4" s="1770" t="s">
        <v>527</v>
      </c>
      <c r="BJ4" s="1770" t="s">
        <v>929</v>
      </c>
      <c r="BK4" s="1770" t="s">
        <v>930</v>
      </c>
      <c r="BL4" s="1770" t="s">
        <v>931</v>
      </c>
      <c r="BM4" s="1770" t="s">
        <v>932</v>
      </c>
      <c r="BN4" s="1770" t="s">
        <v>933</v>
      </c>
      <c r="BO4" s="1770" t="s">
        <v>934</v>
      </c>
      <c r="BP4" s="1770" t="s">
        <v>935</v>
      </c>
      <c r="BQ4" s="1770" t="s">
        <v>936</v>
      </c>
      <c r="BR4" s="1770" t="s">
        <v>937</v>
      </c>
      <c r="BS4" s="1770" t="s">
        <v>938</v>
      </c>
      <c r="BT4" s="1770" t="s">
        <v>2585</v>
      </c>
      <c r="BU4" s="1770" t="s">
        <v>2586</v>
      </c>
      <c r="BV4" s="1770" t="s">
        <v>2587</v>
      </c>
      <c r="BW4" s="1770" t="s">
        <v>2588</v>
      </c>
      <c r="BX4" s="1770" t="s">
        <v>2589</v>
      </c>
      <c r="BY4" s="1770" t="s">
        <v>120</v>
      </c>
      <c r="BZ4" s="1770" t="s">
        <v>1214</v>
      </c>
      <c r="CA4" s="1770" t="s">
        <v>1215</v>
      </c>
      <c r="CB4" s="1770" t="s">
        <v>1284</v>
      </c>
      <c r="CC4" s="1770" t="s">
        <v>1285</v>
      </c>
      <c r="CD4" s="1769" t="s">
        <v>135</v>
      </c>
      <c r="CE4" s="1769" t="s">
        <v>1286</v>
      </c>
      <c r="CF4" s="1769" t="s">
        <v>1287</v>
      </c>
      <c r="CG4" s="1769" t="s">
        <v>1288</v>
      </c>
      <c r="CH4" s="1769" t="s">
        <v>1289</v>
      </c>
      <c r="CI4" s="1769" t="s">
        <v>134</v>
      </c>
      <c r="CJ4" s="1769" t="s">
        <v>961</v>
      </c>
      <c r="CK4" s="1769" t="s">
        <v>962</v>
      </c>
      <c r="CL4" s="1769" t="s">
        <v>963</v>
      </c>
      <c r="CM4" s="1769" t="s">
        <v>964</v>
      </c>
      <c r="CN4" s="1769" t="s">
        <v>133</v>
      </c>
      <c r="CO4" s="1769" t="s">
        <v>965</v>
      </c>
      <c r="CP4" s="1769" t="s">
        <v>966</v>
      </c>
      <c r="CQ4" s="1769" t="s">
        <v>967</v>
      </c>
      <c r="CR4" s="1769" t="s">
        <v>968</v>
      </c>
      <c r="CS4" s="1769" t="s">
        <v>857</v>
      </c>
      <c r="CT4" s="1769" t="s">
        <v>858</v>
      </c>
      <c r="CU4" s="1769" t="s">
        <v>859</v>
      </c>
      <c r="CV4" s="1769" t="s">
        <v>860</v>
      </c>
      <c r="CW4" s="1769" t="s">
        <v>861</v>
      </c>
      <c r="CX4" s="1769" t="s">
        <v>1008</v>
      </c>
      <c r="CY4" s="1769" t="s">
        <v>1009</v>
      </c>
      <c r="CZ4" s="1769" t="s">
        <v>1010</v>
      </c>
      <c r="DA4" s="1769" t="s">
        <v>1011</v>
      </c>
      <c r="DB4" s="1769" t="s">
        <v>2584</v>
      </c>
      <c r="DC4" s="1769" t="s">
        <v>1520</v>
      </c>
      <c r="DD4" s="1769" t="s">
        <v>1521</v>
      </c>
      <c r="DE4" s="1769" t="s">
        <v>1522</v>
      </c>
      <c r="DF4" s="1769" t="s">
        <v>1523</v>
      </c>
      <c r="DG4" s="1769" t="s">
        <v>1524</v>
      </c>
      <c r="DH4" s="1769" t="s">
        <v>456</v>
      </c>
      <c r="DI4" s="1769" t="s">
        <v>457</v>
      </c>
      <c r="DJ4" s="1769" t="s">
        <v>458</v>
      </c>
      <c r="DK4" s="1769" t="s">
        <v>459</v>
      </c>
      <c r="DL4" s="1769" t="s">
        <v>460</v>
      </c>
      <c r="DM4" s="1769" t="s">
        <v>18</v>
      </c>
      <c r="DN4" s="1769" t="s">
        <v>19</v>
      </c>
      <c r="DO4" s="1769" t="s">
        <v>20</v>
      </c>
      <c r="DP4" s="1769" t="s">
        <v>21</v>
      </c>
      <c r="DQ4" s="1769" t="s">
        <v>22</v>
      </c>
      <c r="DR4" s="1769" t="s">
        <v>233</v>
      </c>
      <c r="DS4" s="1769" t="s">
        <v>234</v>
      </c>
      <c r="DT4" s="1769" t="s">
        <v>235</v>
      </c>
      <c r="DU4" s="1769" t="s">
        <v>1929</v>
      </c>
      <c r="DV4" s="1769" t="s">
        <v>1930</v>
      </c>
      <c r="DW4" s="1769" t="s">
        <v>1931</v>
      </c>
      <c r="DX4" s="1769" t="s">
        <v>625</v>
      </c>
      <c r="DY4" s="1769" t="s">
        <v>626</v>
      </c>
      <c r="DZ4" s="1769" t="s">
        <v>627</v>
      </c>
      <c r="EA4" s="1769" t="s">
        <v>628</v>
      </c>
      <c r="EB4" s="1769" t="s">
        <v>23</v>
      </c>
      <c r="EC4" s="1769" t="s">
        <v>24</v>
      </c>
      <c r="ED4" s="1769" t="s">
        <v>25</v>
      </c>
      <c r="EE4" s="1769" t="s">
        <v>26</v>
      </c>
      <c r="EF4" s="1769" t="s">
        <v>27</v>
      </c>
      <c r="EG4" s="1769" t="s">
        <v>522</v>
      </c>
      <c r="EH4" s="1769" t="s">
        <v>452</v>
      </c>
      <c r="EI4" s="1769" t="s">
        <v>453</v>
      </c>
      <c r="EJ4" s="1769" t="s">
        <v>454</v>
      </c>
      <c r="EK4" s="1769" t="s">
        <v>455</v>
      </c>
      <c r="EL4" s="1769" t="s">
        <v>2344</v>
      </c>
      <c r="EM4" s="1769" t="s">
        <v>2345</v>
      </c>
      <c r="EN4" s="1769" t="s">
        <v>2346</v>
      </c>
      <c r="EO4" s="1769" t="s">
        <v>1570</v>
      </c>
      <c r="EP4" s="1769" t="s">
        <v>1571</v>
      </c>
      <c r="EQ4" s="1769" t="s">
        <v>28</v>
      </c>
      <c r="ER4" s="1769" t="s">
        <v>29</v>
      </c>
      <c r="ES4" s="1769" t="s">
        <v>30</v>
      </c>
      <c r="ET4" s="1769" t="s">
        <v>31</v>
      </c>
      <c r="EU4" s="1769" t="s">
        <v>32</v>
      </c>
      <c r="EV4" s="570"/>
      <c r="EW4" s="570"/>
      <c r="EX4" s="570"/>
      <c r="EY4" s="570"/>
      <c r="EZ4" s="570"/>
      <c r="FA4" s="570"/>
      <c r="FB4" s="570"/>
      <c r="FC4" s="570"/>
      <c r="FD4" s="570"/>
      <c r="FE4" s="570"/>
      <c r="FF4" s="570"/>
      <c r="FG4" s="570"/>
      <c r="FH4" s="570"/>
      <c r="FI4" s="570"/>
      <c r="FJ4" s="570"/>
      <c r="FK4" s="570"/>
      <c r="FL4" s="570"/>
      <c r="FM4" s="570"/>
      <c r="FN4" s="570"/>
      <c r="FO4" s="570"/>
      <c r="FP4" s="570"/>
      <c r="FQ4" s="570"/>
      <c r="FR4" s="570"/>
      <c r="FS4" s="570"/>
      <c r="FT4" s="570"/>
      <c r="FU4" s="570"/>
      <c r="FV4" s="570"/>
      <c r="FW4" s="570"/>
      <c r="FX4" s="570"/>
      <c r="FY4" s="570"/>
      <c r="FZ4" s="570"/>
      <c r="GA4" s="570"/>
      <c r="GB4" s="570"/>
      <c r="GC4" s="570"/>
      <c r="GD4" s="570"/>
      <c r="GE4" s="570"/>
      <c r="GF4" s="570"/>
      <c r="GG4" s="570"/>
      <c r="GH4" s="570"/>
      <c r="GI4" s="570"/>
      <c r="GJ4" s="569"/>
      <c r="GK4" s="569"/>
      <c r="GL4" s="569"/>
      <c r="GM4" s="569"/>
      <c r="GN4" s="569"/>
      <c r="GO4" s="1769" t="s">
        <v>1726</v>
      </c>
      <c r="GP4" s="1769" t="s">
        <v>2687</v>
      </c>
      <c r="GQ4" s="1769" t="s">
        <v>2688</v>
      </c>
      <c r="GR4" s="1769" t="s">
        <v>405</v>
      </c>
      <c r="GS4" s="1769" t="s">
        <v>406</v>
      </c>
      <c r="GT4" s="1769" t="s">
        <v>407</v>
      </c>
      <c r="GU4" s="1769" t="s">
        <v>408</v>
      </c>
      <c r="GV4" s="1769" t="s">
        <v>409</v>
      </c>
      <c r="GW4" s="1769" t="s">
        <v>410</v>
      </c>
      <c r="GX4" s="1769" t="s">
        <v>411</v>
      </c>
      <c r="GY4" s="1769" t="s">
        <v>210</v>
      </c>
      <c r="GZ4" s="1769" t="s">
        <v>211</v>
      </c>
      <c r="HA4" s="1769" t="s">
        <v>212</v>
      </c>
      <c r="HB4" s="1769" t="s">
        <v>213</v>
      </c>
      <c r="HC4" s="1769" t="s">
        <v>214</v>
      </c>
      <c r="HD4" s="1769" t="s">
        <v>215</v>
      </c>
      <c r="HE4" s="1769" t="s">
        <v>216</v>
      </c>
      <c r="HF4" s="1769" t="s">
        <v>217</v>
      </c>
      <c r="HG4" s="1769" t="s">
        <v>218</v>
      </c>
      <c r="HH4" s="1769" t="s">
        <v>219</v>
      </c>
      <c r="HI4" s="1769" t="s">
        <v>220</v>
      </c>
      <c r="HJ4" s="1769" t="s">
        <v>221</v>
      </c>
      <c r="HK4" s="1769" t="s">
        <v>222</v>
      </c>
      <c r="HL4" s="1769" t="s">
        <v>223</v>
      </c>
      <c r="HM4" s="1769" t="s">
        <v>224</v>
      </c>
      <c r="HN4" s="569"/>
      <c r="HO4" s="569"/>
      <c r="HP4" s="111"/>
      <c r="HQ4" s="111"/>
      <c r="HR4" s="111"/>
      <c r="HS4" s="111"/>
      <c r="HT4" s="111"/>
      <c r="HU4" s="111"/>
      <c r="HV4" s="111"/>
      <c r="HW4" s="111"/>
      <c r="HX4" s="111"/>
      <c r="HY4" s="111"/>
      <c r="HZ4" s="111"/>
      <c r="IA4" s="111"/>
      <c r="IB4" s="111"/>
      <c r="IC4" s="111"/>
      <c r="ID4" s="111"/>
      <c r="IE4" s="111"/>
      <c r="IF4" s="111"/>
      <c r="IG4" s="111"/>
      <c r="IH4" s="111"/>
      <c r="II4" s="111"/>
      <c r="IJ4" s="111"/>
      <c r="IK4" s="111"/>
      <c r="IL4" s="111"/>
      <c r="IM4" s="111"/>
      <c r="IN4" s="111"/>
      <c r="IO4" s="111"/>
      <c r="IP4" s="111"/>
      <c r="IQ4" s="111"/>
      <c r="IR4" s="111"/>
      <c r="IS4" s="111"/>
      <c r="IT4" s="111"/>
      <c r="IU4" s="111"/>
    </row>
    <row r="5" spans="1:255" s="105" customFormat="1" ht="13.15" customHeight="1">
      <c r="B5" s="5" t="s">
        <v>1967</v>
      </c>
      <c r="D5" s="1"/>
      <c r="E5" s="5"/>
      <c r="F5" s="1"/>
      <c r="G5" s="1196"/>
      <c r="N5" s="1178" t="s">
        <v>608</v>
      </c>
      <c r="P5" s="1171" t="s">
        <v>1091</v>
      </c>
      <c r="Q5" s="514"/>
      <c r="R5" s="514"/>
      <c r="S5" s="514"/>
      <c r="V5" s="1770"/>
      <c r="W5" s="1770"/>
      <c r="X5" s="1770"/>
      <c r="Y5" s="1770"/>
      <c r="Z5" s="1770"/>
      <c r="AA5" s="1770"/>
      <c r="AB5" s="1770"/>
      <c r="AC5" s="1770"/>
      <c r="AD5" s="1770"/>
      <c r="AE5" s="1770"/>
      <c r="AF5" s="1770"/>
      <c r="AG5" s="1770"/>
      <c r="AH5" s="1770"/>
      <c r="AI5" s="1770"/>
      <c r="AJ5" s="1770"/>
      <c r="AK5" s="1770"/>
      <c r="AL5" s="1770"/>
      <c r="AM5" s="1770"/>
      <c r="AN5" s="1770"/>
      <c r="AO5" s="1770"/>
      <c r="AP5" s="1770"/>
      <c r="AQ5" s="1770"/>
      <c r="AR5" s="1770"/>
      <c r="AS5" s="1770"/>
      <c r="AT5" s="1770"/>
      <c r="AU5" s="1770"/>
      <c r="AV5" s="1770"/>
      <c r="AW5" s="1770"/>
      <c r="AX5" s="1770"/>
      <c r="AY5" s="1770"/>
      <c r="AZ5" s="1770"/>
      <c r="BA5" s="1770"/>
      <c r="BB5" s="1770"/>
      <c r="BC5" s="1770"/>
      <c r="BD5" s="1770"/>
      <c r="BE5" s="1770"/>
      <c r="BF5" s="1770"/>
      <c r="BG5" s="1770"/>
      <c r="BH5" s="1770"/>
      <c r="BI5" s="1770"/>
      <c r="BJ5" s="1770"/>
      <c r="BK5" s="1770"/>
      <c r="BL5" s="1770"/>
      <c r="BM5" s="1770"/>
      <c r="BN5" s="1770"/>
      <c r="BO5" s="1770"/>
      <c r="BP5" s="1770"/>
      <c r="BQ5" s="1770"/>
      <c r="BR5" s="1770"/>
      <c r="BS5" s="1770"/>
      <c r="BT5" s="1770"/>
      <c r="BU5" s="1770"/>
      <c r="BV5" s="1770"/>
      <c r="BW5" s="1770"/>
      <c r="BX5" s="1770"/>
      <c r="BY5" s="1770"/>
      <c r="BZ5" s="1770"/>
      <c r="CA5" s="1770"/>
      <c r="CB5" s="1770"/>
      <c r="CC5" s="1770"/>
      <c r="CD5" s="1769"/>
      <c r="CE5" s="1769"/>
      <c r="CF5" s="1769"/>
      <c r="CG5" s="1769"/>
      <c r="CH5" s="1769"/>
      <c r="CI5" s="1769"/>
      <c r="CJ5" s="1769"/>
      <c r="CK5" s="1769"/>
      <c r="CL5" s="1769"/>
      <c r="CM5" s="1769"/>
      <c r="CN5" s="1769"/>
      <c r="CO5" s="1769"/>
      <c r="CP5" s="1769"/>
      <c r="CQ5" s="1769"/>
      <c r="CR5" s="1769"/>
      <c r="CS5" s="1769"/>
      <c r="CT5" s="1769"/>
      <c r="CU5" s="1769"/>
      <c r="CV5" s="1769"/>
      <c r="CW5" s="1769"/>
      <c r="CX5" s="1769"/>
      <c r="CY5" s="1769"/>
      <c r="CZ5" s="1769"/>
      <c r="DA5" s="1769"/>
      <c r="DB5" s="1769"/>
      <c r="DC5" s="1769"/>
      <c r="DD5" s="1769"/>
      <c r="DE5" s="1769"/>
      <c r="DF5" s="1769"/>
      <c r="DG5" s="1769"/>
      <c r="DH5" s="1769"/>
      <c r="DI5" s="1769"/>
      <c r="DJ5" s="1769"/>
      <c r="DK5" s="1769"/>
      <c r="DL5" s="1769"/>
      <c r="DM5" s="1769"/>
      <c r="DN5" s="1769"/>
      <c r="DO5" s="1769"/>
      <c r="DP5" s="1769"/>
      <c r="DQ5" s="1769"/>
      <c r="DR5" s="1769"/>
      <c r="DS5" s="1769"/>
      <c r="DT5" s="1769"/>
      <c r="DU5" s="1769"/>
      <c r="DV5" s="1769"/>
      <c r="DW5" s="1769"/>
      <c r="DX5" s="1769"/>
      <c r="DY5" s="1769"/>
      <c r="DZ5" s="1769"/>
      <c r="EA5" s="1769"/>
      <c r="EB5" s="1769"/>
      <c r="EC5" s="1769"/>
      <c r="ED5" s="1769"/>
      <c r="EE5" s="1769"/>
      <c r="EF5" s="1769"/>
      <c r="EG5" s="1769"/>
      <c r="EH5" s="1769"/>
      <c r="EI5" s="1769"/>
      <c r="EJ5" s="1769"/>
      <c r="EK5" s="1769"/>
      <c r="EL5" s="1769"/>
      <c r="EM5" s="1769"/>
      <c r="EN5" s="1769"/>
      <c r="EO5" s="1769"/>
      <c r="EP5" s="1769"/>
      <c r="EQ5" s="1769"/>
      <c r="ER5" s="1769"/>
      <c r="ES5" s="1769"/>
      <c r="ET5" s="1769"/>
      <c r="EU5" s="1769"/>
      <c r="EV5" s="570"/>
      <c r="EW5" s="570"/>
      <c r="EX5" s="570"/>
      <c r="EY5" s="570"/>
      <c r="EZ5" s="570"/>
      <c r="FA5" s="570"/>
      <c r="FB5" s="570"/>
      <c r="FC5" s="570"/>
      <c r="FD5" s="570"/>
      <c r="FE5" s="570"/>
      <c r="FF5" s="570"/>
      <c r="FG5" s="570"/>
      <c r="FH5" s="570"/>
      <c r="FI5" s="570"/>
      <c r="FJ5" s="570"/>
      <c r="FK5" s="570"/>
      <c r="FL5" s="570"/>
      <c r="FM5" s="570"/>
      <c r="FN5" s="570"/>
      <c r="FO5" s="570"/>
      <c r="FP5" s="570"/>
      <c r="FQ5" s="570"/>
      <c r="FR5" s="570"/>
      <c r="FS5" s="570"/>
      <c r="FT5" s="570"/>
      <c r="FU5" s="570"/>
      <c r="FV5" s="570"/>
      <c r="FW5" s="570"/>
      <c r="FX5" s="570"/>
      <c r="FY5" s="570"/>
      <c r="FZ5" s="570"/>
      <c r="GA5" s="570"/>
      <c r="GB5" s="570"/>
      <c r="GC5" s="570"/>
      <c r="GD5" s="570"/>
      <c r="GE5" s="570"/>
      <c r="GF5" s="570"/>
      <c r="GG5" s="570"/>
      <c r="GH5" s="570"/>
      <c r="GI5" s="570"/>
      <c r="GJ5" s="569"/>
      <c r="GK5" s="569"/>
      <c r="GL5" s="569"/>
      <c r="GM5" s="569"/>
      <c r="GN5" s="569"/>
      <c r="GO5" s="1769"/>
      <c r="GP5" s="1769"/>
      <c r="GQ5" s="1769"/>
      <c r="GR5" s="1769"/>
      <c r="GS5" s="1769"/>
      <c r="GT5" s="1769"/>
      <c r="GU5" s="1769"/>
      <c r="GV5" s="1769"/>
      <c r="GW5" s="1769"/>
      <c r="GX5" s="1769"/>
      <c r="GY5" s="1769"/>
      <c r="GZ5" s="1769"/>
      <c r="HA5" s="1769"/>
      <c r="HB5" s="1769"/>
      <c r="HC5" s="1769"/>
      <c r="HD5" s="1769"/>
      <c r="HE5" s="1769"/>
      <c r="HF5" s="1769"/>
      <c r="HG5" s="1769"/>
      <c r="HH5" s="1769"/>
      <c r="HI5" s="1769"/>
      <c r="HJ5" s="1769"/>
      <c r="HK5" s="1769"/>
      <c r="HL5" s="1769"/>
      <c r="HM5" s="1769"/>
      <c r="HN5" s="569"/>
      <c r="HO5" s="569"/>
      <c r="HP5" s="111"/>
      <c r="HQ5" s="111"/>
      <c r="HR5" s="111"/>
      <c r="HS5" s="111"/>
      <c r="HT5" s="111"/>
      <c r="HU5" s="111"/>
      <c r="HV5" s="111"/>
      <c r="HW5" s="111"/>
      <c r="HX5" s="111"/>
      <c r="HY5" s="111"/>
      <c r="HZ5" s="111"/>
      <c r="IA5" s="111"/>
      <c r="IB5" s="111"/>
      <c r="IC5" s="111"/>
      <c r="ID5" s="111"/>
      <c r="IE5" s="111"/>
      <c r="IF5" s="111"/>
      <c r="IG5" s="111"/>
      <c r="IH5" s="111"/>
      <c r="II5" s="111"/>
      <c r="IJ5" s="111"/>
      <c r="IK5" s="111"/>
      <c r="IL5" s="111"/>
      <c r="IM5" s="111"/>
      <c r="IN5" s="111"/>
      <c r="IO5" s="111"/>
      <c r="IP5" s="111"/>
      <c r="IQ5" s="111"/>
      <c r="IR5" s="111"/>
      <c r="IS5" s="111"/>
      <c r="IT5" s="111"/>
      <c r="IU5" s="111"/>
    </row>
    <row r="6" spans="1:255" s="105" customFormat="1" ht="13.15" customHeight="1">
      <c r="B6" s="33" t="s">
        <v>1922</v>
      </c>
      <c r="D6" s="1"/>
      <c r="E6" s="5"/>
      <c r="G6" s="1197" t="s">
        <v>3425</v>
      </c>
      <c r="J6" s="1169" t="s">
        <v>2559</v>
      </c>
      <c r="N6" s="1773" t="str">
        <f>'Part I-Project Information'!$O$29</f>
        <v>Rome</v>
      </c>
      <c r="O6" s="1773"/>
      <c r="P6" s="517">
        <f>VLOOKUP('Part I-Project Information'!$O$29,'DCA Underwriting Assumptions'!$C$82:$D$192,2)</f>
        <v>52300</v>
      </c>
      <c r="Q6" s="569"/>
      <c r="R6" s="1775" t="s">
        <v>2919</v>
      </c>
      <c r="S6" s="1775"/>
      <c r="V6" s="1770"/>
      <c r="W6" s="1770"/>
      <c r="X6" s="1770"/>
      <c r="Y6" s="1770"/>
      <c r="Z6" s="1770"/>
      <c r="AA6" s="1770"/>
      <c r="AB6" s="1770"/>
      <c r="AC6" s="1770"/>
      <c r="AD6" s="1770"/>
      <c r="AE6" s="1770"/>
      <c r="AF6" s="1770"/>
      <c r="AG6" s="1770"/>
      <c r="AH6" s="1770"/>
      <c r="AI6" s="1770"/>
      <c r="AJ6" s="1770"/>
      <c r="AK6" s="1770"/>
      <c r="AL6" s="1770"/>
      <c r="AM6" s="1770"/>
      <c r="AN6" s="1770"/>
      <c r="AO6" s="1770"/>
      <c r="AP6" s="1770"/>
      <c r="AQ6" s="1770"/>
      <c r="AR6" s="1770"/>
      <c r="AS6" s="1770"/>
      <c r="AT6" s="1770"/>
      <c r="AU6" s="1770"/>
      <c r="AV6" s="1770"/>
      <c r="AW6" s="1770"/>
      <c r="AX6" s="1770"/>
      <c r="AY6" s="1770"/>
      <c r="AZ6" s="1770"/>
      <c r="BA6" s="1770"/>
      <c r="BB6" s="1770"/>
      <c r="BC6" s="1770"/>
      <c r="BD6" s="1770"/>
      <c r="BE6" s="1770"/>
      <c r="BF6" s="1770"/>
      <c r="BG6" s="1770"/>
      <c r="BH6" s="1770"/>
      <c r="BI6" s="1770"/>
      <c r="BJ6" s="1770"/>
      <c r="BK6" s="1770"/>
      <c r="BL6" s="1770"/>
      <c r="BM6" s="1770"/>
      <c r="BN6" s="1770"/>
      <c r="BO6" s="1770"/>
      <c r="BP6" s="1770"/>
      <c r="BQ6" s="1770"/>
      <c r="BR6" s="1770"/>
      <c r="BS6" s="1770"/>
      <c r="BT6" s="1770"/>
      <c r="BU6" s="1770"/>
      <c r="BV6" s="1770"/>
      <c r="BW6" s="1770"/>
      <c r="BX6" s="1770"/>
      <c r="BY6" s="1770"/>
      <c r="BZ6" s="1770"/>
      <c r="CA6" s="1770"/>
      <c r="CB6" s="1770"/>
      <c r="CC6" s="1770"/>
      <c r="CD6" s="1769"/>
      <c r="CE6" s="1769"/>
      <c r="CF6" s="1769"/>
      <c r="CG6" s="1769"/>
      <c r="CH6" s="1769"/>
      <c r="CI6" s="1769"/>
      <c r="CJ6" s="1769"/>
      <c r="CK6" s="1769"/>
      <c r="CL6" s="1769"/>
      <c r="CM6" s="1769"/>
      <c r="CN6" s="1769"/>
      <c r="CO6" s="1769"/>
      <c r="CP6" s="1769"/>
      <c r="CQ6" s="1769"/>
      <c r="CR6" s="1769"/>
      <c r="CS6" s="1769"/>
      <c r="CT6" s="1769"/>
      <c r="CU6" s="1769"/>
      <c r="CV6" s="1769"/>
      <c r="CW6" s="1769"/>
      <c r="CX6" s="1769"/>
      <c r="CY6" s="1769"/>
      <c r="CZ6" s="1769"/>
      <c r="DA6" s="1769"/>
      <c r="DB6" s="1769"/>
      <c r="DC6" s="1769"/>
      <c r="DD6" s="1769"/>
      <c r="DE6" s="1769"/>
      <c r="DF6" s="1769"/>
      <c r="DG6" s="1769"/>
      <c r="DH6" s="1769"/>
      <c r="DI6" s="1769"/>
      <c r="DJ6" s="1769"/>
      <c r="DK6" s="1769"/>
      <c r="DL6" s="1769"/>
      <c r="DM6" s="1769"/>
      <c r="DN6" s="1769"/>
      <c r="DO6" s="1769"/>
      <c r="DP6" s="1769"/>
      <c r="DQ6" s="1769"/>
      <c r="DR6" s="1769"/>
      <c r="DS6" s="1769"/>
      <c r="DT6" s="1769"/>
      <c r="DU6" s="1769"/>
      <c r="DV6" s="1769"/>
      <c r="DW6" s="1769"/>
      <c r="DX6" s="1769"/>
      <c r="DY6" s="1769"/>
      <c r="DZ6" s="1769"/>
      <c r="EA6" s="1769"/>
      <c r="EB6" s="1769"/>
      <c r="EC6" s="1769"/>
      <c r="ED6" s="1769"/>
      <c r="EE6" s="1769"/>
      <c r="EF6" s="1769"/>
      <c r="EG6" s="1769"/>
      <c r="EH6" s="1769"/>
      <c r="EI6" s="1769"/>
      <c r="EJ6" s="1769"/>
      <c r="EK6" s="1769"/>
      <c r="EL6" s="1769"/>
      <c r="EM6" s="1769"/>
      <c r="EN6" s="1769"/>
      <c r="EO6" s="1769"/>
      <c r="EP6" s="1769"/>
      <c r="EQ6" s="1769"/>
      <c r="ER6" s="1769"/>
      <c r="ES6" s="1769"/>
      <c r="ET6" s="1769"/>
      <c r="EU6" s="1769"/>
      <c r="EV6" s="570"/>
      <c r="EW6" s="570"/>
      <c r="EX6" s="570"/>
      <c r="EY6" s="570"/>
      <c r="EZ6" s="570"/>
      <c r="FA6" s="570"/>
      <c r="FB6" s="570"/>
      <c r="FC6" s="570"/>
      <c r="FD6" s="570"/>
      <c r="FE6" s="570"/>
      <c r="FF6" s="570"/>
      <c r="FG6" s="570"/>
      <c r="FH6" s="570"/>
      <c r="FI6" s="570"/>
      <c r="FJ6" s="570"/>
      <c r="FK6" s="570"/>
      <c r="FL6" s="570"/>
      <c r="FM6" s="570"/>
      <c r="FN6" s="570"/>
      <c r="FO6" s="570"/>
      <c r="FP6" s="570"/>
      <c r="FQ6" s="570"/>
      <c r="FR6" s="570"/>
      <c r="FS6" s="570"/>
      <c r="FT6" s="570"/>
      <c r="FU6" s="570"/>
      <c r="FV6" s="570"/>
      <c r="FW6" s="570"/>
      <c r="FX6" s="570"/>
      <c r="FY6" s="570"/>
      <c r="FZ6" s="570"/>
      <c r="GA6" s="570"/>
      <c r="GB6" s="570"/>
      <c r="GC6" s="570"/>
      <c r="GD6" s="570"/>
      <c r="GE6" s="570"/>
      <c r="GF6" s="570"/>
      <c r="GG6" s="570"/>
      <c r="GH6" s="570"/>
      <c r="GI6" s="570"/>
      <c r="GJ6" s="569"/>
      <c r="GK6" s="569"/>
      <c r="GL6" s="569"/>
      <c r="GM6" s="569"/>
      <c r="GN6" s="569"/>
      <c r="GO6" s="1769"/>
      <c r="GP6" s="1769"/>
      <c r="GQ6" s="1769"/>
      <c r="GR6" s="1769"/>
      <c r="GS6" s="1769"/>
      <c r="GT6" s="1769"/>
      <c r="GU6" s="1769"/>
      <c r="GV6" s="1769"/>
      <c r="GW6" s="1769"/>
      <c r="GX6" s="1769"/>
      <c r="GY6" s="1769"/>
      <c r="GZ6" s="1769"/>
      <c r="HA6" s="1769"/>
      <c r="HB6" s="1769"/>
      <c r="HC6" s="1769"/>
      <c r="HD6" s="1769"/>
      <c r="HE6" s="1769"/>
      <c r="HF6" s="1769"/>
      <c r="HG6" s="1769"/>
      <c r="HH6" s="1769"/>
      <c r="HI6" s="1769"/>
      <c r="HJ6" s="1769"/>
      <c r="HK6" s="1769"/>
      <c r="HL6" s="1769"/>
      <c r="HM6" s="1769"/>
      <c r="HN6" s="569"/>
      <c r="HO6" s="569"/>
      <c r="HP6" s="111"/>
      <c r="HQ6" s="111"/>
      <c r="HR6" s="111"/>
      <c r="HS6" s="111"/>
      <c r="HT6" s="111"/>
      <c r="HU6" s="111"/>
      <c r="HV6" s="111"/>
      <c r="HW6" s="111"/>
      <c r="HX6" s="111"/>
      <c r="HY6" s="111"/>
      <c r="HZ6" s="111"/>
      <c r="IA6" s="111"/>
      <c r="IB6" s="111"/>
      <c r="IC6" s="111"/>
      <c r="ID6" s="111"/>
      <c r="IE6" s="111"/>
      <c r="IF6" s="111"/>
      <c r="IG6" s="111"/>
      <c r="IH6" s="111"/>
      <c r="II6" s="111"/>
      <c r="IJ6" s="111"/>
      <c r="IK6" s="111"/>
      <c r="IL6" s="111"/>
      <c r="IM6" s="111"/>
      <c r="IN6" s="111"/>
      <c r="IO6" s="111"/>
      <c r="IP6" s="111"/>
      <c r="IQ6" s="111"/>
      <c r="IR6" s="111"/>
      <c r="IS6" s="111"/>
      <c r="IT6" s="111"/>
      <c r="IU6" s="111"/>
    </row>
    <row r="7" spans="1:255" s="105" customFormat="1" ht="13.9" customHeight="1">
      <c r="A7" s="1772" t="str">
        <f>IF(A48&gt;0,"Finish!","")</f>
        <v/>
      </c>
      <c r="B7" s="5"/>
      <c r="C7" s="1"/>
      <c r="D7" s="5"/>
      <c r="E7" s="1"/>
      <c r="F7" s="1"/>
      <c r="G7" s="1"/>
      <c r="H7" s="1"/>
      <c r="I7" s="1"/>
      <c r="J7" s="1169" t="s">
        <v>2560</v>
      </c>
      <c r="K7" s="1"/>
      <c r="L7" s="1"/>
      <c r="M7" s="1"/>
      <c r="N7" s="37"/>
      <c r="O7" s="37"/>
      <c r="P7" s="1195"/>
      <c r="Q7" s="1195"/>
      <c r="R7" s="605"/>
      <c r="S7" s="1192" t="s">
        <v>2916</v>
      </c>
      <c r="T7" s="513"/>
      <c r="U7" s="514"/>
      <c r="V7" s="1770"/>
      <c r="W7" s="1770"/>
      <c r="X7" s="1770"/>
      <c r="Y7" s="1770"/>
      <c r="Z7" s="1770"/>
      <c r="AA7" s="1770"/>
      <c r="AB7" s="1770"/>
      <c r="AC7" s="1770"/>
      <c r="AD7" s="1770"/>
      <c r="AE7" s="1770"/>
      <c r="AF7" s="1770"/>
      <c r="AG7" s="1770"/>
      <c r="AH7" s="1770"/>
      <c r="AI7" s="1770"/>
      <c r="AJ7" s="1770"/>
      <c r="AK7" s="1770"/>
      <c r="AL7" s="1770"/>
      <c r="AM7" s="1770"/>
      <c r="AN7" s="1770"/>
      <c r="AO7" s="1770"/>
      <c r="AP7" s="1770"/>
      <c r="AQ7" s="1770"/>
      <c r="AR7" s="1770"/>
      <c r="AS7" s="1770"/>
      <c r="AT7" s="1770"/>
      <c r="AU7" s="1770"/>
      <c r="AV7" s="1770"/>
      <c r="AW7" s="1770"/>
      <c r="AX7" s="1770"/>
      <c r="AY7" s="1770"/>
      <c r="AZ7" s="1770"/>
      <c r="BA7" s="1770"/>
      <c r="BB7" s="1770"/>
      <c r="BC7" s="1770"/>
      <c r="BD7" s="1770"/>
      <c r="BE7" s="1770"/>
      <c r="BF7" s="1770"/>
      <c r="BG7" s="1770"/>
      <c r="BH7" s="1770"/>
      <c r="BI7" s="1770"/>
      <c r="BJ7" s="1770"/>
      <c r="BK7" s="1770"/>
      <c r="BL7" s="1770"/>
      <c r="BM7" s="1770"/>
      <c r="BN7" s="1770"/>
      <c r="BO7" s="1770"/>
      <c r="BP7" s="1770"/>
      <c r="BQ7" s="1770"/>
      <c r="BR7" s="1770"/>
      <c r="BS7" s="1770"/>
      <c r="BT7" s="1770"/>
      <c r="BU7" s="1770"/>
      <c r="BV7" s="1770"/>
      <c r="BW7" s="1770"/>
      <c r="BX7" s="1770"/>
      <c r="BY7" s="1770"/>
      <c r="BZ7" s="1770"/>
      <c r="CA7" s="1770"/>
      <c r="CB7" s="1770"/>
      <c r="CC7" s="1770"/>
      <c r="CD7" s="1769"/>
      <c r="CE7" s="1769"/>
      <c r="CF7" s="1769"/>
      <c r="CG7" s="1769"/>
      <c r="CH7" s="1769"/>
      <c r="CI7" s="1769"/>
      <c r="CJ7" s="1769"/>
      <c r="CK7" s="1769"/>
      <c r="CL7" s="1769"/>
      <c r="CM7" s="1769"/>
      <c r="CN7" s="1769"/>
      <c r="CO7" s="1769"/>
      <c r="CP7" s="1769"/>
      <c r="CQ7" s="1769"/>
      <c r="CR7" s="1769"/>
      <c r="CS7" s="1769"/>
      <c r="CT7" s="1769"/>
      <c r="CU7" s="1769"/>
      <c r="CV7" s="1769"/>
      <c r="CW7" s="1769"/>
      <c r="CX7" s="1769"/>
      <c r="CY7" s="1769"/>
      <c r="CZ7" s="1769"/>
      <c r="DA7" s="1769"/>
      <c r="DB7" s="1769"/>
      <c r="DC7" s="1769"/>
      <c r="DD7" s="1769"/>
      <c r="DE7" s="1769"/>
      <c r="DF7" s="1769"/>
      <c r="DG7" s="1769"/>
      <c r="DH7" s="1769"/>
      <c r="DI7" s="1769"/>
      <c r="DJ7" s="1769"/>
      <c r="DK7" s="1769"/>
      <c r="DL7" s="1769"/>
      <c r="DM7" s="1769"/>
      <c r="DN7" s="1769"/>
      <c r="DO7" s="1769"/>
      <c r="DP7" s="1769"/>
      <c r="DQ7" s="1769"/>
      <c r="DR7" s="1769"/>
      <c r="DS7" s="1769"/>
      <c r="DT7" s="1769"/>
      <c r="DU7" s="1769"/>
      <c r="DV7" s="1769"/>
      <c r="DW7" s="1769"/>
      <c r="DX7" s="1769"/>
      <c r="DY7" s="1769"/>
      <c r="DZ7" s="1769"/>
      <c r="EA7" s="1769"/>
      <c r="EB7" s="1769"/>
      <c r="EC7" s="1769"/>
      <c r="ED7" s="1769"/>
      <c r="EE7" s="1769"/>
      <c r="EF7" s="1769"/>
      <c r="EG7" s="1769"/>
      <c r="EH7" s="1769"/>
      <c r="EI7" s="1769"/>
      <c r="EJ7" s="1769"/>
      <c r="EK7" s="1769"/>
      <c r="EL7" s="1769"/>
      <c r="EM7" s="1769"/>
      <c r="EN7" s="1769"/>
      <c r="EO7" s="1769"/>
      <c r="EP7" s="1769"/>
      <c r="EQ7" s="1769"/>
      <c r="ER7" s="1769"/>
      <c r="ES7" s="1769"/>
      <c r="ET7" s="1769"/>
      <c r="EU7" s="1769"/>
      <c r="EV7" s="570"/>
      <c r="EW7" s="570"/>
      <c r="EX7" s="570"/>
      <c r="EY7" s="570"/>
      <c r="EZ7" s="570"/>
      <c r="FA7" s="570"/>
      <c r="FB7" s="570"/>
      <c r="FC7" s="570"/>
      <c r="FD7" s="570"/>
      <c r="FE7" s="570"/>
      <c r="FF7" s="570"/>
      <c r="FG7" s="570"/>
      <c r="FH7" s="570"/>
      <c r="FI7" s="570"/>
      <c r="FJ7" s="570"/>
      <c r="FK7" s="570"/>
      <c r="FL7" s="570"/>
      <c r="FM7" s="570"/>
      <c r="FN7" s="570"/>
      <c r="FO7" s="570"/>
      <c r="FP7" s="570"/>
      <c r="FQ7" s="570"/>
      <c r="FR7" s="570"/>
      <c r="FS7" s="570"/>
      <c r="FT7" s="570"/>
      <c r="FU7" s="570"/>
      <c r="FV7" s="570"/>
      <c r="FW7" s="570"/>
      <c r="FX7" s="570"/>
      <c r="FY7" s="570"/>
      <c r="FZ7" s="570"/>
      <c r="GA7" s="570"/>
      <c r="GB7" s="570"/>
      <c r="GC7" s="570"/>
      <c r="GD7" s="570"/>
      <c r="GE7" s="570"/>
      <c r="GF7" s="570"/>
      <c r="GG7" s="570"/>
      <c r="GH7" s="570"/>
      <c r="GI7" s="570"/>
      <c r="GJ7" s="569"/>
      <c r="GK7" s="569"/>
      <c r="GL7" s="569"/>
      <c r="GM7" s="569"/>
      <c r="GN7" s="569"/>
      <c r="GO7" s="1769"/>
      <c r="GP7" s="1769"/>
      <c r="GQ7" s="1769"/>
      <c r="GR7" s="1769"/>
      <c r="GS7" s="1769"/>
      <c r="GT7" s="1769"/>
      <c r="GU7" s="1769"/>
      <c r="GV7" s="1769"/>
      <c r="GW7" s="1769"/>
      <c r="GX7" s="1769"/>
      <c r="GY7" s="1769"/>
      <c r="GZ7" s="1769"/>
      <c r="HA7" s="1769"/>
      <c r="HB7" s="1769"/>
      <c r="HC7" s="1769"/>
      <c r="HD7" s="1769"/>
      <c r="HE7" s="1769"/>
      <c r="HF7" s="1769"/>
      <c r="HG7" s="1769"/>
      <c r="HH7" s="1769"/>
      <c r="HI7" s="1769"/>
      <c r="HJ7" s="1769"/>
      <c r="HK7" s="1769"/>
      <c r="HL7" s="1769"/>
      <c r="HM7" s="1769"/>
      <c r="HN7" s="569"/>
      <c r="HO7" s="569"/>
      <c r="HP7" s="111"/>
      <c r="HQ7" s="111"/>
      <c r="HR7" s="111"/>
      <c r="HS7" s="111"/>
      <c r="HT7" s="111"/>
      <c r="HU7" s="111"/>
      <c r="HV7" s="111"/>
      <c r="HW7" s="111"/>
      <c r="HX7" s="111"/>
      <c r="HY7" s="111"/>
      <c r="HZ7" s="111"/>
      <c r="IA7" s="111"/>
      <c r="IB7" s="111"/>
      <c r="IC7" s="111"/>
      <c r="ID7" s="111"/>
      <c r="IE7" s="111"/>
      <c r="IF7" s="111"/>
      <c r="IG7" s="111"/>
      <c r="IH7" s="111"/>
      <c r="II7" s="111"/>
      <c r="IJ7" s="111"/>
      <c r="IK7" s="111"/>
      <c r="IL7" s="111"/>
      <c r="IM7" s="111"/>
      <c r="IN7" s="111"/>
      <c r="IO7" s="111"/>
      <c r="IP7" s="111"/>
      <c r="IQ7" s="111"/>
      <c r="IR7" s="111"/>
      <c r="IS7" s="111"/>
      <c r="IT7" s="111"/>
      <c r="IU7" s="111"/>
    </row>
    <row r="8" spans="1:255" s="129" customFormat="1" ht="13.9" customHeight="1">
      <c r="A8" s="1772"/>
      <c r="B8" s="191" t="s">
        <v>1569</v>
      </c>
      <c r="C8" s="1169" t="s">
        <v>179</v>
      </c>
      <c r="D8" s="1169" t="s">
        <v>573</v>
      </c>
      <c r="E8" s="1169" t="s">
        <v>1567</v>
      </c>
      <c r="F8" s="1169" t="s">
        <v>1567</v>
      </c>
      <c r="G8" s="1169" t="s">
        <v>2537</v>
      </c>
      <c r="H8" s="1169" t="s">
        <v>2535</v>
      </c>
      <c r="I8" s="1169" t="s">
        <v>846</v>
      </c>
      <c r="J8" s="1169" t="s">
        <v>2561</v>
      </c>
      <c r="K8" s="1771" t="s">
        <v>148</v>
      </c>
      <c r="L8" s="1771"/>
      <c r="M8" s="1169" t="s">
        <v>2513</v>
      </c>
      <c r="N8" s="1169" t="s">
        <v>560</v>
      </c>
      <c r="O8" s="1169" t="s">
        <v>402</v>
      </c>
      <c r="P8" s="1774" t="s">
        <v>1098</v>
      </c>
      <c r="Q8" s="1774"/>
      <c r="R8" s="1170" t="s">
        <v>2915</v>
      </c>
      <c r="S8" s="1170" t="s">
        <v>2917</v>
      </c>
      <c r="T8" s="515"/>
      <c r="U8" s="516"/>
      <c r="V8" s="1770"/>
      <c r="W8" s="1770"/>
      <c r="X8" s="1770"/>
      <c r="Y8" s="1770"/>
      <c r="Z8" s="1770"/>
      <c r="AA8" s="1770"/>
      <c r="AB8" s="1770"/>
      <c r="AC8" s="1770"/>
      <c r="AD8" s="1770"/>
      <c r="AE8" s="1770"/>
      <c r="AF8" s="1770"/>
      <c r="AG8" s="1770"/>
      <c r="AH8" s="1770"/>
      <c r="AI8" s="1770"/>
      <c r="AJ8" s="1770"/>
      <c r="AK8" s="1770"/>
      <c r="AL8" s="1770"/>
      <c r="AM8" s="1770"/>
      <c r="AN8" s="1770"/>
      <c r="AO8" s="1770"/>
      <c r="AP8" s="1770"/>
      <c r="AQ8" s="1770"/>
      <c r="AR8" s="1770"/>
      <c r="AS8" s="1770"/>
      <c r="AT8" s="1770"/>
      <c r="AU8" s="1770"/>
      <c r="AV8" s="1770"/>
      <c r="AW8" s="1770"/>
      <c r="AX8" s="1770"/>
      <c r="AY8" s="1770"/>
      <c r="AZ8" s="1770"/>
      <c r="BA8" s="1770"/>
      <c r="BB8" s="1770"/>
      <c r="BC8" s="1770"/>
      <c r="BD8" s="1770"/>
      <c r="BE8" s="1770"/>
      <c r="BF8" s="1770"/>
      <c r="BG8" s="1770"/>
      <c r="BH8" s="1770"/>
      <c r="BI8" s="1770"/>
      <c r="BJ8" s="1770"/>
      <c r="BK8" s="1770"/>
      <c r="BL8" s="1770"/>
      <c r="BM8" s="1770"/>
      <c r="BN8" s="1770"/>
      <c r="BO8" s="1770"/>
      <c r="BP8" s="1770"/>
      <c r="BQ8" s="1770"/>
      <c r="BR8" s="1770"/>
      <c r="BS8" s="1770"/>
      <c r="BT8" s="1770"/>
      <c r="BU8" s="1770"/>
      <c r="BV8" s="1770"/>
      <c r="BW8" s="1770"/>
      <c r="BX8" s="1770"/>
      <c r="BY8" s="1770"/>
      <c r="BZ8" s="1770"/>
      <c r="CA8" s="1770"/>
      <c r="CB8" s="1770"/>
      <c r="CC8" s="1770"/>
      <c r="CD8" s="1769"/>
      <c r="CE8" s="1769"/>
      <c r="CF8" s="1769"/>
      <c r="CG8" s="1769"/>
      <c r="CH8" s="1769"/>
      <c r="CI8" s="1769"/>
      <c r="CJ8" s="1769"/>
      <c r="CK8" s="1769"/>
      <c r="CL8" s="1769"/>
      <c r="CM8" s="1769"/>
      <c r="CN8" s="1769"/>
      <c r="CO8" s="1769"/>
      <c r="CP8" s="1769"/>
      <c r="CQ8" s="1769"/>
      <c r="CR8" s="1769"/>
      <c r="CS8" s="1769"/>
      <c r="CT8" s="1769"/>
      <c r="CU8" s="1769"/>
      <c r="CV8" s="1769"/>
      <c r="CW8" s="1769"/>
      <c r="CX8" s="1769"/>
      <c r="CY8" s="1769"/>
      <c r="CZ8" s="1769"/>
      <c r="DA8" s="1769"/>
      <c r="DB8" s="1769"/>
      <c r="DC8" s="1769"/>
      <c r="DD8" s="1769"/>
      <c r="DE8" s="1769"/>
      <c r="DF8" s="1769"/>
      <c r="DG8" s="1769"/>
      <c r="DH8" s="1769"/>
      <c r="DI8" s="1769"/>
      <c r="DJ8" s="1769"/>
      <c r="DK8" s="1769"/>
      <c r="DL8" s="1769"/>
      <c r="DM8" s="1769"/>
      <c r="DN8" s="1769"/>
      <c r="DO8" s="1769"/>
      <c r="DP8" s="1769"/>
      <c r="DQ8" s="1769"/>
      <c r="DR8" s="1769"/>
      <c r="DS8" s="1769"/>
      <c r="DT8" s="1769"/>
      <c r="DU8" s="1769"/>
      <c r="DV8" s="1769"/>
      <c r="DW8" s="1769"/>
      <c r="DX8" s="1769"/>
      <c r="DY8" s="1769"/>
      <c r="DZ8" s="1769"/>
      <c r="EA8" s="1769"/>
      <c r="EB8" s="1769"/>
      <c r="EC8" s="1769"/>
      <c r="ED8" s="1769"/>
      <c r="EE8" s="1769"/>
      <c r="EF8" s="1769"/>
      <c r="EG8" s="1769"/>
      <c r="EH8" s="1769"/>
      <c r="EI8" s="1769"/>
      <c r="EJ8" s="1769"/>
      <c r="EK8" s="1769"/>
      <c r="EL8" s="1769"/>
      <c r="EM8" s="1769"/>
      <c r="EN8" s="1769"/>
      <c r="EO8" s="1769"/>
      <c r="EP8" s="1769"/>
      <c r="EQ8" s="1769"/>
      <c r="ER8" s="1769"/>
      <c r="ES8" s="1769"/>
      <c r="ET8" s="1769"/>
      <c r="EU8" s="1769"/>
      <c r="EV8" s="1769" t="s">
        <v>1551</v>
      </c>
      <c r="EW8" s="576" t="s">
        <v>2595</v>
      </c>
      <c r="EX8" s="576" t="s">
        <v>2596</v>
      </c>
      <c r="EY8" s="576" t="s">
        <v>2597</v>
      </c>
      <c r="EZ8" s="576" t="s">
        <v>2598</v>
      </c>
      <c r="FA8" s="1769" t="s">
        <v>2656</v>
      </c>
      <c r="FB8" s="1769" t="s">
        <v>2656</v>
      </c>
      <c r="FC8" s="1769" t="s">
        <v>2656</v>
      </c>
      <c r="FD8" s="1769" t="s">
        <v>2656</v>
      </c>
      <c r="FE8" s="1769" t="s">
        <v>2656</v>
      </c>
      <c r="FF8" s="576" t="s">
        <v>512</v>
      </c>
      <c r="FG8" s="576" t="s">
        <v>2595</v>
      </c>
      <c r="FH8" s="576" t="s">
        <v>2596</v>
      </c>
      <c r="FI8" s="576" t="s">
        <v>2597</v>
      </c>
      <c r="FJ8" s="576" t="s">
        <v>2598</v>
      </c>
      <c r="FK8" s="1769" t="s">
        <v>2658</v>
      </c>
      <c r="FL8" s="1769" t="s">
        <v>2658</v>
      </c>
      <c r="FM8" s="1769" t="s">
        <v>2658</v>
      </c>
      <c r="FN8" s="1769" t="s">
        <v>2658</v>
      </c>
      <c r="FO8" s="1769" t="s">
        <v>2658</v>
      </c>
      <c r="FP8" s="1769" t="s">
        <v>377</v>
      </c>
      <c r="FQ8" s="1769" t="s">
        <v>377</v>
      </c>
      <c r="FR8" s="1769" t="s">
        <v>377</v>
      </c>
      <c r="FS8" s="1769" t="s">
        <v>377</v>
      </c>
      <c r="FT8" s="1769" t="s">
        <v>377</v>
      </c>
      <c r="FU8" s="1769" t="s">
        <v>378</v>
      </c>
      <c r="FV8" s="1769" t="s">
        <v>378</v>
      </c>
      <c r="FW8" s="1769" t="s">
        <v>378</v>
      </c>
      <c r="FX8" s="1769" t="s">
        <v>378</v>
      </c>
      <c r="FY8" s="1769" t="s">
        <v>378</v>
      </c>
      <c r="FZ8" s="1769" t="s">
        <v>379</v>
      </c>
      <c r="GA8" s="1769" t="s">
        <v>379</v>
      </c>
      <c r="GB8" s="1769" t="s">
        <v>379</v>
      </c>
      <c r="GC8" s="1769" t="s">
        <v>379</v>
      </c>
      <c r="GD8" s="1769" t="s">
        <v>379</v>
      </c>
      <c r="GE8" s="1769" t="s">
        <v>380</v>
      </c>
      <c r="GF8" s="1769" t="s">
        <v>380</v>
      </c>
      <c r="GG8" s="1769" t="s">
        <v>380</v>
      </c>
      <c r="GH8" s="1769" t="s">
        <v>380</v>
      </c>
      <c r="GI8" s="1769" t="s">
        <v>380</v>
      </c>
      <c r="GJ8" s="1769" t="s">
        <v>1550</v>
      </c>
      <c r="GK8" s="1769" t="s">
        <v>1550</v>
      </c>
      <c r="GL8" s="1769" t="s">
        <v>1550</v>
      </c>
      <c r="GM8" s="1769" t="s">
        <v>1550</v>
      </c>
      <c r="GN8" s="1769" t="s">
        <v>1550</v>
      </c>
      <c r="GO8" s="1769"/>
      <c r="GP8" s="1769"/>
      <c r="GQ8" s="1769"/>
      <c r="GR8" s="1769"/>
      <c r="GS8" s="1769"/>
      <c r="GT8" s="1769"/>
      <c r="GU8" s="1769"/>
      <c r="GV8" s="1769"/>
      <c r="GW8" s="1769"/>
      <c r="GX8" s="1769"/>
      <c r="GY8" s="1769"/>
      <c r="GZ8" s="1769"/>
      <c r="HA8" s="1769"/>
      <c r="HB8" s="1769"/>
      <c r="HC8" s="1769"/>
      <c r="HD8" s="1769"/>
      <c r="HE8" s="1769"/>
      <c r="HF8" s="1769"/>
      <c r="HG8" s="1769"/>
      <c r="HH8" s="1769"/>
      <c r="HI8" s="1769"/>
      <c r="HJ8" s="1769"/>
      <c r="HK8" s="1769"/>
      <c r="HL8" s="1769"/>
      <c r="HM8" s="1769"/>
      <c r="HN8" s="572"/>
      <c r="HO8" s="572"/>
      <c r="HP8" s="104"/>
      <c r="HQ8" s="104"/>
      <c r="HR8" s="104"/>
      <c r="HS8" s="104"/>
      <c r="HT8" s="104"/>
      <c r="HU8" s="104"/>
      <c r="HV8" s="104"/>
      <c r="HW8" s="104"/>
      <c r="HX8" s="104"/>
      <c r="HY8" s="104"/>
      <c r="HZ8" s="104"/>
      <c r="IA8" s="104"/>
      <c r="IB8" s="104"/>
      <c r="IC8" s="104"/>
      <c r="ID8" s="104"/>
      <c r="IE8" s="104"/>
      <c r="IF8" s="104"/>
      <c r="IG8" s="104"/>
      <c r="IH8" s="104"/>
      <c r="II8" s="104"/>
      <c r="IJ8" s="104"/>
      <c r="IK8" s="104"/>
      <c r="IL8" s="104"/>
      <c r="IM8" s="104"/>
      <c r="IN8" s="104"/>
      <c r="IO8" s="104"/>
      <c r="IP8" s="104"/>
      <c r="IQ8" s="104"/>
      <c r="IR8" s="104"/>
      <c r="IS8" s="104"/>
      <c r="IT8" s="104"/>
      <c r="IU8" s="104"/>
    </row>
    <row r="9" spans="1:255" s="129" customFormat="1" ht="13.9" customHeight="1">
      <c r="A9" s="1772"/>
      <c r="B9" s="191" t="s">
        <v>1376</v>
      </c>
      <c r="C9" s="1169" t="s">
        <v>178</v>
      </c>
      <c r="D9" s="1169" t="s">
        <v>180</v>
      </c>
      <c r="E9" s="1169" t="s">
        <v>1568</v>
      </c>
      <c r="F9" s="1169" t="s">
        <v>1353</v>
      </c>
      <c r="G9" s="1169" t="s">
        <v>1354</v>
      </c>
      <c r="H9" s="1169" t="s">
        <v>2536</v>
      </c>
      <c r="I9" s="1169" t="s">
        <v>847</v>
      </c>
      <c r="J9" s="568" t="s">
        <v>368</v>
      </c>
      <c r="K9" s="1169" t="s">
        <v>1628</v>
      </c>
      <c r="L9" s="1169" t="s">
        <v>567</v>
      </c>
      <c r="M9" s="1169" t="s">
        <v>1567</v>
      </c>
      <c r="N9" s="1169" t="s">
        <v>1376</v>
      </c>
      <c r="O9" s="1169" t="s">
        <v>403</v>
      </c>
      <c r="P9" s="1170" t="s">
        <v>1096</v>
      </c>
      <c r="Q9" s="1170" t="s">
        <v>1097</v>
      </c>
      <c r="R9" s="1170" t="s">
        <v>1569</v>
      </c>
      <c r="S9" s="1170" t="s">
        <v>2918</v>
      </c>
      <c r="T9" s="1546" t="s">
        <v>1966</v>
      </c>
      <c r="U9" s="1546"/>
      <c r="V9" s="1770"/>
      <c r="W9" s="1770"/>
      <c r="X9" s="1770"/>
      <c r="Y9" s="1770"/>
      <c r="Z9" s="1770"/>
      <c r="AA9" s="1770"/>
      <c r="AB9" s="1770"/>
      <c r="AC9" s="1770"/>
      <c r="AD9" s="1770"/>
      <c r="AE9" s="1770"/>
      <c r="AF9" s="1770"/>
      <c r="AG9" s="1770"/>
      <c r="AH9" s="1770"/>
      <c r="AI9" s="1770"/>
      <c r="AJ9" s="1770"/>
      <c r="AK9" s="1770"/>
      <c r="AL9" s="1770"/>
      <c r="AM9" s="1770"/>
      <c r="AN9" s="1770"/>
      <c r="AO9" s="1770"/>
      <c r="AP9" s="1770"/>
      <c r="AQ9" s="1770"/>
      <c r="AR9" s="1770"/>
      <c r="AS9" s="1770"/>
      <c r="AT9" s="1770"/>
      <c r="AU9" s="1770"/>
      <c r="AV9" s="1770"/>
      <c r="AW9" s="1770"/>
      <c r="AX9" s="1770"/>
      <c r="AY9" s="1770"/>
      <c r="AZ9" s="1770"/>
      <c r="BA9" s="1770"/>
      <c r="BB9" s="1770"/>
      <c r="BC9" s="1770"/>
      <c r="BD9" s="1770"/>
      <c r="BE9" s="1770"/>
      <c r="BF9" s="1770"/>
      <c r="BG9" s="1770"/>
      <c r="BH9" s="1770"/>
      <c r="BI9" s="1770"/>
      <c r="BJ9" s="1770"/>
      <c r="BK9" s="1770"/>
      <c r="BL9" s="1770"/>
      <c r="BM9" s="1770"/>
      <c r="BN9" s="1770"/>
      <c r="BO9" s="1770"/>
      <c r="BP9" s="1770"/>
      <c r="BQ9" s="1770"/>
      <c r="BR9" s="1770"/>
      <c r="BS9" s="1770"/>
      <c r="BT9" s="1770"/>
      <c r="BU9" s="1770"/>
      <c r="BV9" s="1770"/>
      <c r="BW9" s="1770"/>
      <c r="BX9" s="1770"/>
      <c r="BY9" s="1770"/>
      <c r="BZ9" s="1770"/>
      <c r="CA9" s="1770"/>
      <c r="CB9" s="1770"/>
      <c r="CC9" s="1770"/>
      <c r="CD9" s="1769"/>
      <c r="CE9" s="1769"/>
      <c r="CF9" s="1769"/>
      <c r="CG9" s="1769"/>
      <c r="CH9" s="1769"/>
      <c r="CI9" s="1769"/>
      <c r="CJ9" s="1769"/>
      <c r="CK9" s="1769"/>
      <c r="CL9" s="1769"/>
      <c r="CM9" s="1769"/>
      <c r="CN9" s="1769"/>
      <c r="CO9" s="1769"/>
      <c r="CP9" s="1769"/>
      <c r="CQ9" s="1769"/>
      <c r="CR9" s="1769"/>
      <c r="CS9" s="1769"/>
      <c r="CT9" s="1769"/>
      <c r="CU9" s="1769"/>
      <c r="CV9" s="1769"/>
      <c r="CW9" s="1769"/>
      <c r="CX9" s="1769"/>
      <c r="CY9" s="1769"/>
      <c r="CZ9" s="1769"/>
      <c r="DA9" s="1769"/>
      <c r="DB9" s="1769"/>
      <c r="DC9" s="1769"/>
      <c r="DD9" s="1769"/>
      <c r="DE9" s="1769"/>
      <c r="DF9" s="1769"/>
      <c r="DG9" s="1769"/>
      <c r="DH9" s="1769"/>
      <c r="DI9" s="1769"/>
      <c r="DJ9" s="1769"/>
      <c r="DK9" s="1769"/>
      <c r="DL9" s="1769"/>
      <c r="DM9" s="1769"/>
      <c r="DN9" s="1769"/>
      <c r="DO9" s="1769"/>
      <c r="DP9" s="1769"/>
      <c r="DQ9" s="1769"/>
      <c r="DR9" s="1769"/>
      <c r="DS9" s="1769"/>
      <c r="DT9" s="1769"/>
      <c r="DU9" s="1769"/>
      <c r="DV9" s="1769"/>
      <c r="DW9" s="1769"/>
      <c r="DX9" s="1769"/>
      <c r="DY9" s="1769"/>
      <c r="DZ9" s="1769"/>
      <c r="EA9" s="1769"/>
      <c r="EB9" s="1769"/>
      <c r="EC9" s="1769"/>
      <c r="ED9" s="1769"/>
      <c r="EE9" s="1769"/>
      <c r="EF9" s="1769"/>
      <c r="EG9" s="1769"/>
      <c r="EH9" s="1769"/>
      <c r="EI9" s="1769"/>
      <c r="EJ9" s="1769"/>
      <c r="EK9" s="1769"/>
      <c r="EL9" s="1769"/>
      <c r="EM9" s="1769"/>
      <c r="EN9" s="1769"/>
      <c r="EO9" s="1769"/>
      <c r="EP9" s="1769"/>
      <c r="EQ9" s="1769"/>
      <c r="ER9" s="1769"/>
      <c r="ES9" s="1769"/>
      <c r="ET9" s="1769"/>
      <c r="EU9" s="1769"/>
      <c r="EV9" s="1769"/>
      <c r="EW9" s="576" t="s">
        <v>2655</v>
      </c>
      <c r="EX9" s="576" t="s">
        <v>2655</v>
      </c>
      <c r="EY9" s="576" t="s">
        <v>2655</v>
      </c>
      <c r="EZ9" s="576" t="s">
        <v>2655</v>
      </c>
      <c r="FA9" s="1769"/>
      <c r="FB9" s="1769"/>
      <c r="FC9" s="1769"/>
      <c r="FD9" s="1769"/>
      <c r="FE9" s="1769"/>
      <c r="FF9" s="576" t="s">
        <v>2657</v>
      </c>
      <c r="FG9" s="576" t="s">
        <v>2657</v>
      </c>
      <c r="FH9" s="576" t="s">
        <v>2657</v>
      </c>
      <c r="FI9" s="576" t="s">
        <v>2657</v>
      </c>
      <c r="FJ9" s="576" t="s">
        <v>2657</v>
      </c>
      <c r="FK9" s="1769"/>
      <c r="FL9" s="1769"/>
      <c r="FM9" s="1769"/>
      <c r="FN9" s="1769"/>
      <c r="FO9" s="1769"/>
      <c r="FP9" s="1769"/>
      <c r="FQ9" s="1769"/>
      <c r="FR9" s="1769"/>
      <c r="FS9" s="1769"/>
      <c r="FT9" s="1769"/>
      <c r="FU9" s="1769"/>
      <c r="FV9" s="1769"/>
      <c r="FW9" s="1769"/>
      <c r="FX9" s="1769"/>
      <c r="FY9" s="1769"/>
      <c r="FZ9" s="1769"/>
      <c r="GA9" s="1769"/>
      <c r="GB9" s="1769"/>
      <c r="GC9" s="1769"/>
      <c r="GD9" s="1769"/>
      <c r="GE9" s="1769"/>
      <c r="GF9" s="1769"/>
      <c r="GG9" s="1769"/>
      <c r="GH9" s="1769"/>
      <c r="GI9" s="1769"/>
      <c r="GJ9" s="1769"/>
      <c r="GK9" s="1769"/>
      <c r="GL9" s="1769"/>
      <c r="GM9" s="1769"/>
      <c r="GN9" s="1769"/>
      <c r="GO9" s="1769"/>
      <c r="GP9" s="1769"/>
      <c r="GQ9" s="1769"/>
      <c r="GR9" s="1769"/>
      <c r="GS9" s="1769"/>
      <c r="GT9" s="1769"/>
      <c r="GU9" s="1769"/>
      <c r="GV9" s="1769"/>
      <c r="GW9" s="1769"/>
      <c r="GX9" s="1769"/>
      <c r="GY9" s="1769"/>
      <c r="GZ9" s="1769"/>
      <c r="HA9" s="1769"/>
      <c r="HB9" s="1769"/>
      <c r="HC9" s="1769"/>
      <c r="HD9" s="1769"/>
      <c r="HE9" s="1769"/>
      <c r="HF9" s="1769"/>
      <c r="HG9" s="1769"/>
      <c r="HH9" s="1769"/>
      <c r="HI9" s="1769"/>
      <c r="HJ9" s="1769"/>
      <c r="HK9" s="1769"/>
      <c r="HL9" s="1769"/>
      <c r="HM9" s="1769"/>
      <c r="HN9" s="572"/>
      <c r="HO9" s="572"/>
      <c r="HP9" s="104"/>
      <c r="HQ9" s="104"/>
      <c r="HR9" s="104"/>
      <c r="HS9" s="104"/>
      <c r="HT9" s="104"/>
      <c r="HU9" s="104"/>
      <c r="HV9" s="104"/>
      <c r="HW9" s="104"/>
      <c r="HX9" s="104"/>
      <c r="HY9" s="104"/>
      <c r="HZ9" s="104"/>
      <c r="IA9" s="104"/>
      <c r="IB9" s="104"/>
      <c r="IC9" s="104"/>
      <c r="ID9" s="104"/>
      <c r="IE9" s="104"/>
      <c r="IF9" s="104"/>
      <c r="IG9" s="104"/>
      <c r="IH9" s="104"/>
      <c r="II9" s="104"/>
      <c r="IJ9" s="104"/>
      <c r="IK9" s="104"/>
      <c r="IL9" s="104"/>
      <c r="IM9" s="104"/>
      <c r="IN9" s="104"/>
      <c r="IO9" s="104"/>
      <c r="IP9" s="104"/>
      <c r="IQ9" s="104"/>
      <c r="IR9" s="104"/>
      <c r="IS9" s="104"/>
      <c r="IT9" s="104"/>
      <c r="IU9" s="104"/>
    </row>
    <row r="10" spans="1:255" ht="13.15" customHeight="1">
      <c r="A10" s="126" t="str">
        <f>IF(AND(E10&gt;0,OR(B10="",C10="",D10="",F10="",G10="", H10="",M10="",N10="",O10="")),1,"")</f>
        <v/>
      </c>
      <c r="B10" s="1198" t="s">
        <v>121</v>
      </c>
      <c r="C10" s="1199">
        <v>1</v>
      </c>
      <c r="D10" s="1200">
        <v>1</v>
      </c>
      <c r="E10" s="1201">
        <v>13</v>
      </c>
      <c r="F10" s="1201">
        <v>650</v>
      </c>
      <c r="G10" s="1201">
        <v>491</v>
      </c>
      <c r="H10" s="1201">
        <v>491</v>
      </c>
      <c r="I10" s="1201">
        <v>128</v>
      </c>
      <c r="J10" s="1202"/>
      <c r="K10" s="197">
        <f>MAX(0,H10-I10)</f>
        <v>363</v>
      </c>
      <c r="L10" s="197">
        <f t="shared" ref="L10:L47" si="0">MAX(0,E10*K10)</f>
        <v>4719</v>
      </c>
      <c r="M10" s="1098" t="s">
        <v>3425</v>
      </c>
      <c r="N10" s="1098" t="s">
        <v>3477</v>
      </c>
      <c r="O10" s="1098" t="s">
        <v>2436</v>
      </c>
      <c r="P10" s="518">
        <f>IF(H10="","",H10*12/0.3)</f>
        <v>19640</v>
      </c>
      <c r="Q10" s="519">
        <f>IF(H10="","",P10/($P$6*VLOOKUP(C10,'DCA Underwriting Assumptions'!$J$82:$K$87,2,FALSE)))</f>
        <v>0.50070108349267051</v>
      </c>
      <c r="R10" s="607"/>
      <c r="S10" s="519"/>
      <c r="T10" s="1641"/>
      <c r="U10" s="1642"/>
      <c r="V10" s="567" t="str">
        <f t="shared" ref="V10:V47" si="1">IF(AND(C10="Efficiency",B10="60% AMI",NOT(M10="Common")),E10,"")</f>
        <v/>
      </c>
      <c r="W10" s="567" t="str">
        <f t="shared" ref="W10:W47" si="2">IF(AND(C10=1,B10="60% AMI",NOT(M10="Common")),E10,"")</f>
        <v/>
      </c>
      <c r="X10" s="567" t="str">
        <f t="shared" ref="X10:X47" si="3">IF(AND(C10=2,B10="60% AMI",NOT(M10="Common")),E10,"")</f>
        <v/>
      </c>
      <c r="Y10" s="567" t="str">
        <f t="shared" ref="Y10:Y47" si="4">IF(AND(C10=3,B10="60% AMI",NOT(M10="Common")),E10,"")</f>
        <v/>
      </c>
      <c r="Z10" s="567" t="str">
        <f t="shared" ref="Z10:Z47" si="5">IF(AND(C10=4,B10="60% AMI",NOT(M10="Common")),E10,"")</f>
        <v/>
      </c>
      <c r="AA10" s="567" t="str">
        <f t="shared" ref="AA10:AA47" si="6">IF(AND(C10="Efficiency",B10="50% AMI",NOT(M10="Common")),E10,"")</f>
        <v/>
      </c>
      <c r="AB10" s="567">
        <f t="shared" ref="AB10:AB47" si="7">IF(AND(C10=1,B10="50% AMI",NOT(M10="Common")),E10,"")</f>
        <v>13</v>
      </c>
      <c r="AC10" s="567" t="str">
        <f t="shared" ref="AC10:AC47" si="8">IF(AND(C10=2,B10="50% AMI",NOT(M10="Common")),E10,"")</f>
        <v/>
      </c>
      <c r="AD10" s="567" t="str">
        <f t="shared" ref="AD10:AD47" si="9">IF(AND(C10=3,B10="50% AMI",NOT(M10="Common")),E10,"")</f>
        <v/>
      </c>
      <c r="AE10" s="567" t="str">
        <f t="shared" ref="AE10:AE47" si="10">IF(AND(C10=4,B10="50% AMI",NOT(M10="Common")),E10,"")</f>
        <v/>
      </c>
      <c r="AF10" s="567" t="str">
        <f t="shared" ref="AF10:AF47" si="11">IF(AND(C10="Efficiency",B10="30% AMI",NOT(M10="Common")),E10,"")</f>
        <v/>
      </c>
      <c r="AG10" s="567" t="str">
        <f t="shared" ref="AG10:AG47" si="12">IF(AND(C10=1,B10="30% AMI",NOT(M10="Common")),E10,"")</f>
        <v/>
      </c>
      <c r="AH10" s="567" t="str">
        <f t="shared" ref="AH10:AH47" si="13">IF(AND(C10=2,B10="30% AMI",NOT(M10="Common")),E10,"")</f>
        <v/>
      </c>
      <c r="AI10" s="567" t="str">
        <f t="shared" ref="AI10:AI47" si="14">IF(AND(C10=3,B10="30% AMI",NOT(M10="Common")),E10,"")</f>
        <v/>
      </c>
      <c r="AJ10" s="567" t="str">
        <f t="shared" ref="AJ10:AJ47" si="15">IF(AND(C10=4,B10="30% AMI",NOT(M10="Common")),E10,"")</f>
        <v/>
      </c>
      <c r="AK10" s="567" t="str">
        <f t="shared" ref="AK10:AK47" si="16">IF(AND(C10="Efficiency",B10="Unrestricted",NOT(M10="Common")),E10,"")</f>
        <v/>
      </c>
      <c r="AL10" s="567" t="str">
        <f t="shared" ref="AL10:AL47" si="17">IF(AND(C10=1,B10="Unrestricted",NOT(M10="Common")),E10,"")</f>
        <v/>
      </c>
      <c r="AM10" s="567" t="str">
        <f t="shared" ref="AM10:AM47" si="18">IF(AND(C10=2,B10="Unrestricted",NOT(M10="Common")),E10,"")</f>
        <v/>
      </c>
      <c r="AN10" s="567" t="str">
        <f t="shared" ref="AN10:AN47" si="19">IF(AND(C10=3,B10="Unrestricted",NOT(M10="Common")),E10,"")</f>
        <v/>
      </c>
      <c r="AO10" s="567" t="str">
        <f t="shared" ref="AO10:AO47" si="20">IF(AND(C10=4,B10="Unrestricted",NOT(M10="Common")),E10,"")</f>
        <v/>
      </c>
      <c r="AP10" s="567" t="str">
        <f>IF(OR(AND($C10="Efficiency",NOT($J10=""),NOT($J10="PHA Oper Sub"),$B10="30% AMI",NOT($M10="Common")),AND($C10="Efficiency",NOT($J10=""),NOT($J10="PHA Oper Sub"),$B10="HOME 30% AMI",NOT($M10="Common"))),$E10,"")</f>
        <v/>
      </c>
      <c r="AQ10" s="567" t="str">
        <f>IF(OR(AND($C10=1,NOT($J10=""),NOT($J10="PHA Oper Sub"),$B10="30% AMI",NOT($M10="Common")),AND($C10=1,NOT($J10=""),NOT($J10="PHA Oper Sub"),$B10="HOME 30% AMI",NOT($M10="Common"))),$E10,"")</f>
        <v/>
      </c>
      <c r="AR10" s="567" t="str">
        <f>IF(OR(AND($C10=2,NOT($J10=""),NOT($J10="PHA Oper Sub"),$B10="30% AMI",NOT($M10="Common")),AND($C10=2,NOT($J10=""),NOT($J10="PHA Oper Sub"),$B10="HOME 30% AMI",NOT($M10="Common"))),$E10,"")</f>
        <v/>
      </c>
      <c r="AS10" s="567" t="str">
        <f>IF(OR(AND($C10=3,NOT($J10=""),NOT($J10="PHA Oper Sub"),$B10="30% AMI",NOT($M10="Common")),AND($C10=3,NOT($J10=""),NOT($J10="PHA Oper Sub"),$B10="HOME 30% AMI",NOT($M10="Common"))),$E10,"")</f>
        <v/>
      </c>
      <c r="AT10" s="567" t="str">
        <f>IF(OR(AND($C10=4,NOT($J10=""),NOT($J10="PHA Oper Sub"),$B10="30% AMI",NOT($M10="Common")),AND($C10=4,NOT($J10=""),NOT($J10="PHA Oper Sub"),$B10="HOME 30% AMI",NOT($M10="Common"))),$E10,"")</f>
        <v/>
      </c>
      <c r="AU10" s="567" t="str">
        <f>IF(OR(AND($C10="Efficiency",NOT($J10=""),NOT($J10="PHA Oper Sub"),NOT($J10=0),$B10="50% AMI",NOT($M10="Common")),AND($C10="Efficiency",NOT($J10=""),NOT($J10=0),NOT($J10="PHA Oper Sub"),$B10="HOME 50% AMI",NOT($M10="Common"))),$E10,"")</f>
        <v/>
      </c>
      <c r="AV10" s="567" t="str">
        <f>IF(OR(AND($C10=1,NOT($J10=""),NOT($J10=0),NOT($J10="PHA Oper Sub"),$B10="50% AMI",NOT($M10="Common")),AND($C10=1,NOT($J10=""),NOT($J10=0),NOT($J10="PHA Oper Sub"),$B10="HOME 50% AMI",NOT($M10="Common"))),$E10,"")</f>
        <v/>
      </c>
      <c r="AW10" s="567" t="str">
        <f>IF(OR(AND($C10=2,NOT($J10=""),NOT($J10=0),NOT($J10="PHA Oper Sub"),$B10="50% AMI",NOT($M10="Common")),AND($C10=2,NOT($J10=""),NOT($J10=0),NOT($J10="PHA Oper Sub"),$B10="HOME 50% AMI",NOT($M10="Common"))),$E10,"")</f>
        <v/>
      </c>
      <c r="AX10" s="567" t="str">
        <f>IF(OR(AND($C10=3,NOT($J10=""),NOT($J10=0),NOT($J10="PHA Oper Sub"),$B10="50% AMI",NOT($M10="Common")),AND($C10=3,NOT($J10=""),NOT($J10=0),NOT($J10="PHA Oper Sub"),$B10="HOME 50% AMI",NOT($M10="Common"))),$E10,"")</f>
        <v/>
      </c>
      <c r="AY10" s="567" t="str">
        <f>IF(OR(AND($C10=4,NOT($J10=""),NOT($J10=0),NOT($J10="PHA Oper Sub"),$B10="50% AMI",NOT($M10="Common")),AND($C10=4,NOT($J10=""),NOT($J10=0),NOT($J10="PHA Oper Sub"),$B10="HOME 50% AMI",NOT($M10="Common"))),$E10,"")</f>
        <v/>
      </c>
      <c r="AZ10" s="567" t="str">
        <f>IF(OR(AND($C10="Efficiency",NOT($J10=""),NOT($J10=0),NOT($J10="PHA Oper Sub"),$B10="60% AMI",NOT($M10="Common")),AND($C10="Efficiency",NOT($J10=""),NOT($J10=0),NOT($J10="PHA Oper Sub"),$B10="HOME 60% AMI",NOT($M10="Common"))),$E10,"")</f>
        <v/>
      </c>
      <c r="BA10" s="567" t="str">
        <f>IF(OR(AND($C10=1,NOT($J10=""),NOT($J10=0),NOT($J10="PHA Oper Sub"),$B10="60% AMI",NOT($M10="Common")),AND($C10=1,NOT($J10=""),NOT($J10=0),NOT($J10="PHA Oper Sub"),$B10="HOME 60% AMI",NOT($M10="Common"))),$E10,"")</f>
        <v/>
      </c>
      <c r="BB10" s="567" t="str">
        <f>IF(OR(AND($C10=2,NOT($J10=""),NOT($J10=0),NOT($J10="PHA Oper Sub"),$B10="60% AMI",NOT($M10="Common")),AND($C10=2,NOT($J10=""),NOT($J10=0),NOT($J10="PHA Oper Sub"),$B10="HOME 60% AMI",NOT($M10="Common"))),$E10,"")</f>
        <v/>
      </c>
      <c r="BC10" s="567" t="str">
        <f>IF(OR(AND($C10=3,NOT($J10=""),NOT($J10=0),NOT($J10="PHA Oper Sub"),$B10="60% AMI",NOT($M10="Common")),AND($C10=3,NOT($J10=""),NOT($J10=0),NOT($J10="PHA Oper Sub"),$B10="HOME 60% AMI",NOT($M10="Common"))),$E10,"")</f>
        <v/>
      </c>
      <c r="BD10" s="567" t="str">
        <f>IF(OR(AND($C10=4,NOT($J10=""),NOT($J10=0),NOT($J10="PHA Oper Sub"),$B10="60% AMI",NOT($M10="Common")),AND($C10=4,NOT($J10=""),NOT($J10=0),NOT($J10="PHA Oper Sub"),$B10="HOME 60% AMI",NOT($M10="Common"))),$E10,"")</f>
        <v/>
      </c>
      <c r="BE10" s="567" t="str">
        <f>IF(OR(AND($C10="Efficiency",$J10="PHA Oper Sub",$B10="30% AMI",NOT($M10="Common")),AND($C10="Efficiency",$J10="PHA Oper Sub",$B10="HOME 30% AMI",NOT($M10="Common"))),$E10,"")</f>
        <v/>
      </c>
      <c r="BF10" s="567" t="str">
        <f>IF(OR(AND($C10=1,$J10="PHA Oper Sub",$B10="30% AMI",NOT($M10="Common")),AND($C10=1,$J10="PHA Oper Sub",$B10="HOME 30% AMI",NOT($M10="Common"))),$E10,"")</f>
        <v/>
      </c>
      <c r="BG10" s="567" t="str">
        <f>IF(OR(AND($C10=2,$J10="PHA Oper Sub",$B10="30% AMI",NOT($M10="Common")),AND($C10=2,$J10="PHA Oper Sub",$B10="HOME 30% AMI",NOT($M10="Common"))),$E10,"")</f>
        <v/>
      </c>
      <c r="BH10" s="567" t="str">
        <f>IF(OR(AND($C10=3,$J10="PHA Oper Sub",$B10="30% AMI",NOT($M10="Common")),AND($C10=3,$J10="PHA Oper Sub",$B10="HOME 30% AMI",NOT($M10="Common"))),$E10,"")</f>
        <v/>
      </c>
      <c r="BI10" s="567" t="str">
        <f>IF(OR(AND($C10=4,$J10="PHA Oper Sub",$B10="30% AMI",NOT($M10="Common")),AND($C10=4,$J10="PHA Oper Sub",$B10="HOME 30% AMI",NOT($M10="Common"))),$E10,"")</f>
        <v/>
      </c>
      <c r="BJ10" s="567" t="str">
        <f>IF(OR(AND($C10="Efficiency",$J10="PHA Oper Sub",$B10="50% AMI",NOT($M10="Common")),AND($C10="Efficiency",$J10="PHA Oper Sub",$B10="HOME 50% AMI",NOT($M10="Common"))),$E10,"")</f>
        <v/>
      </c>
      <c r="BK10" s="567" t="str">
        <f>IF(OR(AND($C10=1,$J10="PHA Oper Sub",$B10="50% AMI",NOT($M10="Common")),AND($C10=1,$J10="PHA Oper Sub",$B10="HOME 50% AMI",NOT($M10="Common"))),$E10,"")</f>
        <v/>
      </c>
      <c r="BL10" s="567" t="str">
        <f>IF(OR(AND($C10=2,$J10="PHA Oper Sub",$B10="50% AMI",NOT($M10="Common")),AND($C10=2,$J10="PHA Oper Sub",$B10="HOME 50% AMI",NOT($M10="Common"))),$E10,"")</f>
        <v/>
      </c>
      <c r="BM10" s="567" t="str">
        <f>IF(OR(AND($C10=3,$J10="PHA Oper Sub",$B10="50% AMI",NOT($M10="Common")),AND($C10=3,$J10="PHA Oper Sub",$B10="HOME 50% AMI",NOT($M10="Common"))),$E10,"")</f>
        <v/>
      </c>
      <c r="BN10" s="567" t="str">
        <f>IF(OR(AND($C10=4,$J10="PHA Oper Sub",$B10="50% AMI",NOT($M10="Common")),AND($C10=4,$J10="PHA Oper Sub",$B10="HOME 50% AMI",NOT($M10="Common"))),$E10,"")</f>
        <v/>
      </c>
      <c r="BO10" s="567" t="str">
        <f>IF(OR(AND($C10="Efficiency",$J10="PHA Oper Sub",$B10="60% AMI",NOT($M10="Common")),AND($C10="Efficiency",$J10="PHA Oper Sub",$B10="HOME 60% AMI",NOT($M10="Common"))),$E10,"")</f>
        <v/>
      </c>
      <c r="BP10" s="567" t="str">
        <f>IF(OR(AND($C10=1,$J10="PHA Oper Sub",$B10="60% AMI",NOT($M10="Common")),AND($C10=1,$J10="PHA Oper Sub",$B10="HOME 60% AMI",NOT($M10="Common"))),$E10,"")</f>
        <v/>
      </c>
      <c r="BQ10" s="567" t="str">
        <f>IF(OR(AND($C10=2,$J10="PHA Oper Sub",$B10="60% AMI",NOT($M10="Common")),AND($C10=2,$J10="PHA Oper Sub",$B10="HOME 60% AMI",NOT($M10="Common"))),$E10,"")</f>
        <v/>
      </c>
      <c r="BR10" s="567" t="str">
        <f>IF(OR(AND($C10=3,$J10="PHA Oper Sub",$B10="60% AMI",NOT($M10="Common")),AND($C10=3,$J10="PHA Oper Sub",$B10="HOME 60% AMI",NOT($M10="Common"))),$E10,"")</f>
        <v/>
      </c>
      <c r="BS10" s="567" t="str">
        <f>IF(OR(AND($C10=4,$J10="PHA Oper Sub",$B10="60% AMI",NOT($M10="Common")),AND($C10=4,$J10="PHA Oper Sub",$B10="HOME 60% AMI",NOT($M10="Common"))),$E10,"")</f>
        <v/>
      </c>
      <c r="BT10" s="567" t="str">
        <f t="shared" ref="BT10:BT47" si="21">IF(AND(C10="Efficiency",M10="Common"),E10,"")</f>
        <v/>
      </c>
      <c r="BU10" s="567" t="str">
        <f t="shared" ref="BU10:BU47" si="22">IF(AND(C10=1,M10="Common"),E10,"")</f>
        <v/>
      </c>
      <c r="BV10" s="567" t="str">
        <f t="shared" ref="BV10:BV47" si="23">IF(AND(C10=2,M10="Common"),E10,"")</f>
        <v/>
      </c>
      <c r="BW10" s="567" t="str">
        <f t="shared" ref="BW10:BW47" si="24">IF(AND(C10=3,M10="Common"),E10,"")</f>
        <v/>
      </c>
      <c r="BX10" s="567" t="str">
        <f t="shared" ref="BX10:BX47" si="25">IF(AND(C10=4,M10="Common"),E10,"")</f>
        <v/>
      </c>
      <c r="BY10" s="567" t="str">
        <f t="shared" ref="BY10:BY47" si="26">IF(OR(AND(C10="Efficiency",B10="60% AMI",NOT(M10="Common")),AND(C10="Efficiency",B10="HOME 60% AMI",NOT(M10="Common"))),E10*F10,"")</f>
        <v/>
      </c>
      <c r="BZ10" s="567" t="str">
        <f t="shared" ref="BZ10:BZ47" si="27">IF(OR(AND(C10=1,B10="60% AMI",NOT(M10="Common")),AND(C10=1,B10="HOME 60% AMI",NOT(M10="Common"))),E10*F10,"")</f>
        <v/>
      </c>
      <c r="CA10" s="567" t="str">
        <f t="shared" ref="CA10:CA47" si="28">IF(OR(AND(C10=2,B10="60% AMI",NOT(M10="Common")),AND(C10=2,B10="HOME 60% AMI",NOT(M10="Common"))),E10*F10,"")</f>
        <v/>
      </c>
      <c r="CB10" s="567" t="str">
        <f t="shared" ref="CB10:CB47" si="29">IF(OR(AND(C10=3,B10="60% AMI",NOT(M10="Common")),AND(C10=3,B10="HOME 60% AMI",NOT(M10="Common"))),E10*F10,"")</f>
        <v/>
      </c>
      <c r="CC10" s="567" t="str">
        <f t="shared" ref="CC10:CC47" si="30">IF(OR(AND(C10=4,B10="60% AMI",NOT(M10="Common")),AND(C10=4,B10="HOME 60% AMI",NOT(M10="Common"))),E10*F10,"")</f>
        <v/>
      </c>
      <c r="CD10" s="567" t="str">
        <f t="shared" ref="CD10:CD47" si="31">IF(OR(AND(C10="Efficiency",B10="50% AMI",NOT(M10="Common")),AND(C10="Efficiency",B10="HOME 50% AMI",NOT(M10="Common"))),E10*F10,"")</f>
        <v/>
      </c>
      <c r="CE10" s="567">
        <f t="shared" ref="CE10:CE47" si="32">IF(OR(AND(C10=1,B10="50% AMI",NOT(M10="Common")),AND(C10=1,B10="HOME 50% AMI",NOT(M10="Common"))),E10*F10,"")</f>
        <v>8450</v>
      </c>
      <c r="CF10" s="567" t="str">
        <f t="shared" ref="CF10:CF47" si="33">IF(OR(AND(C10=2,B10="50% AMI",NOT(M10="Common")),AND(C10=2,B10="HOME 50% AMI",NOT(M10="Common"))),E10*F10,"")</f>
        <v/>
      </c>
      <c r="CG10" s="567" t="str">
        <f t="shared" ref="CG10:CG47" si="34">IF(OR(AND(C10=3,B10="50% AMI",NOT(M10="Common")),AND(C10=3,B10="HOME 50% AMI",NOT(M10="Common"))),E10*F10,"")</f>
        <v/>
      </c>
      <c r="CH10" s="567" t="str">
        <f t="shared" ref="CH10:CH47" si="35">IF(OR(AND(C10=4,B10="50% AMI",NOT(M10="Common")),AND(C10=4,B10="HOME 50% AMI",NOT(M10="Common"))),E10*F10,"")</f>
        <v/>
      </c>
      <c r="CI10" s="567" t="str">
        <f t="shared" ref="CI10:CI47" si="36">IF(OR(AND(C10="Efficiency",B10="30% AMI",NOT(M10="Common")),AND(C10="Efficiency",B10="HOME 30% AMI",NOT(M10="Common"))),E10*F10,"")</f>
        <v/>
      </c>
      <c r="CJ10" s="567" t="str">
        <f t="shared" ref="CJ10:CJ47" si="37">IF(OR(AND(C10=1,B10="30% AMI",NOT(M10="Common")),AND(C10=1,B10="HOME 30% AMI",NOT(M10="Common"))),E10*F10,"")</f>
        <v/>
      </c>
      <c r="CK10" s="567" t="str">
        <f t="shared" ref="CK10:CK47" si="38">IF(OR(AND(C10=2,B10="30% AMI",NOT(M10="Common")),AND(C10=2,B10="HOME 30% AMI",NOT(M10="Common"))),E10*F10,"")</f>
        <v/>
      </c>
      <c r="CL10" s="567" t="str">
        <f t="shared" ref="CL10:CL47" si="39">IF(OR(AND(C10=3,B10="30% AMI",NOT(M10="Common")),AND(C10=3,B10="HOME 30% AMI",NOT(M10="Common"))),E10*F10,"")</f>
        <v/>
      </c>
      <c r="CM10" s="567" t="str">
        <f t="shared" ref="CM10:CM47" si="40">IF(OR(AND(C10=4,B10="30% AMI",NOT(M10="Common")),AND(C10=4,B10="HOME 30% AMI",NOT(M10="Common"))),E10*F10,"")</f>
        <v/>
      </c>
      <c r="CN10" s="567" t="str">
        <f t="shared" ref="CN10:CN47" si="41">IF(AND(C10="Efficiency",B10="Unrestricted",NOT(M10="Common")),E10*F10,"")</f>
        <v/>
      </c>
      <c r="CO10" s="567" t="str">
        <f t="shared" ref="CO10:CO47" si="42">IF(AND(C10=1,B10="Unrestricted",NOT(M10="Common")),E10*F10,"")</f>
        <v/>
      </c>
      <c r="CP10" s="567" t="str">
        <f t="shared" ref="CP10:CP47" si="43">IF(AND(C10=2,B10="Unrestricted",NOT(M10="Common")),E10*F10,"")</f>
        <v/>
      </c>
      <c r="CQ10" s="567" t="str">
        <f t="shared" ref="CQ10:CQ47" si="44">IF(AND(C10=3,B10="Unrestricted",NOT(M10="Common")),E10*F10,"")</f>
        <v/>
      </c>
      <c r="CR10" s="567" t="str">
        <f t="shared" ref="CR10:CR47" si="45">IF(AND(C10=4,B10="Unrestricted",NOT(M10="Common")),E10*F10,"")</f>
        <v/>
      </c>
      <c r="CS10" s="567" t="str">
        <f t="shared" ref="CS10:CS47" si="46">IF(AND(C10="Efficiency",NOT(J10=""),NOT($J10=0),NOT(M10="Common")),E10*F10,"")</f>
        <v/>
      </c>
      <c r="CT10" s="567" t="str">
        <f t="shared" ref="CT10:CT47" si="47">IF(AND(C10=1,NOT(J10=""),NOT($J10=0),NOT(M10="Common")),E10*F10,"")</f>
        <v/>
      </c>
      <c r="CU10" s="567" t="str">
        <f t="shared" ref="CU10:CU47" si="48">IF(AND(C10=2,NOT(J10=""),NOT($J10=0),NOT(M10="Common")),E10*F10,"")</f>
        <v/>
      </c>
      <c r="CV10" s="567" t="str">
        <f t="shared" ref="CV10:CV47" si="49">IF(AND(C10=3,NOT(J10=""),NOT($J10=0),NOT(M10="Common")),E10*F10,"")</f>
        <v/>
      </c>
      <c r="CW10" s="567" t="str">
        <f t="shared" ref="CW10:CW47" si="50">IF(AND(C10=4,NOT(J10=""),NOT($J10=0),NOT(M10="Common")),E10*F10,"")</f>
        <v/>
      </c>
      <c r="CX10" s="567" t="str">
        <f t="shared" ref="CX10:CX47" si="51">IF(AND(C10="Efficiency",M10="Common"),E10*F10,"")</f>
        <v/>
      </c>
      <c r="CY10" s="567" t="str">
        <f t="shared" ref="CY10:CY47" si="52">IF(AND(C10=1,M10="Common"),E10*F10,"")</f>
        <v/>
      </c>
      <c r="CZ10" s="567" t="str">
        <f t="shared" ref="CZ10:CZ47" si="53">IF(AND(C10=2,M10="Common"),E10*F10,"")</f>
        <v/>
      </c>
      <c r="DA10" s="567" t="str">
        <f t="shared" ref="DA10:DA47" si="54">IF(AND(C10=3,M10="Common"),E10*F10,"")</f>
        <v/>
      </c>
      <c r="DB10" s="567" t="str">
        <f t="shared" ref="DB10:DB47" si="55">IF(AND(C10=4,M10="Common"),E10*F10,"")</f>
        <v/>
      </c>
      <c r="DC10" s="567" t="str">
        <f t="shared" ref="DC10:DC47" si="56">IF(AND($C10="Efficiency", $O10="New Construction",NOT($B10="Unrestricted"),NOT($B10="NSP 120% AMI"),NOT($B10="N/A-CS"),NOT($M10="Common")),$E10,"")</f>
        <v/>
      </c>
      <c r="DD10" s="567">
        <f t="shared" ref="DD10:DD47" si="57">IF(AND($C10=1, $O10="New Construction",NOT($B10="Unrestricted"),NOT($B10="NSP 120% AMI"),NOT($B10="N/A-CS"),NOT($M10="Common")),$E10,"")</f>
        <v>13</v>
      </c>
      <c r="DE10" s="567" t="str">
        <f t="shared" ref="DE10:DE47" si="58">IF(AND($C10=2, $O10="New Construction",NOT($B10="Unrestricted"),NOT($B10="NSP 120% AMI"),NOT($B10="N/A-CS"),NOT($M10="Common")),$E10,"")</f>
        <v/>
      </c>
      <c r="DF10" s="567" t="str">
        <f t="shared" ref="DF10:DF47" si="59">IF(AND($C10=3, $O10="New Construction",NOT($B10="Unrestricted"),NOT($B10="NSP 120% AMI"),NOT($B10="N/A-CS"),NOT($M10="Common")),$E10,"")</f>
        <v/>
      </c>
      <c r="DG10" s="567" t="str">
        <f t="shared" ref="DG10:DG47" si="60">IF(AND($C10=4, $O10="New Construction",NOT($B10="Unrestricted"),NOT($B10="NSP 120% AMI"),NOT($B10="N/A-CS"),NOT($M10="Common")),$E10,"")</f>
        <v/>
      </c>
      <c r="DH10" s="567" t="str">
        <f t="shared" ref="DH10:DH47" si="61">IF(AND($C10="Efficiency", $O10="New Construction",$B10="Unrestricted",NOT($B10="N/A-CS"),NOT($M10="Common")),$E10,"")</f>
        <v/>
      </c>
      <c r="DI10" s="567" t="str">
        <f t="shared" ref="DI10:DI47" si="62">IF(AND($C10=1, $O10="New Construction",$B10="Unrestricted",NOT($B10="N/A-CS"),NOT($M10="Common")),$E10,"")</f>
        <v/>
      </c>
      <c r="DJ10" s="567" t="str">
        <f t="shared" ref="DJ10:DJ47" si="63">IF(AND($C10=2, $O10="New Construction",$B10="Unrestricted",NOT($B10="N/A-CS"),NOT($M10="Common")),$E10,"")</f>
        <v/>
      </c>
      <c r="DK10" s="567" t="str">
        <f t="shared" ref="DK10:DK47" si="64">IF(AND($C10=3, $O10="New Construction",$B10="Unrestricted",NOT($B10="N/A-CS"),NOT($M10="Common")),$E10,"")</f>
        <v/>
      </c>
      <c r="DL10" s="567" t="str">
        <f t="shared" ref="DL10:DL47" si="65">IF(AND($C10=4, $O10="New Construction",$B10="Unrestricted",NOT($B10="N/A-CS"),NOT($M10="Common")),$E10,"")</f>
        <v/>
      </c>
      <c r="DM10" s="567" t="str">
        <f t="shared" ref="DM10:DM47" si="66">IF(AND($C10="Efficiency", $O10="New Construction",$B10="N/A-CS",$M10="Common"),$E10,"")</f>
        <v/>
      </c>
      <c r="DN10" s="567" t="str">
        <f t="shared" ref="DN10:DN47" si="67">IF(AND($C10=1, $O10="New Construction",$B10="N/A-CS",$M10="Common"),$E10,"")</f>
        <v/>
      </c>
      <c r="DO10" s="567" t="str">
        <f t="shared" ref="DO10:DO47" si="68">IF(AND($C10=2, $O10="New Construction",$B10="N/A-CS",$M10="Common"),$E10,"")</f>
        <v/>
      </c>
      <c r="DP10" s="567" t="str">
        <f t="shared" ref="DP10:DP47" si="69">IF(AND($C10=3, $O10="New Construction",$B10="N/A-CS",$M10="Common"),$E10,"")</f>
        <v/>
      </c>
      <c r="DQ10" s="567" t="str">
        <f t="shared" ref="DQ10:DQ47" si="70">IF(AND($C10=4, $O10="New Construction",$B10="N/A-CS",$M10="Common"),$E10,"")</f>
        <v/>
      </c>
      <c r="DR10" s="567" t="str">
        <f t="shared" ref="DR10:DR47" si="71">IF(AND($C10="Efficiency", $O10="Acquisition/Rehab",NOT($B10="Unrestricted"),NOT($B10="NSP 120% AMI"),NOT($B10="N/A-CS"),NOT($M10="Common")),$E10,"")</f>
        <v/>
      </c>
      <c r="DS10" s="567" t="str">
        <f t="shared" ref="DS10:DS47" si="72">IF(AND($C10=1, $O10="Acquisition/Rehab",NOT($B10="Unrestricted"),NOT($B10="NSP 120% AMI"),NOT($B10="N/A-CS"),NOT($M10="Common")),$E10,"")</f>
        <v/>
      </c>
      <c r="DT10" s="567" t="str">
        <f t="shared" ref="DT10:DT47" si="73">IF(AND($C10=2, $O10="Acquisition/Rehab",NOT($B10="Unrestricted"),NOT($B10="NSP 120% AMI"),NOT($B10="N/A-CS"),NOT($M10="Common")),$E10,"")</f>
        <v/>
      </c>
      <c r="DU10" s="567" t="str">
        <f t="shared" ref="DU10:DU47" si="74">IF(AND($C10=3, $O10="Acquisition/Rehab",NOT($B10="Unrestricted"),NOT($B10="NSP 120% AMI"),NOT($B10="N/A-CS"),NOT($M10="Common")),$E10,"")</f>
        <v/>
      </c>
      <c r="DV10" s="567" t="str">
        <f t="shared" ref="DV10:DV47" si="75">IF(AND($C10=4, $O10="Acquisition/Rehab",NOT($B10="Unrestricted"),NOT($B10="NSP 120% AMI"),NOT($B10="N/A-CS"),NOT($M10="Common")),$E10,"")</f>
        <v/>
      </c>
      <c r="DW10" s="567" t="str">
        <f t="shared" ref="DW10:DW47" si="76">IF(AND($C10="Efficiency", $O10="Acquisition/Rehab",$B10="Unrestricted",NOT($B10="N/A-CS"),NOT($M10="Common")),$E10,"")</f>
        <v/>
      </c>
      <c r="DX10" s="567" t="str">
        <f t="shared" ref="DX10:DX47" si="77">IF(AND($C10=1, $O10="Acquisition/Rehab",$B10="Unrestricted",NOT($B10="N/A-CS"),NOT($M10="Common")),$E10,"")</f>
        <v/>
      </c>
      <c r="DY10" s="567" t="str">
        <f t="shared" ref="DY10:DY47" si="78">IF(AND($C10=2, $O10="Acquisition/Rehab",$B10="Unrestricted",NOT($B10="N/A-CS"),NOT($M10="Common")),$E10,"")</f>
        <v/>
      </c>
      <c r="DZ10" s="567" t="str">
        <f t="shared" ref="DZ10:DZ47" si="79">IF(AND($C10=3, $O10="Acquisition/Rehab",$B10="Unrestricted",NOT($B10="N/A-CS"),NOT($M10="Common")),$E10,"")</f>
        <v/>
      </c>
      <c r="EA10" s="567" t="str">
        <f t="shared" ref="EA10:EA47" si="80">IF(AND($C10=4, $O10="Acquisition/Rehab",$B10="Unrestricted",NOT($B10="N/A-CS"),NOT($M10="Common")),$E10,"")</f>
        <v/>
      </c>
      <c r="EB10" s="567" t="str">
        <f t="shared" ref="EB10:EB47" si="81">IF(AND($C10="Efficiency", $O10="Acquisition/Rehab",$B10="N/A-CS",$M10="Common"),$E10,"")</f>
        <v/>
      </c>
      <c r="EC10" s="567" t="str">
        <f t="shared" ref="EC10:EC47" si="82">IF(AND($C10=1, $O10="Acquisition/Rehab",$B10="N/A-CS",$M10="Common"),$E10,"")</f>
        <v/>
      </c>
      <c r="ED10" s="567" t="str">
        <f t="shared" ref="ED10:ED47" si="83">IF(AND($C10=2, $O10="Acquisition/Rehab",$B10="N/A-CS",$M10="Common"),$E10,"")</f>
        <v/>
      </c>
      <c r="EE10" s="567" t="str">
        <f t="shared" ref="EE10:EE47" si="84">IF(AND($C10=3, $O10="Acquisition/Rehab",$B10="N/A-CS",$M10="Common"),$E10,"")</f>
        <v/>
      </c>
      <c r="EF10" s="567" t="str">
        <f t="shared" ref="EF10:EF47" si="85">IF(AND($C10=4, $O10="Acquisition/Rehab",$B10="N/A-CS",$M10="Common"),$E10,"")</f>
        <v/>
      </c>
      <c r="EG10" s="567" t="str">
        <f t="shared" ref="EG10:EG47" si="86">IF(AND($C10="Efficiency", $O10="Rehabilitation",NOT($B10="Unrestricted"),NOT($B10="NSP 120% AMI"),NOT($B10="N/A-CS"),NOT($M10="Common")),$E10,"")</f>
        <v/>
      </c>
      <c r="EH10" s="567" t="str">
        <f t="shared" ref="EH10:EH47" si="87">IF(AND($C10=1, $O10="Rehabilitation",NOT($B10="Unrestricted"),NOT($B10="NSP 120% AMI"),NOT($B10="N/A-CS"),NOT($M10="Common")),$E10,"")</f>
        <v/>
      </c>
      <c r="EI10" s="567" t="str">
        <f t="shared" ref="EI10:EI47" si="88">IF(AND($C10=2, $O10="Rehabilitation",NOT($B10="Unrestricted"),NOT($B10="NSP 120% AMI"),NOT($B10="N/A-CS"),NOT($M10="Common")),$E10,"")</f>
        <v/>
      </c>
      <c r="EJ10" s="567" t="str">
        <f t="shared" ref="EJ10:EJ47" si="89">IF(AND($C10=3, $O10="Rehabilitation",NOT($B10="Unrestricted"),NOT($B10="NSP 120% AMI"),NOT($B10="N/A-CS"),NOT($M10="Common")),$E10,"")</f>
        <v/>
      </c>
      <c r="EK10" s="567" t="str">
        <f t="shared" ref="EK10:EK47" si="90">IF(AND($C10=4, $O10="Rehabilitation",NOT($B10="Unrestricted"),NOT($B10="NSP 120% AMI"),NOT($B10="N/A-CS"),NOT($M10="Common")),$E10,"")</f>
        <v/>
      </c>
      <c r="EL10" s="567" t="str">
        <f t="shared" ref="EL10:EL47" si="91">IF(AND($C10="Efficiency", $O10="Rehabilitation",$B10="Unrestricted",NOT($B10="N/A-CS"),NOT($M10="Common")),$E10,"")</f>
        <v/>
      </c>
      <c r="EM10" s="567" t="str">
        <f t="shared" ref="EM10:EM47" si="92">IF(AND($C10=1, $O10="Rehabilitation",$B10="Unrestricted",NOT($B10="N/A-CS"),NOT($M10="Common")),$E10,"")</f>
        <v/>
      </c>
      <c r="EN10" s="567" t="str">
        <f t="shared" ref="EN10:EN47" si="93">IF(AND($C10=2, $O10="Rehabilitation",$B10="Unrestricted",NOT($B10="N/A-CS"),NOT($M10="Common")),$E10,"")</f>
        <v/>
      </c>
      <c r="EO10" s="567" t="str">
        <f t="shared" ref="EO10:EO47" si="94">IF(AND($C10=3, $O10="Rehabilitation",$B10="Unrestricted",NOT($B10="N/A-CS"),NOT($M10="Common")),$E10,"")</f>
        <v/>
      </c>
      <c r="EP10" s="567" t="str">
        <f t="shared" ref="EP10:EP47" si="95">IF(AND($C10=4, $O10="Rehabilitation",$B10="Unrestricted",NOT($B10="N/A-CS"),NOT($M10="Common")),$E10,"")</f>
        <v/>
      </c>
      <c r="EQ10" s="567" t="str">
        <f t="shared" ref="EQ10:EQ47" si="96">IF(AND($C10="Efficiency", $O10="Rehabilitation",$B10="N/A-CS",$M10="Common"),$E10,"")</f>
        <v/>
      </c>
      <c r="ER10" s="567" t="str">
        <f t="shared" ref="ER10:ER47" si="97">IF(AND($C10=1, $O10="Rehabilitation",$B10="N/A-CS",$M10="Common"),$E10,"")</f>
        <v/>
      </c>
      <c r="ES10" s="567" t="str">
        <f t="shared" ref="ES10:ES47" si="98">IF(AND($C10=2, $O10="Rehabilitation",$B10="N/A-CS",$M10="Common"),$E10,"")</f>
        <v/>
      </c>
      <c r="ET10" s="567" t="str">
        <f t="shared" ref="ET10:ET47" si="99">IF(AND($C10=3, $O10="Rehabilitation",$B10="N/A-CS",$M10="Common"),$E10,"")</f>
        <v/>
      </c>
      <c r="EU10" s="567" t="str">
        <f t="shared" ref="EU10:EU47" si="100">IF(AND($C10=4, $O10="Rehabilitation",$B10="N/A-CS",$M10="Common"),$E10,"")</f>
        <v/>
      </c>
      <c r="EV10" s="577" t="str">
        <f t="shared" ref="EV10:EV47" si="101">IF(AND($C10="Efficiency", NOT(OR($N10="SF Detached",$N10="Mfd Home",$N10="Duplex",$N10="Townhome"))),$E10,"")</f>
        <v/>
      </c>
      <c r="EW10" s="577">
        <f t="shared" ref="EW10:EW47" si="102">IF(AND($C10=1, NOT(OR($N10="SF Detached",$N10="Mfd Home",$N10="Duplex",$N10="Townhome"))),$E10,"")</f>
        <v>13</v>
      </c>
      <c r="EX10" s="577" t="str">
        <f t="shared" ref="EX10:EX47" si="103">IF(AND($C10=2, NOT(OR($N10="SF Detached",$N10="Mfd Home",$N10="Duplex",$N10="Townhome"))),$E10,"")</f>
        <v/>
      </c>
      <c r="EY10" s="577" t="str">
        <f t="shared" ref="EY10:EY47" si="104">IF(AND($C10=3, NOT(OR($N10="SF Detached",$N10="Mfd Home",$N10="Duplex",$N10="Townhome"))),$E10,"")</f>
        <v/>
      </c>
      <c r="EZ10" s="577" t="str">
        <f t="shared" ref="EZ10:EZ47" si="105">IF(AND($C10=4, NOT(OR($N10="SF Detached",$N10="Mfd Home",$N10="Duplex",$N10="Townhome"))),$E10,"")</f>
        <v/>
      </c>
      <c r="FA10" s="577" t="str">
        <f t="shared" ref="FA10:FA47" si="106">IF(AND($C10="Efficiency", $N10="SF Detached"),$E10,"")</f>
        <v/>
      </c>
      <c r="FB10" s="577" t="str">
        <f t="shared" ref="FB10:FB47" si="107">IF(AND($C10=1, $N10="SF Detached"),$E10,"")</f>
        <v/>
      </c>
      <c r="FC10" s="577" t="str">
        <f t="shared" ref="FC10:FC47" si="108">IF(AND($C10=2, $N10="SF Detached"),$E10,"")</f>
        <v/>
      </c>
      <c r="FD10" s="577" t="str">
        <f t="shared" ref="FD10:FD47" si="109">IF(AND($C10=3, $N10="SF Detached"),$E10,"")</f>
        <v/>
      </c>
      <c r="FE10" s="577" t="str">
        <f t="shared" ref="FE10:FE47" si="110">IF(AND($C10=4, $N10="SF Detached"),$E10,"")</f>
        <v/>
      </c>
      <c r="FF10" s="577" t="str">
        <f t="shared" ref="FF10:FF47" si="111">IF(AND($C10="Efficiency", $N10="MH"),$E10,"")</f>
        <v/>
      </c>
      <c r="FG10" s="577" t="str">
        <f t="shared" ref="FG10:FG47" si="112">IF(AND($C10=1, $N10="MH"),$E10,"")</f>
        <v/>
      </c>
      <c r="FH10" s="577" t="str">
        <f t="shared" ref="FH10:FH47" si="113">IF(AND($C10=2, $N10="MH"),$E10,"")</f>
        <v/>
      </c>
      <c r="FI10" s="577" t="str">
        <f t="shared" ref="FI10:FI47" si="114">IF(AND($C10=3, $N10="MH"),$E10,"")</f>
        <v/>
      </c>
      <c r="FJ10" s="577" t="str">
        <f t="shared" ref="FJ10:FJ47" si="115">IF(AND($C10=4, $N10="MH"),$E10,"")</f>
        <v/>
      </c>
      <c r="FK10" s="577" t="str">
        <f t="shared" ref="FK10:FK47" si="116">IF(AND($C10="Efficiency", $N10="Duplex"),$E10,"")</f>
        <v/>
      </c>
      <c r="FL10" s="577" t="str">
        <f t="shared" ref="FL10:FL47" si="117">IF(AND($C10=1, $N10="Duplex"),$E10,"")</f>
        <v/>
      </c>
      <c r="FM10" s="577" t="str">
        <f t="shared" ref="FM10:FM47" si="118">IF(AND($C10=2, $N10="Duplex"),$E10,"")</f>
        <v/>
      </c>
      <c r="FN10" s="577" t="str">
        <f t="shared" ref="FN10:FN47" si="119">IF(AND($C10=3, $N10="Duplex"),$E10,"")</f>
        <v/>
      </c>
      <c r="FO10" s="577" t="str">
        <f t="shared" ref="FO10:FO47" si="120">IF(AND($C10=4, $N10="Duplex"),$E10,"")</f>
        <v/>
      </c>
      <c r="FP10" s="577" t="str">
        <f t="shared" ref="FP10:FP47" si="121">IF(AND($C10="Efficiency", $N10="Townhome"),$E10,"")</f>
        <v/>
      </c>
      <c r="FQ10" s="577" t="str">
        <f t="shared" ref="FQ10:FQ47" si="122">IF(AND($C10=1, $N10="Townhome"),$E10,"")</f>
        <v/>
      </c>
      <c r="FR10" s="577" t="str">
        <f t="shared" ref="FR10:FR47" si="123">IF(AND($C10=2, $N10="Townhome"),$E10,"")</f>
        <v/>
      </c>
      <c r="FS10" s="577" t="str">
        <f t="shared" ref="FS10:FS47" si="124">IF(AND($C10=3, $N10="Townhome"),$E10,"")</f>
        <v/>
      </c>
      <c r="FT10" s="577" t="str">
        <f t="shared" ref="FT10:FT47" si="125">IF(AND($C10=4, $N10="Townhome"),$E10,"")</f>
        <v/>
      </c>
      <c r="FU10" s="577" t="str">
        <f t="shared" ref="FU10:FU47" si="126">IF(AND($C10="Efficiency", $N10="1-Story"),$E10,"")</f>
        <v/>
      </c>
      <c r="FV10" s="577" t="str">
        <f t="shared" ref="FV10:FV47" si="127">IF(AND($C10=1, $N10="1-Story"),$E10,"")</f>
        <v/>
      </c>
      <c r="FW10" s="577" t="str">
        <f t="shared" ref="FW10:FW47" si="128">IF(AND($C10=2, $N10="1-Story"),$E10,"")</f>
        <v/>
      </c>
      <c r="FX10" s="577" t="str">
        <f t="shared" ref="FX10:FX47" si="129">IF(AND($C10=3, $N10="1-Story"),$E10,"")</f>
        <v/>
      </c>
      <c r="FY10" s="577" t="str">
        <f t="shared" ref="FY10:FY47" si="130">IF(AND($C10=4, $N10="1-Story"),$E10,"")</f>
        <v/>
      </c>
      <c r="FZ10" s="577" t="str">
        <f t="shared" ref="FZ10:FZ47" si="131">IF(AND($C10="Efficiency", $N10="2-Story"),$E10,"")</f>
        <v/>
      </c>
      <c r="GA10" s="577" t="str">
        <f t="shared" ref="GA10:GA47" si="132">IF(AND($C10=1, $N10="2-Story"),$E10,"")</f>
        <v/>
      </c>
      <c r="GB10" s="577" t="str">
        <f t="shared" ref="GB10:GB47" si="133">IF(AND($C10=2, $N10="2-Story"),$E10,"")</f>
        <v/>
      </c>
      <c r="GC10" s="577" t="str">
        <f t="shared" ref="GC10:GC47" si="134">IF(AND($C10=3, $N10="2-Story"),$E10,"")</f>
        <v/>
      </c>
      <c r="GD10" s="577" t="str">
        <f t="shared" ref="GD10:GD47" si="135">IF(AND($C10=4, $N10="2-Story"),$E10,"")</f>
        <v/>
      </c>
      <c r="GE10" s="577" t="str">
        <f t="shared" ref="GE10:GE47" si="136">IF(AND($C10="Efficiency", $N10="2-Story Walkup"),$E10,"")</f>
        <v/>
      </c>
      <c r="GF10" s="577" t="str">
        <f t="shared" ref="GF10:GF47" si="137">IF(AND($C10=1, $N10="2-Story Walkup"),$E10,"")</f>
        <v/>
      </c>
      <c r="GG10" s="577" t="str">
        <f t="shared" ref="GG10:GG47" si="138">IF(AND($C10=2, $N10="2-Story Walkup"),$E10,"")</f>
        <v/>
      </c>
      <c r="GH10" s="577" t="str">
        <f t="shared" ref="GH10:GH47" si="139">IF(AND($C10=3, $N10="2-Story Walkup"),$E10,"")</f>
        <v/>
      </c>
      <c r="GI10" s="577" t="str">
        <f t="shared" ref="GI10:GI47" si="140">IF(AND($C10=4, $N10="2-Story Walkup"),$E10,"")</f>
        <v/>
      </c>
      <c r="GJ10" s="577" t="str">
        <f t="shared" ref="GJ10:GJ47" si="141">IF(AND($C10="Efficiency", $N10="3+ Story"),$E10,"")</f>
        <v/>
      </c>
      <c r="GK10" s="577">
        <f t="shared" ref="GK10:GK47" si="142">IF(AND($C10=1, $N10="3+ Story"),$E10,"")</f>
        <v>13</v>
      </c>
      <c r="GL10" s="577" t="str">
        <f t="shared" ref="GL10:GL47" si="143">IF(AND($C10=2, $N10="3+ Story"),$E10,"")</f>
        <v/>
      </c>
      <c r="GM10" s="577" t="str">
        <f t="shared" ref="GM10:GM47" si="144">IF(AND($C10=3, $N10="3+ Story"),$E10,"")</f>
        <v/>
      </c>
      <c r="GN10" s="577" t="str">
        <f t="shared" ref="GN10:GN47" si="145">IF(AND($C10=4, $N10="3+ Story"),$E10,"")</f>
        <v/>
      </c>
      <c r="GO10" s="578" t="str">
        <f t="shared" ref="GO10:GO47" si="146">IF(AND($B10="NSP 120% AMI",$C10="Efficiency", NOT($M10="Common")),$E10,"")</f>
        <v/>
      </c>
      <c r="GP10" s="578" t="str">
        <f t="shared" ref="GP10:GP47" si="147">IF(AND($B10="NSP 120% AMI",$C10=1,NOT($M10="Common")),$E10,"")</f>
        <v/>
      </c>
      <c r="GQ10" s="578" t="str">
        <f t="shared" ref="GQ10:GQ47" si="148">IF(AND($B10="NSP 120% AMI",$C10=2,NOT($M10="Common")),$E10,"")</f>
        <v/>
      </c>
      <c r="GR10" s="578" t="str">
        <f t="shared" ref="GR10:GR47" si="149">IF(AND($B10="NSP 120% AMI",$C10=3,NOT($M10="Common")),$E10,"")</f>
        <v/>
      </c>
      <c r="GS10" s="578" t="str">
        <f t="shared" ref="GS10:GS47" si="150">IF(AND($B10="NSP 120% AMI",$C10=4,NOT($M10="Common")),$E10,"")</f>
        <v/>
      </c>
      <c r="GT10" s="567" t="str">
        <f t="shared" ref="GT10:GT47" si="151">IF(AND(C10="Efficiency",B10="NSP 120% AMI",NOT(M10="Common")),E10*F10,"")</f>
        <v/>
      </c>
      <c r="GU10" s="567" t="str">
        <f t="shared" ref="GU10:GU47" si="152">IF(AND(C10=1,B10="NSP 120% AMI",NOT(M10="Common")),E10*F10,"")</f>
        <v/>
      </c>
      <c r="GV10" s="567" t="str">
        <f t="shared" ref="GV10:GV47" si="153">IF(AND(C10=2,B10="NSP 120% AMI",NOT(M10="Common")),E10*F10,"")</f>
        <v/>
      </c>
      <c r="GW10" s="567" t="str">
        <f t="shared" ref="GW10:GW47" si="154">IF(AND(C10=3,B10="NSP 120% AMI",NOT(M10="Common")),E10*F10,"")</f>
        <v/>
      </c>
      <c r="GX10" s="567" t="str">
        <f t="shared" ref="GX10:GX47" si="155">IF(AND(C10=4,B10="NSP 120% AMI",NOT(M10="Common")),E10*F10,"")</f>
        <v/>
      </c>
      <c r="GY10" s="567" t="str">
        <f t="shared" ref="GY10:GY47" si="156">IF(AND($C10="Efficiency", $O10="New Construction",$B10="NSP 120% AMI",NOT($M10="Common")),$E10,"")</f>
        <v/>
      </c>
      <c r="GZ10" s="567" t="str">
        <f t="shared" ref="GZ10:GZ47" si="157">IF(AND($C10=1, $O10="New Construction",$B10="NSP 120% AMI",NOT($M10="Common")),$E10,"")</f>
        <v/>
      </c>
      <c r="HA10" s="567" t="str">
        <f t="shared" ref="HA10:HA47" si="158">IF(AND($C10=2, $O10="New Construction",$B10="NSP 120% AMI",NOT($M10="Common")),$E10,"")</f>
        <v/>
      </c>
      <c r="HB10" s="567" t="str">
        <f t="shared" ref="HB10:HB47" si="159">IF(AND($C10=3, $O10="New Construction",$B10="NSP 120% AMI",NOT($M10="Common")),$E10,"")</f>
        <v/>
      </c>
      <c r="HC10" s="567" t="str">
        <f t="shared" ref="HC10:HC47" si="160">IF(AND($C10=4, $O10="New Construction",$B10="NSP 120% AMI",NOT($M10="Common")),$E10,"")</f>
        <v/>
      </c>
      <c r="HD10" s="567" t="str">
        <f t="shared" ref="HD10:HD47" si="161">IF(AND($C10="Efficiency", $O10="Acquisition/Rehab",$B10="NSP 120% AMI",NOT($M10="Common")),$E10,"")</f>
        <v/>
      </c>
      <c r="HE10" s="567" t="str">
        <f t="shared" ref="HE10:HE47" si="162">IF(AND($C10=1, $O10="Acquisition/Rehab",$B10="NSP 120% AMI",NOT($M10="Common")),$E10,"")</f>
        <v/>
      </c>
      <c r="HF10" s="567" t="str">
        <f t="shared" ref="HF10:HF47" si="163">IF(AND($C10=2, $O10="Acquisition/Rehab",$B10="NSP 120% AMI",NOT($M10="Common")),$E10,"")</f>
        <v/>
      </c>
      <c r="HG10" s="567" t="str">
        <f t="shared" ref="HG10:HG47" si="164">IF(AND($C10=3, $O10="Acquisition/Rehab",$B10="NSP 120% AMI",NOT($M10="Common")),$E10,"")</f>
        <v/>
      </c>
      <c r="HH10" s="567" t="str">
        <f t="shared" ref="HH10:HH47" si="165">IF(AND($C10=4, $O10="Acquisition/Rehab",$B10="NSP 120% AMI",NOT($M10="Common")),$E10,"")</f>
        <v/>
      </c>
      <c r="HI10" s="567" t="str">
        <f t="shared" ref="HI10:HI47" si="166">IF(AND($C10="Efficiency", $O10="Rehabilitation",$B10="NSP 120% AMI",NOT($M10="Common")),$E10,"")</f>
        <v/>
      </c>
      <c r="HJ10" s="567" t="str">
        <f t="shared" ref="HJ10:HJ47" si="167">IF(AND($C10=1, $O10="Rehabilitation",$B10="NSP 120% AMI",NOT($M10="Common")),$E10,"")</f>
        <v/>
      </c>
      <c r="HK10" s="567" t="str">
        <f t="shared" ref="HK10:HK47" si="168">IF(AND($C10=2, $O10="Rehabilitation",$B10="NSP 120% AMI",NOT($M10="Common")),$E10,"")</f>
        <v/>
      </c>
      <c r="HL10" s="567" t="str">
        <f t="shared" ref="HL10:HL47" si="169">IF(AND($C10=3, $O10="Rehabilitation",$B10="NSP 120% AMI",NOT($M10="Common")),$E10,"")</f>
        <v/>
      </c>
      <c r="HM10" s="567" t="str">
        <f t="shared" ref="HM10:HM47" si="170">IF(AND($C10=4, $O10="Rehabilitation",$B10="NSP 120% AMI",NOT($M10="Common")),$E10,"")</f>
        <v/>
      </c>
    </row>
    <row r="11" spans="1:255" ht="13.15" customHeight="1">
      <c r="A11" s="126" t="str">
        <f t="shared" ref="A11:A47" si="171">IF(AND(E11&gt;0,OR(B11="",C11="",D11="",F11="",G11="", H11="",M11="",N11="",O11="")),1,"")</f>
        <v/>
      </c>
      <c r="B11" s="1203" t="s">
        <v>1212</v>
      </c>
      <c r="C11" s="1204">
        <v>1</v>
      </c>
      <c r="D11" s="1205">
        <v>1</v>
      </c>
      <c r="E11" s="1206">
        <v>10</v>
      </c>
      <c r="F11" s="1206">
        <v>650</v>
      </c>
      <c r="G11" s="1206">
        <v>589</v>
      </c>
      <c r="H11" s="1206">
        <v>589</v>
      </c>
      <c r="I11" s="1206">
        <v>128</v>
      </c>
      <c r="J11" s="1207"/>
      <c r="K11" s="198">
        <f t="shared" ref="K11:K27" si="172">MAX(0,H11-I11)</f>
        <v>461</v>
      </c>
      <c r="L11" s="198">
        <f t="shared" si="0"/>
        <v>4610</v>
      </c>
      <c r="M11" s="1099" t="s">
        <v>3425</v>
      </c>
      <c r="N11" s="1099" t="s">
        <v>3477</v>
      </c>
      <c r="O11" s="1099" t="s">
        <v>2436</v>
      </c>
      <c r="P11" s="518">
        <f>IF(H11="","",H11*12/0.3)</f>
        <v>23560</v>
      </c>
      <c r="Q11" s="519">
        <f>IF(H11="","",P11/($P$6*VLOOKUP(C11,'DCA Underwriting Assumptions'!$J$82:$K$87,2,FALSE)))</f>
        <v>0.60063734862970042</v>
      </c>
      <c r="R11" s="607"/>
      <c r="S11" s="519"/>
      <c r="T11" s="1643"/>
      <c r="U11" s="1644"/>
      <c r="V11" s="567" t="str">
        <f t="shared" si="1"/>
        <v/>
      </c>
      <c r="W11" s="567">
        <f t="shared" si="2"/>
        <v>10</v>
      </c>
      <c r="X11" s="567" t="str">
        <f t="shared" si="3"/>
        <v/>
      </c>
      <c r="Y11" s="567" t="str">
        <f t="shared" si="4"/>
        <v/>
      </c>
      <c r="Z11" s="567" t="str">
        <f t="shared" si="5"/>
        <v/>
      </c>
      <c r="AA11" s="567" t="str">
        <f t="shared" si="6"/>
        <v/>
      </c>
      <c r="AB11" s="567" t="str">
        <f t="shared" si="7"/>
        <v/>
      </c>
      <c r="AC11" s="567" t="str">
        <f t="shared" si="8"/>
        <v/>
      </c>
      <c r="AD11" s="567" t="str">
        <f t="shared" si="9"/>
        <v/>
      </c>
      <c r="AE11" s="567" t="str">
        <f t="shared" si="10"/>
        <v/>
      </c>
      <c r="AF11" s="567" t="str">
        <f t="shared" si="11"/>
        <v/>
      </c>
      <c r="AG11" s="567" t="str">
        <f t="shared" si="12"/>
        <v/>
      </c>
      <c r="AH11" s="567" t="str">
        <f t="shared" si="13"/>
        <v/>
      </c>
      <c r="AI11" s="567" t="str">
        <f t="shared" si="14"/>
        <v/>
      </c>
      <c r="AJ11" s="567" t="str">
        <f t="shared" si="15"/>
        <v/>
      </c>
      <c r="AK11" s="567" t="str">
        <f t="shared" si="16"/>
        <v/>
      </c>
      <c r="AL11" s="567" t="str">
        <f t="shared" si="17"/>
        <v/>
      </c>
      <c r="AM11" s="567" t="str">
        <f t="shared" si="18"/>
        <v/>
      </c>
      <c r="AN11" s="567" t="str">
        <f t="shared" si="19"/>
        <v/>
      </c>
      <c r="AO11" s="567" t="str">
        <f t="shared" si="20"/>
        <v/>
      </c>
      <c r="AP11" s="567" t="str">
        <f t="shared" ref="AP11:AP47" si="173">IF(OR(AND($C11="Efficiency",NOT($J11=""),NOT($J11="PHA Oper Sub"),$B11="30% AMI",NOT($M11="Common")),AND($C11="Efficiency",NOT($J11=""),NOT($J11="PHA Oper Sub"),$B11="HOME 30% AMI",NOT($M11="Common"))),$E11,"")</f>
        <v/>
      </c>
      <c r="AQ11" s="567" t="str">
        <f t="shared" ref="AQ11:AQ47" si="174">IF(OR(AND($C11=1,NOT($J11=""),NOT($J11="PHA Oper Sub"),$B11="30% AMI",NOT($M11="Common")),AND($C11=1,NOT($J11=""),NOT($J11="PHA Oper Sub"),$B11="HOME 30% AMI",NOT($M11="Common"))),$E11,"")</f>
        <v/>
      </c>
      <c r="AR11" s="567" t="str">
        <f t="shared" ref="AR11:AR47" si="175">IF(OR(AND($C11=2,NOT($J11=""),NOT($J11="PHA Oper Sub"),$B11="30% AMI",NOT($M11="Common")),AND($C11=2,NOT($J11=""),NOT($J11="PHA Oper Sub"),$B11="HOME 30% AMI",NOT($M11="Common"))),$E11,"")</f>
        <v/>
      </c>
      <c r="AS11" s="567" t="str">
        <f t="shared" ref="AS11:AS47" si="176">IF(OR(AND($C11=3,NOT($J11=""),NOT($J11="PHA Oper Sub"),$B11="30% AMI",NOT($M11="Common")),AND($C11=3,NOT($J11=""),NOT($J11="PHA Oper Sub"),$B11="HOME 30% AMI",NOT($M11="Common"))),$E11,"")</f>
        <v/>
      </c>
      <c r="AT11" s="567" t="str">
        <f t="shared" ref="AT11:AT47" si="177">IF(OR(AND($C11=4,NOT($J11=""),NOT($J11="PHA Oper Sub"),$B11="30% AMI",NOT($M11="Common")),AND($C11=4,NOT($J11=""),NOT($J11="PHA Oper Sub"),$B11="HOME 30% AMI",NOT($M11="Common"))),$E11,"")</f>
        <v/>
      </c>
      <c r="AU11" s="567" t="str">
        <f t="shared" ref="AU11:AU47" si="178">IF(OR(AND($C11="Efficiency",NOT($J11=""),NOT($J11="PHA Oper Sub"),NOT($J11=0),$B11="50% AMI",NOT($M11="Common")),AND($C11="Efficiency",NOT($J11=""),NOT($J11=0),NOT($J11="PHA Oper Sub"),$B11="HOME 50% AMI",NOT($M11="Common"))),$E11,"")</f>
        <v/>
      </c>
      <c r="AV11" s="567" t="str">
        <f t="shared" ref="AV11:AV47" si="179">IF(OR(AND($C11=1,NOT($J11=""),NOT($J11=0),NOT($J11="PHA Oper Sub"),$B11="50% AMI",NOT($M11="Common")),AND($C11=1,NOT($J11=""),NOT($J11=0),NOT($J11="PHA Oper Sub"),$B11="HOME 50% AMI",NOT($M11="Common"))),$E11,"")</f>
        <v/>
      </c>
      <c r="AW11" s="567" t="str">
        <f t="shared" ref="AW11:AW47" si="180">IF(OR(AND($C11=2,NOT($J11=""),NOT($J11=0),NOT($J11="PHA Oper Sub"),$B11="50% AMI",NOT($M11="Common")),AND($C11=2,NOT($J11=""),NOT($J11=0),NOT($J11="PHA Oper Sub"),$B11="HOME 50% AMI",NOT($M11="Common"))),$E11,"")</f>
        <v/>
      </c>
      <c r="AX11" s="567" t="str">
        <f t="shared" ref="AX11:AX47" si="181">IF(OR(AND($C11=3,NOT($J11=""),NOT($J11=0),NOT($J11="PHA Oper Sub"),$B11="50% AMI",NOT($M11="Common")),AND($C11=3,NOT($J11=""),NOT($J11=0),NOT($J11="PHA Oper Sub"),$B11="HOME 50% AMI",NOT($M11="Common"))),$E11,"")</f>
        <v/>
      </c>
      <c r="AY11" s="567" t="str">
        <f t="shared" ref="AY11:AY47" si="182">IF(OR(AND($C11=4,NOT($J11=""),NOT($J11=0),NOT($J11="PHA Oper Sub"),$B11="50% AMI",NOT($M11="Common")),AND($C11=4,NOT($J11=""),NOT($J11=0),NOT($J11="PHA Oper Sub"),$B11="HOME 50% AMI",NOT($M11="Common"))),$E11,"")</f>
        <v/>
      </c>
      <c r="AZ11" s="567" t="str">
        <f t="shared" ref="AZ11:AZ47" si="183">IF(OR(AND($C11="Efficiency",NOT($J11=""),NOT($J11=0),NOT($J11="PHA Oper Sub"),$B11="60% AMI",NOT($M11="Common")),AND($C11="Efficiency",NOT($J11=""),NOT($J11=0),NOT($J11="PHA Oper Sub"),$B11="HOME 60% AMI",NOT($M11="Common"))),$E11,"")</f>
        <v/>
      </c>
      <c r="BA11" s="567" t="str">
        <f t="shared" ref="BA11:BA47" si="184">IF(OR(AND($C11=1,NOT($J11=""),NOT($J11=0),NOT($J11="PHA Oper Sub"),$B11="60% AMI",NOT($M11="Common")),AND($C11=1,NOT($J11=""),NOT($J11=0),NOT($J11="PHA Oper Sub"),$B11="HOME 60% AMI",NOT($M11="Common"))),$E11,"")</f>
        <v/>
      </c>
      <c r="BB11" s="567" t="str">
        <f t="shared" ref="BB11:BB47" si="185">IF(OR(AND($C11=2,NOT($J11=""),NOT($J11=0),NOT($J11="PHA Oper Sub"),$B11="60% AMI",NOT($M11="Common")),AND($C11=2,NOT($J11=""),NOT($J11=0),NOT($J11="PHA Oper Sub"),$B11="HOME 60% AMI",NOT($M11="Common"))),$E11,"")</f>
        <v/>
      </c>
      <c r="BC11" s="567" t="str">
        <f t="shared" ref="BC11:BC47" si="186">IF(OR(AND($C11=3,NOT($J11=""),NOT($J11=0),NOT($J11="PHA Oper Sub"),$B11="60% AMI",NOT($M11="Common")),AND($C11=3,NOT($J11=""),NOT($J11=0),NOT($J11="PHA Oper Sub"),$B11="HOME 60% AMI",NOT($M11="Common"))),$E11,"")</f>
        <v/>
      </c>
      <c r="BD11" s="567" t="str">
        <f t="shared" ref="BD11:BD47" si="187">IF(OR(AND($C11=4,NOT($J11=""),NOT($J11=0),NOT($J11="PHA Oper Sub"),$B11="60% AMI",NOT($M11="Common")),AND($C11=4,NOT($J11=""),NOT($J11=0),NOT($J11="PHA Oper Sub"),$B11="HOME 60% AMI",NOT($M11="Common"))),$E11,"")</f>
        <v/>
      </c>
      <c r="BE11" s="567" t="str">
        <f t="shared" ref="BE11:BE47" si="188">IF(OR(AND($C11="Efficiency",$J11="PHA Oper Sub",$B11="30% AMI",NOT($M11="Common")),AND($C11="Efficiency",$J11="PHA Oper Sub",$B11="HOME 30% AMI",NOT($M11="Common"))),$E11,"")</f>
        <v/>
      </c>
      <c r="BF11" s="567" t="str">
        <f t="shared" ref="BF11:BF47" si="189">IF(OR(AND($C11=1,$J11="PHA Oper Sub",$B11="30% AMI",NOT($M11="Common")),AND($C11=1,$J11="PHA Oper Sub",$B11="HOME 30% AMI",NOT($M11="Common"))),$E11,"")</f>
        <v/>
      </c>
      <c r="BG11" s="567" t="str">
        <f t="shared" ref="BG11:BG47" si="190">IF(OR(AND($C11=2,$J11="PHA Oper Sub",$B11="30% AMI",NOT($M11="Common")),AND($C11=2,$J11="PHA Oper Sub",$B11="HOME 30% AMI",NOT($M11="Common"))),$E11,"")</f>
        <v/>
      </c>
      <c r="BH11" s="567" t="str">
        <f t="shared" ref="BH11:BH47" si="191">IF(OR(AND($C11=3,$J11="PHA Oper Sub",$B11="30% AMI",NOT($M11="Common")),AND($C11=3,$J11="PHA Oper Sub",$B11="HOME 30% AMI",NOT($M11="Common"))),$E11,"")</f>
        <v/>
      </c>
      <c r="BI11" s="567" t="str">
        <f t="shared" ref="BI11:BI47" si="192">IF(OR(AND($C11=4,$J11="PHA Oper Sub",$B11="30% AMI",NOT($M11="Common")),AND($C11=4,$J11="PHA Oper Sub",$B11="HOME 30% AMI",NOT($M11="Common"))),$E11,"")</f>
        <v/>
      </c>
      <c r="BJ11" s="567" t="str">
        <f t="shared" ref="BJ11:BJ47" si="193">IF(OR(AND($C11="Efficiency",$J11="PHA Oper Sub",$B11="50% AMI",NOT($M11="Common")),AND($C11="Efficiency",$J11="PHA Oper Sub",$B11="HOME 50% AMI",NOT($M11="Common"))),$E11,"")</f>
        <v/>
      </c>
      <c r="BK11" s="567" t="str">
        <f t="shared" ref="BK11:BK47" si="194">IF(OR(AND($C11=1,$J11="PHA Oper Sub",$B11="50% AMI",NOT($M11="Common")),AND($C11=1,$J11="PHA Oper Sub",$B11="HOME 50% AMI",NOT($M11="Common"))),$E11,"")</f>
        <v/>
      </c>
      <c r="BL11" s="567" t="str">
        <f t="shared" ref="BL11:BL47" si="195">IF(OR(AND($C11=2,$J11="PHA Oper Sub",$B11="50% AMI",NOT($M11="Common")),AND($C11=2,$J11="PHA Oper Sub",$B11="HOME 50% AMI",NOT($M11="Common"))),$E11,"")</f>
        <v/>
      </c>
      <c r="BM11" s="567" t="str">
        <f t="shared" ref="BM11:BM47" si="196">IF(OR(AND($C11=3,$J11="PHA Oper Sub",$B11="50% AMI",NOT($M11="Common")),AND($C11=3,$J11="PHA Oper Sub",$B11="HOME 50% AMI",NOT($M11="Common"))),$E11,"")</f>
        <v/>
      </c>
      <c r="BN11" s="567" t="str">
        <f t="shared" ref="BN11:BN47" si="197">IF(OR(AND($C11=4,$J11="PHA Oper Sub",$B11="50% AMI",NOT($M11="Common")),AND($C11=4,$J11="PHA Oper Sub",$B11="HOME 50% AMI",NOT($M11="Common"))),$E11,"")</f>
        <v/>
      </c>
      <c r="BO11" s="567" t="str">
        <f t="shared" ref="BO11:BO47" si="198">IF(OR(AND($C11="Efficiency",$J11="PHA Oper Sub",$B11="60% AMI",NOT($M11="Common")),AND($C11="Efficiency",$J11="PHA Oper Sub",$B11="HOME 60% AMI",NOT($M11="Common"))),$E11,"")</f>
        <v/>
      </c>
      <c r="BP11" s="567" t="str">
        <f t="shared" ref="BP11:BP47" si="199">IF(OR(AND($C11=1,$J11="PHA Oper Sub",$B11="60% AMI",NOT($M11="Common")),AND($C11=1,$J11="PHA Oper Sub",$B11="HOME 60% AMI",NOT($M11="Common"))),$E11,"")</f>
        <v/>
      </c>
      <c r="BQ11" s="567" t="str">
        <f t="shared" ref="BQ11:BQ47" si="200">IF(OR(AND($C11=2,$J11="PHA Oper Sub",$B11="60% AMI",NOT($M11="Common")),AND($C11=2,$J11="PHA Oper Sub",$B11="HOME 60% AMI",NOT($M11="Common"))),$E11,"")</f>
        <v/>
      </c>
      <c r="BR11" s="567" t="str">
        <f t="shared" ref="BR11:BR47" si="201">IF(OR(AND($C11=3,$J11="PHA Oper Sub",$B11="60% AMI",NOT($M11="Common")),AND($C11=3,$J11="PHA Oper Sub",$B11="HOME 60% AMI",NOT($M11="Common"))),$E11,"")</f>
        <v/>
      </c>
      <c r="BS11" s="567" t="str">
        <f t="shared" ref="BS11:BS47" si="202">IF(OR(AND($C11=4,$J11="PHA Oper Sub",$B11="60% AMI",NOT($M11="Common")),AND($C11=4,$J11="PHA Oper Sub",$B11="HOME 60% AMI",NOT($M11="Common"))),$E11,"")</f>
        <v/>
      </c>
      <c r="BT11" s="567" t="str">
        <f t="shared" si="21"/>
        <v/>
      </c>
      <c r="BU11" s="567" t="str">
        <f t="shared" si="22"/>
        <v/>
      </c>
      <c r="BV11" s="567" t="str">
        <f t="shared" si="23"/>
        <v/>
      </c>
      <c r="BW11" s="567" t="str">
        <f t="shared" si="24"/>
        <v/>
      </c>
      <c r="BX11" s="567" t="str">
        <f t="shared" si="25"/>
        <v/>
      </c>
      <c r="BY11" s="567" t="str">
        <f t="shared" si="26"/>
        <v/>
      </c>
      <c r="BZ11" s="567">
        <f t="shared" si="27"/>
        <v>6500</v>
      </c>
      <c r="CA11" s="567" t="str">
        <f t="shared" si="28"/>
        <v/>
      </c>
      <c r="CB11" s="567" t="str">
        <f t="shared" si="29"/>
        <v/>
      </c>
      <c r="CC11" s="567" t="str">
        <f t="shared" si="30"/>
        <v/>
      </c>
      <c r="CD11" s="567" t="str">
        <f t="shared" si="31"/>
        <v/>
      </c>
      <c r="CE11" s="567" t="str">
        <f t="shared" si="32"/>
        <v/>
      </c>
      <c r="CF11" s="567" t="str">
        <f t="shared" si="33"/>
        <v/>
      </c>
      <c r="CG11" s="567" t="str">
        <f t="shared" si="34"/>
        <v/>
      </c>
      <c r="CH11" s="567" t="str">
        <f t="shared" si="35"/>
        <v/>
      </c>
      <c r="CI11" s="567" t="str">
        <f t="shared" si="36"/>
        <v/>
      </c>
      <c r="CJ11" s="567" t="str">
        <f t="shared" si="37"/>
        <v/>
      </c>
      <c r="CK11" s="567" t="str">
        <f t="shared" si="38"/>
        <v/>
      </c>
      <c r="CL11" s="567" t="str">
        <f t="shared" si="39"/>
        <v/>
      </c>
      <c r="CM11" s="567" t="str">
        <f t="shared" si="40"/>
        <v/>
      </c>
      <c r="CN11" s="567" t="str">
        <f t="shared" si="41"/>
        <v/>
      </c>
      <c r="CO11" s="567" t="str">
        <f t="shared" si="42"/>
        <v/>
      </c>
      <c r="CP11" s="567" t="str">
        <f t="shared" si="43"/>
        <v/>
      </c>
      <c r="CQ11" s="567" t="str">
        <f t="shared" si="44"/>
        <v/>
      </c>
      <c r="CR11" s="567" t="str">
        <f t="shared" si="45"/>
        <v/>
      </c>
      <c r="CS11" s="567" t="str">
        <f t="shared" si="46"/>
        <v/>
      </c>
      <c r="CT11" s="567" t="str">
        <f t="shared" si="47"/>
        <v/>
      </c>
      <c r="CU11" s="567" t="str">
        <f t="shared" si="48"/>
        <v/>
      </c>
      <c r="CV11" s="567" t="str">
        <f t="shared" si="49"/>
        <v/>
      </c>
      <c r="CW11" s="567" t="str">
        <f t="shared" si="50"/>
        <v/>
      </c>
      <c r="CX11" s="567" t="str">
        <f t="shared" si="51"/>
        <v/>
      </c>
      <c r="CY11" s="567" t="str">
        <f t="shared" si="52"/>
        <v/>
      </c>
      <c r="CZ11" s="567" t="str">
        <f t="shared" si="53"/>
        <v/>
      </c>
      <c r="DA11" s="567" t="str">
        <f t="shared" si="54"/>
        <v/>
      </c>
      <c r="DB11" s="567" t="str">
        <f t="shared" si="55"/>
        <v/>
      </c>
      <c r="DC11" s="567" t="str">
        <f t="shared" si="56"/>
        <v/>
      </c>
      <c r="DD11" s="567">
        <f t="shared" si="57"/>
        <v>10</v>
      </c>
      <c r="DE11" s="567" t="str">
        <f t="shared" si="58"/>
        <v/>
      </c>
      <c r="DF11" s="567" t="str">
        <f t="shared" si="59"/>
        <v/>
      </c>
      <c r="DG11" s="567" t="str">
        <f t="shared" si="60"/>
        <v/>
      </c>
      <c r="DH11" s="567" t="str">
        <f t="shared" si="61"/>
        <v/>
      </c>
      <c r="DI11" s="567" t="str">
        <f t="shared" si="62"/>
        <v/>
      </c>
      <c r="DJ11" s="567" t="str">
        <f t="shared" si="63"/>
        <v/>
      </c>
      <c r="DK11" s="567" t="str">
        <f t="shared" si="64"/>
        <v/>
      </c>
      <c r="DL11" s="567" t="str">
        <f t="shared" si="65"/>
        <v/>
      </c>
      <c r="DM11" s="567" t="str">
        <f t="shared" si="66"/>
        <v/>
      </c>
      <c r="DN11" s="567" t="str">
        <f t="shared" si="67"/>
        <v/>
      </c>
      <c r="DO11" s="567" t="str">
        <f t="shared" si="68"/>
        <v/>
      </c>
      <c r="DP11" s="567" t="str">
        <f t="shared" si="69"/>
        <v/>
      </c>
      <c r="DQ11" s="567" t="str">
        <f t="shared" si="70"/>
        <v/>
      </c>
      <c r="DR11" s="567" t="str">
        <f t="shared" si="71"/>
        <v/>
      </c>
      <c r="DS11" s="567" t="str">
        <f t="shared" si="72"/>
        <v/>
      </c>
      <c r="DT11" s="567" t="str">
        <f t="shared" si="73"/>
        <v/>
      </c>
      <c r="DU11" s="567" t="str">
        <f t="shared" si="74"/>
        <v/>
      </c>
      <c r="DV11" s="567" t="str">
        <f t="shared" si="75"/>
        <v/>
      </c>
      <c r="DW11" s="567" t="str">
        <f t="shared" si="76"/>
        <v/>
      </c>
      <c r="DX11" s="567" t="str">
        <f t="shared" si="77"/>
        <v/>
      </c>
      <c r="DY11" s="567" t="str">
        <f t="shared" si="78"/>
        <v/>
      </c>
      <c r="DZ11" s="567" t="str">
        <f t="shared" si="79"/>
        <v/>
      </c>
      <c r="EA11" s="567" t="str">
        <f t="shared" si="80"/>
        <v/>
      </c>
      <c r="EB11" s="567" t="str">
        <f t="shared" si="81"/>
        <v/>
      </c>
      <c r="EC11" s="567" t="str">
        <f t="shared" si="82"/>
        <v/>
      </c>
      <c r="ED11" s="567" t="str">
        <f t="shared" si="83"/>
        <v/>
      </c>
      <c r="EE11" s="567" t="str">
        <f t="shared" si="84"/>
        <v/>
      </c>
      <c r="EF11" s="567" t="str">
        <f t="shared" si="85"/>
        <v/>
      </c>
      <c r="EG11" s="567" t="str">
        <f t="shared" si="86"/>
        <v/>
      </c>
      <c r="EH11" s="567" t="str">
        <f t="shared" si="87"/>
        <v/>
      </c>
      <c r="EI11" s="567" t="str">
        <f t="shared" si="88"/>
        <v/>
      </c>
      <c r="EJ11" s="567" t="str">
        <f t="shared" si="89"/>
        <v/>
      </c>
      <c r="EK11" s="567" t="str">
        <f t="shared" si="90"/>
        <v/>
      </c>
      <c r="EL11" s="567" t="str">
        <f t="shared" si="91"/>
        <v/>
      </c>
      <c r="EM11" s="567" t="str">
        <f t="shared" si="92"/>
        <v/>
      </c>
      <c r="EN11" s="567" t="str">
        <f t="shared" si="93"/>
        <v/>
      </c>
      <c r="EO11" s="567" t="str">
        <f t="shared" si="94"/>
        <v/>
      </c>
      <c r="EP11" s="567" t="str">
        <f t="shared" si="95"/>
        <v/>
      </c>
      <c r="EQ11" s="567" t="str">
        <f t="shared" si="96"/>
        <v/>
      </c>
      <c r="ER11" s="567" t="str">
        <f t="shared" si="97"/>
        <v/>
      </c>
      <c r="ES11" s="567" t="str">
        <f t="shared" si="98"/>
        <v/>
      </c>
      <c r="ET11" s="567" t="str">
        <f t="shared" si="99"/>
        <v/>
      </c>
      <c r="EU11" s="567" t="str">
        <f t="shared" si="100"/>
        <v/>
      </c>
      <c r="EV11" s="577" t="str">
        <f t="shared" si="101"/>
        <v/>
      </c>
      <c r="EW11" s="577">
        <f t="shared" si="102"/>
        <v>10</v>
      </c>
      <c r="EX11" s="577" t="str">
        <f t="shared" si="103"/>
        <v/>
      </c>
      <c r="EY11" s="577" t="str">
        <f t="shared" si="104"/>
        <v/>
      </c>
      <c r="EZ11" s="577" t="str">
        <f t="shared" si="105"/>
        <v/>
      </c>
      <c r="FA11" s="577" t="str">
        <f t="shared" si="106"/>
        <v/>
      </c>
      <c r="FB11" s="577" t="str">
        <f t="shared" si="107"/>
        <v/>
      </c>
      <c r="FC11" s="577" t="str">
        <f t="shared" si="108"/>
        <v/>
      </c>
      <c r="FD11" s="577" t="str">
        <f t="shared" si="109"/>
        <v/>
      </c>
      <c r="FE11" s="577" t="str">
        <f t="shared" si="110"/>
        <v/>
      </c>
      <c r="FF11" s="577" t="str">
        <f t="shared" si="111"/>
        <v/>
      </c>
      <c r="FG11" s="577" t="str">
        <f t="shared" si="112"/>
        <v/>
      </c>
      <c r="FH11" s="577" t="str">
        <f t="shared" si="113"/>
        <v/>
      </c>
      <c r="FI11" s="577" t="str">
        <f t="shared" si="114"/>
        <v/>
      </c>
      <c r="FJ11" s="577" t="str">
        <f t="shared" si="115"/>
        <v/>
      </c>
      <c r="FK11" s="577" t="str">
        <f t="shared" si="116"/>
        <v/>
      </c>
      <c r="FL11" s="577" t="str">
        <f t="shared" si="117"/>
        <v/>
      </c>
      <c r="FM11" s="577" t="str">
        <f t="shared" si="118"/>
        <v/>
      </c>
      <c r="FN11" s="577" t="str">
        <f t="shared" si="119"/>
        <v/>
      </c>
      <c r="FO11" s="577" t="str">
        <f t="shared" si="120"/>
        <v/>
      </c>
      <c r="FP11" s="577" t="str">
        <f t="shared" si="121"/>
        <v/>
      </c>
      <c r="FQ11" s="577" t="str">
        <f t="shared" si="122"/>
        <v/>
      </c>
      <c r="FR11" s="577" t="str">
        <f t="shared" si="123"/>
        <v/>
      </c>
      <c r="FS11" s="577" t="str">
        <f t="shared" si="124"/>
        <v/>
      </c>
      <c r="FT11" s="577" t="str">
        <f t="shared" si="125"/>
        <v/>
      </c>
      <c r="FU11" s="577" t="str">
        <f t="shared" si="126"/>
        <v/>
      </c>
      <c r="FV11" s="577" t="str">
        <f t="shared" si="127"/>
        <v/>
      </c>
      <c r="FW11" s="577" t="str">
        <f t="shared" si="128"/>
        <v/>
      </c>
      <c r="FX11" s="577" t="str">
        <f t="shared" si="129"/>
        <v/>
      </c>
      <c r="FY11" s="577" t="str">
        <f t="shared" si="130"/>
        <v/>
      </c>
      <c r="FZ11" s="577" t="str">
        <f t="shared" si="131"/>
        <v/>
      </c>
      <c r="GA11" s="577" t="str">
        <f t="shared" si="132"/>
        <v/>
      </c>
      <c r="GB11" s="577" t="str">
        <f t="shared" si="133"/>
        <v/>
      </c>
      <c r="GC11" s="577" t="str">
        <f t="shared" si="134"/>
        <v/>
      </c>
      <c r="GD11" s="577" t="str">
        <f t="shared" si="135"/>
        <v/>
      </c>
      <c r="GE11" s="577" t="str">
        <f t="shared" si="136"/>
        <v/>
      </c>
      <c r="GF11" s="577" t="str">
        <f t="shared" si="137"/>
        <v/>
      </c>
      <c r="GG11" s="577" t="str">
        <f t="shared" si="138"/>
        <v/>
      </c>
      <c r="GH11" s="577" t="str">
        <f t="shared" si="139"/>
        <v/>
      </c>
      <c r="GI11" s="577" t="str">
        <f t="shared" si="140"/>
        <v/>
      </c>
      <c r="GJ11" s="577" t="str">
        <f t="shared" si="141"/>
        <v/>
      </c>
      <c r="GK11" s="577">
        <f t="shared" si="142"/>
        <v>10</v>
      </c>
      <c r="GL11" s="577" t="str">
        <f t="shared" si="143"/>
        <v/>
      </c>
      <c r="GM11" s="577" t="str">
        <f t="shared" si="144"/>
        <v/>
      </c>
      <c r="GN11" s="577" t="str">
        <f t="shared" si="145"/>
        <v/>
      </c>
      <c r="GO11" s="578" t="str">
        <f t="shared" si="146"/>
        <v/>
      </c>
      <c r="GP11" s="578" t="str">
        <f t="shared" si="147"/>
        <v/>
      </c>
      <c r="GQ11" s="578" t="str">
        <f t="shared" si="148"/>
        <v/>
      </c>
      <c r="GR11" s="578" t="str">
        <f t="shared" si="149"/>
        <v/>
      </c>
      <c r="GS11" s="578" t="str">
        <f t="shared" si="150"/>
        <v/>
      </c>
      <c r="GT11" s="567" t="str">
        <f t="shared" si="151"/>
        <v/>
      </c>
      <c r="GU11" s="567" t="str">
        <f t="shared" si="152"/>
        <v/>
      </c>
      <c r="GV11" s="567" t="str">
        <f t="shared" si="153"/>
        <v/>
      </c>
      <c r="GW11" s="567" t="str">
        <f t="shared" si="154"/>
        <v/>
      </c>
      <c r="GX11" s="567" t="str">
        <f t="shared" si="155"/>
        <v/>
      </c>
      <c r="GY11" s="567" t="str">
        <f t="shared" si="156"/>
        <v/>
      </c>
      <c r="GZ11" s="567" t="str">
        <f t="shared" si="157"/>
        <v/>
      </c>
      <c r="HA11" s="567" t="str">
        <f t="shared" si="158"/>
        <v/>
      </c>
      <c r="HB11" s="567" t="str">
        <f t="shared" si="159"/>
        <v/>
      </c>
      <c r="HC11" s="567" t="str">
        <f t="shared" si="160"/>
        <v/>
      </c>
      <c r="HD11" s="567" t="str">
        <f t="shared" si="161"/>
        <v/>
      </c>
      <c r="HE11" s="567" t="str">
        <f t="shared" si="162"/>
        <v/>
      </c>
      <c r="HF11" s="567" t="str">
        <f t="shared" si="163"/>
        <v/>
      </c>
      <c r="HG11" s="567" t="str">
        <f t="shared" si="164"/>
        <v/>
      </c>
      <c r="HH11" s="567" t="str">
        <f t="shared" si="165"/>
        <v/>
      </c>
      <c r="HI11" s="567" t="str">
        <f t="shared" si="166"/>
        <v/>
      </c>
      <c r="HJ11" s="567" t="str">
        <f t="shared" si="167"/>
        <v/>
      </c>
      <c r="HK11" s="567" t="str">
        <f t="shared" si="168"/>
        <v/>
      </c>
      <c r="HL11" s="567" t="str">
        <f t="shared" si="169"/>
        <v/>
      </c>
      <c r="HM11" s="567" t="str">
        <f t="shared" si="170"/>
        <v/>
      </c>
    </row>
    <row r="12" spans="1:255" ht="13.15" customHeight="1">
      <c r="A12" s="126" t="str">
        <f t="shared" si="171"/>
        <v/>
      </c>
      <c r="B12" s="1203" t="s">
        <v>319</v>
      </c>
      <c r="C12" s="1204">
        <v>1</v>
      </c>
      <c r="D12" s="1205">
        <v>1</v>
      </c>
      <c r="E12" s="1206">
        <v>1</v>
      </c>
      <c r="F12" s="1206">
        <v>650</v>
      </c>
      <c r="G12" s="1206">
        <v>580</v>
      </c>
      <c r="H12" s="1206">
        <v>580</v>
      </c>
      <c r="I12" s="1206"/>
      <c r="J12" s="1207"/>
      <c r="K12" s="198">
        <f t="shared" si="172"/>
        <v>580</v>
      </c>
      <c r="L12" s="198">
        <f t="shared" si="0"/>
        <v>580</v>
      </c>
      <c r="M12" s="1099" t="s">
        <v>3425</v>
      </c>
      <c r="N12" s="1099" t="s">
        <v>3477</v>
      </c>
      <c r="O12" s="1099" t="s">
        <v>2436</v>
      </c>
      <c r="P12" s="518">
        <f>IF(H12="","",H12*12/0.3)</f>
        <v>23200</v>
      </c>
      <c r="Q12" s="519">
        <f>IF(H12="","",P12/($P$6*VLOOKUP(C12,'DCA Underwriting Assumptions'!$J$82:$K$87,2,FALSE)))</f>
        <v>0.59145952836201399</v>
      </c>
      <c r="R12" s="607"/>
      <c r="S12" s="519"/>
      <c r="T12" s="1643"/>
      <c r="U12" s="1644"/>
      <c r="V12" s="567" t="str">
        <f t="shared" si="1"/>
        <v/>
      </c>
      <c r="W12" s="567" t="str">
        <f t="shared" si="2"/>
        <v/>
      </c>
      <c r="X12" s="567" t="str">
        <f t="shared" si="3"/>
        <v/>
      </c>
      <c r="Y12" s="567" t="str">
        <f t="shared" si="4"/>
        <v/>
      </c>
      <c r="Z12" s="567" t="str">
        <f t="shared" si="5"/>
        <v/>
      </c>
      <c r="AA12" s="567" t="str">
        <f t="shared" si="6"/>
        <v/>
      </c>
      <c r="AB12" s="567" t="str">
        <f t="shared" si="7"/>
        <v/>
      </c>
      <c r="AC12" s="567" t="str">
        <f t="shared" si="8"/>
        <v/>
      </c>
      <c r="AD12" s="567" t="str">
        <f t="shared" si="9"/>
        <v/>
      </c>
      <c r="AE12" s="567" t="str">
        <f t="shared" si="10"/>
        <v/>
      </c>
      <c r="AF12" s="567" t="str">
        <f t="shared" si="11"/>
        <v/>
      </c>
      <c r="AG12" s="567" t="str">
        <f t="shared" si="12"/>
        <v/>
      </c>
      <c r="AH12" s="567" t="str">
        <f t="shared" si="13"/>
        <v/>
      </c>
      <c r="AI12" s="567" t="str">
        <f t="shared" si="14"/>
        <v/>
      </c>
      <c r="AJ12" s="567" t="str">
        <f t="shared" si="15"/>
        <v/>
      </c>
      <c r="AK12" s="567" t="str">
        <f t="shared" si="16"/>
        <v/>
      </c>
      <c r="AL12" s="567">
        <f t="shared" si="17"/>
        <v>1</v>
      </c>
      <c r="AM12" s="567" t="str">
        <f t="shared" si="18"/>
        <v/>
      </c>
      <c r="AN12" s="567" t="str">
        <f t="shared" si="19"/>
        <v/>
      </c>
      <c r="AO12" s="567" t="str">
        <f t="shared" si="20"/>
        <v/>
      </c>
      <c r="AP12" s="567" t="str">
        <f t="shared" si="173"/>
        <v/>
      </c>
      <c r="AQ12" s="567" t="str">
        <f t="shared" si="174"/>
        <v/>
      </c>
      <c r="AR12" s="567" t="str">
        <f t="shared" si="175"/>
        <v/>
      </c>
      <c r="AS12" s="567" t="str">
        <f t="shared" si="176"/>
        <v/>
      </c>
      <c r="AT12" s="567" t="str">
        <f t="shared" si="177"/>
        <v/>
      </c>
      <c r="AU12" s="567" t="str">
        <f t="shared" si="178"/>
        <v/>
      </c>
      <c r="AV12" s="567" t="str">
        <f t="shared" si="179"/>
        <v/>
      </c>
      <c r="AW12" s="567" t="str">
        <f t="shared" si="180"/>
        <v/>
      </c>
      <c r="AX12" s="567" t="str">
        <f t="shared" si="181"/>
        <v/>
      </c>
      <c r="AY12" s="567" t="str">
        <f t="shared" si="182"/>
        <v/>
      </c>
      <c r="AZ12" s="567" t="str">
        <f t="shared" si="183"/>
        <v/>
      </c>
      <c r="BA12" s="567" t="str">
        <f t="shared" si="184"/>
        <v/>
      </c>
      <c r="BB12" s="567" t="str">
        <f t="shared" si="185"/>
        <v/>
      </c>
      <c r="BC12" s="567" t="str">
        <f t="shared" si="186"/>
        <v/>
      </c>
      <c r="BD12" s="567" t="str">
        <f t="shared" si="187"/>
        <v/>
      </c>
      <c r="BE12" s="567" t="str">
        <f t="shared" si="188"/>
        <v/>
      </c>
      <c r="BF12" s="567" t="str">
        <f t="shared" si="189"/>
        <v/>
      </c>
      <c r="BG12" s="567" t="str">
        <f t="shared" si="190"/>
        <v/>
      </c>
      <c r="BH12" s="567" t="str">
        <f t="shared" si="191"/>
        <v/>
      </c>
      <c r="BI12" s="567" t="str">
        <f t="shared" si="192"/>
        <v/>
      </c>
      <c r="BJ12" s="567" t="str">
        <f t="shared" si="193"/>
        <v/>
      </c>
      <c r="BK12" s="567" t="str">
        <f t="shared" si="194"/>
        <v/>
      </c>
      <c r="BL12" s="567" t="str">
        <f t="shared" si="195"/>
        <v/>
      </c>
      <c r="BM12" s="567" t="str">
        <f t="shared" si="196"/>
        <v/>
      </c>
      <c r="BN12" s="567" t="str">
        <f t="shared" si="197"/>
        <v/>
      </c>
      <c r="BO12" s="567" t="str">
        <f t="shared" si="198"/>
        <v/>
      </c>
      <c r="BP12" s="567" t="str">
        <f t="shared" si="199"/>
        <v/>
      </c>
      <c r="BQ12" s="567" t="str">
        <f t="shared" si="200"/>
        <v/>
      </c>
      <c r="BR12" s="567" t="str">
        <f t="shared" si="201"/>
        <v/>
      </c>
      <c r="BS12" s="567" t="str">
        <f t="shared" si="202"/>
        <v/>
      </c>
      <c r="BT12" s="567" t="str">
        <f t="shared" si="21"/>
        <v/>
      </c>
      <c r="BU12" s="567" t="str">
        <f t="shared" si="22"/>
        <v/>
      </c>
      <c r="BV12" s="567" t="str">
        <f t="shared" si="23"/>
        <v/>
      </c>
      <c r="BW12" s="567" t="str">
        <f t="shared" si="24"/>
        <v/>
      </c>
      <c r="BX12" s="567" t="str">
        <f t="shared" si="25"/>
        <v/>
      </c>
      <c r="BY12" s="567" t="str">
        <f t="shared" si="26"/>
        <v/>
      </c>
      <c r="BZ12" s="567" t="str">
        <f t="shared" si="27"/>
        <v/>
      </c>
      <c r="CA12" s="567" t="str">
        <f t="shared" si="28"/>
        <v/>
      </c>
      <c r="CB12" s="567" t="str">
        <f t="shared" si="29"/>
        <v/>
      </c>
      <c r="CC12" s="567" t="str">
        <f t="shared" si="30"/>
        <v/>
      </c>
      <c r="CD12" s="567" t="str">
        <f t="shared" si="31"/>
        <v/>
      </c>
      <c r="CE12" s="567" t="str">
        <f t="shared" si="32"/>
        <v/>
      </c>
      <c r="CF12" s="567" t="str">
        <f t="shared" si="33"/>
        <v/>
      </c>
      <c r="CG12" s="567" t="str">
        <f t="shared" si="34"/>
        <v/>
      </c>
      <c r="CH12" s="567" t="str">
        <f t="shared" si="35"/>
        <v/>
      </c>
      <c r="CI12" s="567" t="str">
        <f t="shared" si="36"/>
        <v/>
      </c>
      <c r="CJ12" s="567" t="str">
        <f t="shared" si="37"/>
        <v/>
      </c>
      <c r="CK12" s="567" t="str">
        <f t="shared" si="38"/>
        <v/>
      </c>
      <c r="CL12" s="567" t="str">
        <f t="shared" si="39"/>
        <v/>
      </c>
      <c r="CM12" s="567" t="str">
        <f t="shared" si="40"/>
        <v/>
      </c>
      <c r="CN12" s="567" t="str">
        <f t="shared" si="41"/>
        <v/>
      </c>
      <c r="CO12" s="567">
        <f t="shared" si="42"/>
        <v>650</v>
      </c>
      <c r="CP12" s="567" t="str">
        <f t="shared" si="43"/>
        <v/>
      </c>
      <c r="CQ12" s="567" t="str">
        <f t="shared" si="44"/>
        <v/>
      </c>
      <c r="CR12" s="567" t="str">
        <f t="shared" si="45"/>
        <v/>
      </c>
      <c r="CS12" s="567" t="str">
        <f t="shared" si="46"/>
        <v/>
      </c>
      <c r="CT12" s="567" t="str">
        <f t="shared" si="47"/>
        <v/>
      </c>
      <c r="CU12" s="567" t="str">
        <f t="shared" si="48"/>
        <v/>
      </c>
      <c r="CV12" s="567" t="str">
        <f t="shared" si="49"/>
        <v/>
      </c>
      <c r="CW12" s="567" t="str">
        <f t="shared" si="50"/>
        <v/>
      </c>
      <c r="CX12" s="567" t="str">
        <f t="shared" si="51"/>
        <v/>
      </c>
      <c r="CY12" s="567" t="str">
        <f t="shared" si="52"/>
        <v/>
      </c>
      <c r="CZ12" s="567" t="str">
        <f t="shared" si="53"/>
        <v/>
      </c>
      <c r="DA12" s="567" t="str">
        <f t="shared" si="54"/>
        <v/>
      </c>
      <c r="DB12" s="567" t="str">
        <f t="shared" si="55"/>
        <v/>
      </c>
      <c r="DC12" s="567" t="str">
        <f t="shared" si="56"/>
        <v/>
      </c>
      <c r="DD12" s="567" t="str">
        <f t="shared" si="57"/>
        <v/>
      </c>
      <c r="DE12" s="567" t="str">
        <f t="shared" si="58"/>
        <v/>
      </c>
      <c r="DF12" s="567" t="str">
        <f t="shared" si="59"/>
        <v/>
      </c>
      <c r="DG12" s="567" t="str">
        <f t="shared" si="60"/>
        <v/>
      </c>
      <c r="DH12" s="567" t="str">
        <f t="shared" si="61"/>
        <v/>
      </c>
      <c r="DI12" s="567">
        <f t="shared" si="62"/>
        <v>1</v>
      </c>
      <c r="DJ12" s="567" t="str">
        <f t="shared" si="63"/>
        <v/>
      </c>
      <c r="DK12" s="567" t="str">
        <f t="shared" si="64"/>
        <v/>
      </c>
      <c r="DL12" s="567" t="str">
        <f t="shared" si="65"/>
        <v/>
      </c>
      <c r="DM12" s="567" t="str">
        <f t="shared" si="66"/>
        <v/>
      </c>
      <c r="DN12" s="567" t="str">
        <f t="shared" si="67"/>
        <v/>
      </c>
      <c r="DO12" s="567" t="str">
        <f t="shared" si="68"/>
        <v/>
      </c>
      <c r="DP12" s="567" t="str">
        <f t="shared" si="69"/>
        <v/>
      </c>
      <c r="DQ12" s="567" t="str">
        <f t="shared" si="70"/>
        <v/>
      </c>
      <c r="DR12" s="567" t="str">
        <f t="shared" si="71"/>
        <v/>
      </c>
      <c r="DS12" s="567" t="str">
        <f t="shared" si="72"/>
        <v/>
      </c>
      <c r="DT12" s="567" t="str">
        <f t="shared" si="73"/>
        <v/>
      </c>
      <c r="DU12" s="567" t="str">
        <f t="shared" si="74"/>
        <v/>
      </c>
      <c r="DV12" s="567" t="str">
        <f t="shared" si="75"/>
        <v/>
      </c>
      <c r="DW12" s="567" t="str">
        <f t="shared" si="76"/>
        <v/>
      </c>
      <c r="DX12" s="567" t="str">
        <f t="shared" si="77"/>
        <v/>
      </c>
      <c r="DY12" s="567" t="str">
        <f t="shared" si="78"/>
        <v/>
      </c>
      <c r="DZ12" s="567" t="str">
        <f t="shared" si="79"/>
        <v/>
      </c>
      <c r="EA12" s="567" t="str">
        <f t="shared" si="80"/>
        <v/>
      </c>
      <c r="EB12" s="567" t="str">
        <f t="shared" si="81"/>
        <v/>
      </c>
      <c r="EC12" s="567" t="str">
        <f t="shared" si="82"/>
        <v/>
      </c>
      <c r="ED12" s="567" t="str">
        <f t="shared" si="83"/>
        <v/>
      </c>
      <c r="EE12" s="567" t="str">
        <f t="shared" si="84"/>
        <v/>
      </c>
      <c r="EF12" s="567" t="str">
        <f t="shared" si="85"/>
        <v/>
      </c>
      <c r="EG12" s="567" t="str">
        <f t="shared" si="86"/>
        <v/>
      </c>
      <c r="EH12" s="567" t="str">
        <f t="shared" si="87"/>
        <v/>
      </c>
      <c r="EI12" s="567" t="str">
        <f t="shared" si="88"/>
        <v/>
      </c>
      <c r="EJ12" s="567" t="str">
        <f t="shared" si="89"/>
        <v/>
      </c>
      <c r="EK12" s="567" t="str">
        <f t="shared" si="90"/>
        <v/>
      </c>
      <c r="EL12" s="567" t="str">
        <f t="shared" si="91"/>
        <v/>
      </c>
      <c r="EM12" s="567" t="str">
        <f t="shared" si="92"/>
        <v/>
      </c>
      <c r="EN12" s="567" t="str">
        <f t="shared" si="93"/>
        <v/>
      </c>
      <c r="EO12" s="567" t="str">
        <f t="shared" si="94"/>
        <v/>
      </c>
      <c r="EP12" s="567" t="str">
        <f t="shared" si="95"/>
        <v/>
      </c>
      <c r="EQ12" s="567" t="str">
        <f t="shared" si="96"/>
        <v/>
      </c>
      <c r="ER12" s="567" t="str">
        <f t="shared" si="97"/>
        <v/>
      </c>
      <c r="ES12" s="567" t="str">
        <f t="shared" si="98"/>
        <v/>
      </c>
      <c r="ET12" s="567" t="str">
        <f t="shared" si="99"/>
        <v/>
      </c>
      <c r="EU12" s="567" t="str">
        <f t="shared" si="100"/>
        <v/>
      </c>
      <c r="EV12" s="577" t="str">
        <f t="shared" si="101"/>
        <v/>
      </c>
      <c r="EW12" s="577">
        <f t="shared" si="102"/>
        <v>1</v>
      </c>
      <c r="EX12" s="577" t="str">
        <f t="shared" si="103"/>
        <v/>
      </c>
      <c r="EY12" s="577" t="str">
        <f t="shared" si="104"/>
        <v/>
      </c>
      <c r="EZ12" s="577" t="str">
        <f t="shared" si="105"/>
        <v/>
      </c>
      <c r="FA12" s="577" t="str">
        <f t="shared" si="106"/>
        <v/>
      </c>
      <c r="FB12" s="577" t="str">
        <f t="shared" si="107"/>
        <v/>
      </c>
      <c r="FC12" s="577" t="str">
        <f t="shared" si="108"/>
        <v/>
      </c>
      <c r="FD12" s="577" t="str">
        <f t="shared" si="109"/>
        <v/>
      </c>
      <c r="FE12" s="577" t="str">
        <f t="shared" si="110"/>
        <v/>
      </c>
      <c r="FF12" s="577" t="str">
        <f t="shared" si="111"/>
        <v/>
      </c>
      <c r="FG12" s="577" t="str">
        <f t="shared" si="112"/>
        <v/>
      </c>
      <c r="FH12" s="577" t="str">
        <f t="shared" si="113"/>
        <v/>
      </c>
      <c r="FI12" s="577" t="str">
        <f t="shared" si="114"/>
        <v/>
      </c>
      <c r="FJ12" s="577" t="str">
        <f t="shared" si="115"/>
        <v/>
      </c>
      <c r="FK12" s="577" t="str">
        <f t="shared" si="116"/>
        <v/>
      </c>
      <c r="FL12" s="577" t="str">
        <f t="shared" si="117"/>
        <v/>
      </c>
      <c r="FM12" s="577" t="str">
        <f t="shared" si="118"/>
        <v/>
      </c>
      <c r="FN12" s="577" t="str">
        <f t="shared" si="119"/>
        <v/>
      </c>
      <c r="FO12" s="577" t="str">
        <f t="shared" si="120"/>
        <v/>
      </c>
      <c r="FP12" s="577" t="str">
        <f t="shared" si="121"/>
        <v/>
      </c>
      <c r="FQ12" s="577" t="str">
        <f t="shared" si="122"/>
        <v/>
      </c>
      <c r="FR12" s="577" t="str">
        <f t="shared" si="123"/>
        <v/>
      </c>
      <c r="FS12" s="577" t="str">
        <f t="shared" si="124"/>
        <v/>
      </c>
      <c r="FT12" s="577" t="str">
        <f t="shared" si="125"/>
        <v/>
      </c>
      <c r="FU12" s="577" t="str">
        <f t="shared" si="126"/>
        <v/>
      </c>
      <c r="FV12" s="577" t="str">
        <f t="shared" si="127"/>
        <v/>
      </c>
      <c r="FW12" s="577" t="str">
        <f t="shared" si="128"/>
        <v/>
      </c>
      <c r="FX12" s="577" t="str">
        <f t="shared" si="129"/>
        <v/>
      </c>
      <c r="FY12" s="577" t="str">
        <f t="shared" si="130"/>
        <v/>
      </c>
      <c r="FZ12" s="577" t="str">
        <f t="shared" si="131"/>
        <v/>
      </c>
      <c r="GA12" s="577" t="str">
        <f t="shared" si="132"/>
        <v/>
      </c>
      <c r="GB12" s="577" t="str">
        <f t="shared" si="133"/>
        <v/>
      </c>
      <c r="GC12" s="577" t="str">
        <f t="shared" si="134"/>
        <v/>
      </c>
      <c r="GD12" s="577" t="str">
        <f t="shared" si="135"/>
        <v/>
      </c>
      <c r="GE12" s="577" t="str">
        <f t="shared" si="136"/>
        <v/>
      </c>
      <c r="GF12" s="577" t="str">
        <f t="shared" si="137"/>
        <v/>
      </c>
      <c r="GG12" s="577" t="str">
        <f t="shared" si="138"/>
        <v/>
      </c>
      <c r="GH12" s="577" t="str">
        <f t="shared" si="139"/>
        <v/>
      </c>
      <c r="GI12" s="577" t="str">
        <f t="shared" si="140"/>
        <v/>
      </c>
      <c r="GJ12" s="577" t="str">
        <f t="shared" si="141"/>
        <v/>
      </c>
      <c r="GK12" s="577">
        <f t="shared" si="142"/>
        <v>1</v>
      </c>
      <c r="GL12" s="577" t="str">
        <f t="shared" si="143"/>
        <v/>
      </c>
      <c r="GM12" s="577" t="str">
        <f t="shared" si="144"/>
        <v/>
      </c>
      <c r="GN12" s="577" t="str">
        <f t="shared" si="145"/>
        <v/>
      </c>
      <c r="GO12" s="578" t="str">
        <f t="shared" si="146"/>
        <v/>
      </c>
      <c r="GP12" s="578" t="str">
        <f t="shared" si="147"/>
        <v/>
      </c>
      <c r="GQ12" s="578" t="str">
        <f t="shared" si="148"/>
        <v/>
      </c>
      <c r="GR12" s="578" t="str">
        <f t="shared" si="149"/>
        <v/>
      </c>
      <c r="GS12" s="578" t="str">
        <f t="shared" si="150"/>
        <v/>
      </c>
      <c r="GT12" s="567" t="str">
        <f t="shared" si="151"/>
        <v/>
      </c>
      <c r="GU12" s="567" t="str">
        <f t="shared" si="152"/>
        <v/>
      </c>
      <c r="GV12" s="567" t="str">
        <f t="shared" si="153"/>
        <v/>
      </c>
      <c r="GW12" s="567" t="str">
        <f t="shared" si="154"/>
        <v/>
      </c>
      <c r="GX12" s="567" t="str">
        <f t="shared" si="155"/>
        <v/>
      </c>
      <c r="GY12" s="567" t="str">
        <f t="shared" si="156"/>
        <v/>
      </c>
      <c r="GZ12" s="567" t="str">
        <f t="shared" si="157"/>
        <v/>
      </c>
      <c r="HA12" s="567" t="str">
        <f t="shared" si="158"/>
        <v/>
      </c>
      <c r="HB12" s="567" t="str">
        <f t="shared" si="159"/>
        <v/>
      </c>
      <c r="HC12" s="567" t="str">
        <f t="shared" si="160"/>
        <v/>
      </c>
      <c r="HD12" s="567" t="str">
        <f t="shared" si="161"/>
        <v/>
      </c>
      <c r="HE12" s="567" t="str">
        <f t="shared" si="162"/>
        <v/>
      </c>
      <c r="HF12" s="567" t="str">
        <f t="shared" si="163"/>
        <v/>
      </c>
      <c r="HG12" s="567" t="str">
        <f t="shared" si="164"/>
        <v/>
      </c>
      <c r="HH12" s="567" t="str">
        <f t="shared" si="165"/>
        <v/>
      </c>
      <c r="HI12" s="567" t="str">
        <f t="shared" si="166"/>
        <v/>
      </c>
      <c r="HJ12" s="567" t="str">
        <f t="shared" si="167"/>
        <v/>
      </c>
      <c r="HK12" s="567" t="str">
        <f t="shared" si="168"/>
        <v/>
      </c>
      <c r="HL12" s="567" t="str">
        <f t="shared" si="169"/>
        <v/>
      </c>
      <c r="HM12" s="567" t="str">
        <f t="shared" si="170"/>
        <v/>
      </c>
    </row>
    <row r="13" spans="1:255" ht="13.15" customHeight="1">
      <c r="A13" s="126" t="str">
        <f t="shared" si="171"/>
        <v/>
      </c>
      <c r="B13" s="1203" t="s">
        <v>121</v>
      </c>
      <c r="C13" s="1204">
        <v>2</v>
      </c>
      <c r="D13" s="1205">
        <v>1</v>
      </c>
      <c r="E13" s="1206">
        <v>5</v>
      </c>
      <c r="F13" s="1206">
        <v>900</v>
      </c>
      <c r="G13" s="1206">
        <v>588</v>
      </c>
      <c r="H13" s="1206">
        <v>588</v>
      </c>
      <c r="I13" s="1206">
        <v>160</v>
      </c>
      <c r="J13" s="1207"/>
      <c r="K13" s="198">
        <f t="shared" si="172"/>
        <v>428</v>
      </c>
      <c r="L13" s="198">
        <f t="shared" si="0"/>
        <v>2140</v>
      </c>
      <c r="M13" s="1099" t="s">
        <v>3425</v>
      </c>
      <c r="N13" s="1099" t="s">
        <v>3477</v>
      </c>
      <c r="O13" s="1099" t="s">
        <v>2436</v>
      </c>
      <c r="P13" s="518">
        <f>IF(H13="","",H13*12/0.3)</f>
        <v>23520</v>
      </c>
      <c r="Q13" s="519">
        <f>IF(H13="","",P13/($P$6*VLOOKUP(C13,'DCA Underwriting Assumptions'!$J$82:$K$87,2,FALSE)))</f>
        <v>0.49968132568514978</v>
      </c>
      <c r="R13" s="607"/>
      <c r="S13" s="519"/>
      <c r="T13" s="1643"/>
      <c r="U13" s="1644"/>
      <c r="V13" s="567" t="str">
        <f t="shared" si="1"/>
        <v/>
      </c>
      <c r="W13" s="567" t="str">
        <f t="shared" si="2"/>
        <v/>
      </c>
      <c r="X13" s="567" t="str">
        <f t="shared" si="3"/>
        <v/>
      </c>
      <c r="Y13" s="567" t="str">
        <f t="shared" si="4"/>
        <v/>
      </c>
      <c r="Z13" s="567" t="str">
        <f t="shared" si="5"/>
        <v/>
      </c>
      <c r="AA13" s="567" t="str">
        <f t="shared" si="6"/>
        <v/>
      </c>
      <c r="AB13" s="567" t="str">
        <f t="shared" si="7"/>
        <v/>
      </c>
      <c r="AC13" s="567">
        <f t="shared" si="8"/>
        <v>5</v>
      </c>
      <c r="AD13" s="567" t="str">
        <f t="shared" si="9"/>
        <v/>
      </c>
      <c r="AE13" s="567" t="str">
        <f t="shared" si="10"/>
        <v/>
      </c>
      <c r="AF13" s="567" t="str">
        <f t="shared" si="11"/>
        <v/>
      </c>
      <c r="AG13" s="567" t="str">
        <f t="shared" si="12"/>
        <v/>
      </c>
      <c r="AH13" s="567" t="str">
        <f t="shared" si="13"/>
        <v/>
      </c>
      <c r="AI13" s="567" t="str">
        <f t="shared" si="14"/>
        <v/>
      </c>
      <c r="AJ13" s="567" t="str">
        <f t="shared" si="15"/>
        <v/>
      </c>
      <c r="AK13" s="567" t="str">
        <f t="shared" si="16"/>
        <v/>
      </c>
      <c r="AL13" s="567" t="str">
        <f t="shared" si="17"/>
        <v/>
      </c>
      <c r="AM13" s="567" t="str">
        <f t="shared" si="18"/>
        <v/>
      </c>
      <c r="AN13" s="567" t="str">
        <f t="shared" si="19"/>
        <v/>
      </c>
      <c r="AO13" s="567" t="str">
        <f t="shared" si="20"/>
        <v/>
      </c>
      <c r="AP13" s="567" t="str">
        <f t="shared" si="173"/>
        <v/>
      </c>
      <c r="AQ13" s="567" t="str">
        <f t="shared" si="174"/>
        <v/>
      </c>
      <c r="AR13" s="567" t="str">
        <f t="shared" si="175"/>
        <v/>
      </c>
      <c r="AS13" s="567" t="str">
        <f t="shared" si="176"/>
        <v/>
      </c>
      <c r="AT13" s="567" t="str">
        <f t="shared" si="177"/>
        <v/>
      </c>
      <c r="AU13" s="567" t="str">
        <f t="shared" si="178"/>
        <v/>
      </c>
      <c r="AV13" s="567" t="str">
        <f t="shared" si="179"/>
        <v/>
      </c>
      <c r="AW13" s="567" t="str">
        <f t="shared" si="180"/>
        <v/>
      </c>
      <c r="AX13" s="567" t="str">
        <f t="shared" si="181"/>
        <v/>
      </c>
      <c r="AY13" s="567" t="str">
        <f t="shared" si="182"/>
        <v/>
      </c>
      <c r="AZ13" s="567" t="str">
        <f t="shared" si="183"/>
        <v/>
      </c>
      <c r="BA13" s="567" t="str">
        <f t="shared" si="184"/>
        <v/>
      </c>
      <c r="BB13" s="567" t="str">
        <f t="shared" si="185"/>
        <v/>
      </c>
      <c r="BC13" s="567" t="str">
        <f t="shared" si="186"/>
        <v/>
      </c>
      <c r="BD13" s="567" t="str">
        <f t="shared" si="187"/>
        <v/>
      </c>
      <c r="BE13" s="567" t="str">
        <f t="shared" si="188"/>
        <v/>
      </c>
      <c r="BF13" s="567" t="str">
        <f t="shared" si="189"/>
        <v/>
      </c>
      <c r="BG13" s="567" t="str">
        <f t="shared" si="190"/>
        <v/>
      </c>
      <c r="BH13" s="567" t="str">
        <f t="shared" si="191"/>
        <v/>
      </c>
      <c r="BI13" s="567" t="str">
        <f t="shared" si="192"/>
        <v/>
      </c>
      <c r="BJ13" s="567" t="str">
        <f t="shared" si="193"/>
        <v/>
      </c>
      <c r="BK13" s="567" t="str">
        <f t="shared" si="194"/>
        <v/>
      </c>
      <c r="BL13" s="567" t="str">
        <f t="shared" si="195"/>
        <v/>
      </c>
      <c r="BM13" s="567" t="str">
        <f t="shared" si="196"/>
        <v/>
      </c>
      <c r="BN13" s="567" t="str">
        <f t="shared" si="197"/>
        <v/>
      </c>
      <c r="BO13" s="567" t="str">
        <f t="shared" si="198"/>
        <v/>
      </c>
      <c r="BP13" s="567" t="str">
        <f t="shared" si="199"/>
        <v/>
      </c>
      <c r="BQ13" s="567" t="str">
        <f t="shared" si="200"/>
        <v/>
      </c>
      <c r="BR13" s="567" t="str">
        <f t="shared" si="201"/>
        <v/>
      </c>
      <c r="BS13" s="567" t="str">
        <f t="shared" si="202"/>
        <v/>
      </c>
      <c r="BT13" s="567" t="str">
        <f t="shared" si="21"/>
        <v/>
      </c>
      <c r="BU13" s="567" t="str">
        <f t="shared" si="22"/>
        <v/>
      </c>
      <c r="BV13" s="567" t="str">
        <f t="shared" si="23"/>
        <v/>
      </c>
      <c r="BW13" s="567" t="str">
        <f t="shared" si="24"/>
        <v/>
      </c>
      <c r="BX13" s="567" t="str">
        <f t="shared" si="25"/>
        <v/>
      </c>
      <c r="BY13" s="567" t="str">
        <f t="shared" si="26"/>
        <v/>
      </c>
      <c r="BZ13" s="567" t="str">
        <f t="shared" si="27"/>
        <v/>
      </c>
      <c r="CA13" s="567" t="str">
        <f t="shared" si="28"/>
        <v/>
      </c>
      <c r="CB13" s="567" t="str">
        <f t="shared" si="29"/>
        <v/>
      </c>
      <c r="CC13" s="567" t="str">
        <f t="shared" si="30"/>
        <v/>
      </c>
      <c r="CD13" s="567" t="str">
        <f t="shared" si="31"/>
        <v/>
      </c>
      <c r="CE13" s="567" t="str">
        <f t="shared" si="32"/>
        <v/>
      </c>
      <c r="CF13" s="567">
        <f t="shared" si="33"/>
        <v>4500</v>
      </c>
      <c r="CG13" s="567" t="str">
        <f t="shared" si="34"/>
        <v/>
      </c>
      <c r="CH13" s="567" t="str">
        <f t="shared" si="35"/>
        <v/>
      </c>
      <c r="CI13" s="567" t="str">
        <f t="shared" si="36"/>
        <v/>
      </c>
      <c r="CJ13" s="567" t="str">
        <f t="shared" si="37"/>
        <v/>
      </c>
      <c r="CK13" s="567" t="str">
        <f t="shared" si="38"/>
        <v/>
      </c>
      <c r="CL13" s="567" t="str">
        <f t="shared" si="39"/>
        <v/>
      </c>
      <c r="CM13" s="567" t="str">
        <f t="shared" si="40"/>
        <v/>
      </c>
      <c r="CN13" s="567" t="str">
        <f t="shared" si="41"/>
        <v/>
      </c>
      <c r="CO13" s="567" t="str">
        <f t="shared" si="42"/>
        <v/>
      </c>
      <c r="CP13" s="567" t="str">
        <f t="shared" si="43"/>
        <v/>
      </c>
      <c r="CQ13" s="567" t="str">
        <f t="shared" si="44"/>
        <v/>
      </c>
      <c r="CR13" s="567" t="str">
        <f t="shared" si="45"/>
        <v/>
      </c>
      <c r="CS13" s="567" t="str">
        <f t="shared" si="46"/>
        <v/>
      </c>
      <c r="CT13" s="567" t="str">
        <f t="shared" si="47"/>
        <v/>
      </c>
      <c r="CU13" s="567" t="str">
        <f t="shared" si="48"/>
        <v/>
      </c>
      <c r="CV13" s="567" t="str">
        <f t="shared" si="49"/>
        <v/>
      </c>
      <c r="CW13" s="567" t="str">
        <f t="shared" si="50"/>
        <v/>
      </c>
      <c r="CX13" s="567" t="str">
        <f t="shared" si="51"/>
        <v/>
      </c>
      <c r="CY13" s="567" t="str">
        <f t="shared" si="52"/>
        <v/>
      </c>
      <c r="CZ13" s="567" t="str">
        <f t="shared" si="53"/>
        <v/>
      </c>
      <c r="DA13" s="567" t="str">
        <f t="shared" si="54"/>
        <v/>
      </c>
      <c r="DB13" s="567" t="str">
        <f t="shared" si="55"/>
        <v/>
      </c>
      <c r="DC13" s="567" t="str">
        <f t="shared" si="56"/>
        <v/>
      </c>
      <c r="DD13" s="567" t="str">
        <f t="shared" si="57"/>
        <v/>
      </c>
      <c r="DE13" s="567">
        <f t="shared" si="58"/>
        <v>5</v>
      </c>
      <c r="DF13" s="567" t="str">
        <f t="shared" si="59"/>
        <v/>
      </c>
      <c r="DG13" s="567" t="str">
        <f t="shared" si="60"/>
        <v/>
      </c>
      <c r="DH13" s="567" t="str">
        <f t="shared" si="61"/>
        <v/>
      </c>
      <c r="DI13" s="567" t="str">
        <f t="shared" si="62"/>
        <v/>
      </c>
      <c r="DJ13" s="567" t="str">
        <f t="shared" si="63"/>
        <v/>
      </c>
      <c r="DK13" s="567" t="str">
        <f t="shared" si="64"/>
        <v/>
      </c>
      <c r="DL13" s="567" t="str">
        <f t="shared" si="65"/>
        <v/>
      </c>
      <c r="DM13" s="567" t="str">
        <f t="shared" si="66"/>
        <v/>
      </c>
      <c r="DN13" s="567" t="str">
        <f t="shared" si="67"/>
        <v/>
      </c>
      <c r="DO13" s="567" t="str">
        <f t="shared" si="68"/>
        <v/>
      </c>
      <c r="DP13" s="567" t="str">
        <f t="shared" si="69"/>
        <v/>
      </c>
      <c r="DQ13" s="567" t="str">
        <f t="shared" si="70"/>
        <v/>
      </c>
      <c r="DR13" s="567" t="str">
        <f t="shared" si="71"/>
        <v/>
      </c>
      <c r="DS13" s="567" t="str">
        <f t="shared" si="72"/>
        <v/>
      </c>
      <c r="DT13" s="567" t="str">
        <f t="shared" si="73"/>
        <v/>
      </c>
      <c r="DU13" s="567" t="str">
        <f t="shared" si="74"/>
        <v/>
      </c>
      <c r="DV13" s="567" t="str">
        <f t="shared" si="75"/>
        <v/>
      </c>
      <c r="DW13" s="567" t="str">
        <f t="shared" si="76"/>
        <v/>
      </c>
      <c r="DX13" s="567" t="str">
        <f t="shared" si="77"/>
        <v/>
      </c>
      <c r="DY13" s="567" t="str">
        <f t="shared" si="78"/>
        <v/>
      </c>
      <c r="DZ13" s="567" t="str">
        <f t="shared" si="79"/>
        <v/>
      </c>
      <c r="EA13" s="567" t="str">
        <f t="shared" si="80"/>
        <v/>
      </c>
      <c r="EB13" s="567" t="str">
        <f t="shared" si="81"/>
        <v/>
      </c>
      <c r="EC13" s="567" t="str">
        <f t="shared" si="82"/>
        <v/>
      </c>
      <c r="ED13" s="567" t="str">
        <f t="shared" si="83"/>
        <v/>
      </c>
      <c r="EE13" s="567" t="str">
        <f t="shared" si="84"/>
        <v/>
      </c>
      <c r="EF13" s="567" t="str">
        <f t="shared" si="85"/>
        <v/>
      </c>
      <c r="EG13" s="567" t="str">
        <f t="shared" si="86"/>
        <v/>
      </c>
      <c r="EH13" s="567" t="str">
        <f t="shared" si="87"/>
        <v/>
      </c>
      <c r="EI13" s="567" t="str">
        <f t="shared" si="88"/>
        <v/>
      </c>
      <c r="EJ13" s="567" t="str">
        <f t="shared" si="89"/>
        <v/>
      </c>
      <c r="EK13" s="567" t="str">
        <f t="shared" si="90"/>
        <v/>
      </c>
      <c r="EL13" s="567" t="str">
        <f t="shared" si="91"/>
        <v/>
      </c>
      <c r="EM13" s="567" t="str">
        <f t="shared" si="92"/>
        <v/>
      </c>
      <c r="EN13" s="567" t="str">
        <f t="shared" si="93"/>
        <v/>
      </c>
      <c r="EO13" s="567" t="str">
        <f t="shared" si="94"/>
        <v/>
      </c>
      <c r="EP13" s="567" t="str">
        <f t="shared" si="95"/>
        <v/>
      </c>
      <c r="EQ13" s="567" t="str">
        <f t="shared" si="96"/>
        <v/>
      </c>
      <c r="ER13" s="567" t="str">
        <f t="shared" si="97"/>
        <v/>
      </c>
      <c r="ES13" s="567" t="str">
        <f t="shared" si="98"/>
        <v/>
      </c>
      <c r="ET13" s="567" t="str">
        <f t="shared" si="99"/>
        <v/>
      </c>
      <c r="EU13" s="567" t="str">
        <f t="shared" si="100"/>
        <v/>
      </c>
      <c r="EV13" s="577" t="str">
        <f t="shared" si="101"/>
        <v/>
      </c>
      <c r="EW13" s="577" t="str">
        <f t="shared" si="102"/>
        <v/>
      </c>
      <c r="EX13" s="577">
        <f t="shared" si="103"/>
        <v>5</v>
      </c>
      <c r="EY13" s="577" t="str">
        <f t="shared" si="104"/>
        <v/>
      </c>
      <c r="EZ13" s="577" t="str">
        <f t="shared" si="105"/>
        <v/>
      </c>
      <c r="FA13" s="577" t="str">
        <f t="shared" si="106"/>
        <v/>
      </c>
      <c r="FB13" s="577" t="str">
        <f t="shared" si="107"/>
        <v/>
      </c>
      <c r="FC13" s="577" t="str">
        <f t="shared" si="108"/>
        <v/>
      </c>
      <c r="FD13" s="577" t="str">
        <f t="shared" si="109"/>
        <v/>
      </c>
      <c r="FE13" s="577" t="str">
        <f t="shared" si="110"/>
        <v/>
      </c>
      <c r="FF13" s="577" t="str">
        <f t="shared" si="111"/>
        <v/>
      </c>
      <c r="FG13" s="577" t="str">
        <f t="shared" si="112"/>
        <v/>
      </c>
      <c r="FH13" s="577" t="str">
        <f t="shared" si="113"/>
        <v/>
      </c>
      <c r="FI13" s="577" t="str">
        <f t="shared" si="114"/>
        <v/>
      </c>
      <c r="FJ13" s="577" t="str">
        <f t="shared" si="115"/>
        <v/>
      </c>
      <c r="FK13" s="577" t="str">
        <f t="shared" si="116"/>
        <v/>
      </c>
      <c r="FL13" s="577" t="str">
        <f t="shared" si="117"/>
        <v/>
      </c>
      <c r="FM13" s="577" t="str">
        <f t="shared" si="118"/>
        <v/>
      </c>
      <c r="FN13" s="577" t="str">
        <f t="shared" si="119"/>
        <v/>
      </c>
      <c r="FO13" s="577" t="str">
        <f t="shared" si="120"/>
        <v/>
      </c>
      <c r="FP13" s="577" t="str">
        <f t="shared" si="121"/>
        <v/>
      </c>
      <c r="FQ13" s="577" t="str">
        <f t="shared" si="122"/>
        <v/>
      </c>
      <c r="FR13" s="577" t="str">
        <f t="shared" si="123"/>
        <v/>
      </c>
      <c r="FS13" s="577" t="str">
        <f t="shared" si="124"/>
        <v/>
      </c>
      <c r="FT13" s="577" t="str">
        <f t="shared" si="125"/>
        <v/>
      </c>
      <c r="FU13" s="577" t="str">
        <f t="shared" si="126"/>
        <v/>
      </c>
      <c r="FV13" s="577" t="str">
        <f t="shared" si="127"/>
        <v/>
      </c>
      <c r="FW13" s="577" t="str">
        <f t="shared" si="128"/>
        <v/>
      </c>
      <c r="FX13" s="577" t="str">
        <f t="shared" si="129"/>
        <v/>
      </c>
      <c r="FY13" s="577" t="str">
        <f t="shared" si="130"/>
        <v/>
      </c>
      <c r="FZ13" s="577" t="str">
        <f t="shared" si="131"/>
        <v/>
      </c>
      <c r="GA13" s="577" t="str">
        <f t="shared" si="132"/>
        <v/>
      </c>
      <c r="GB13" s="577" t="str">
        <f t="shared" si="133"/>
        <v/>
      </c>
      <c r="GC13" s="577" t="str">
        <f t="shared" si="134"/>
        <v/>
      </c>
      <c r="GD13" s="577" t="str">
        <f t="shared" si="135"/>
        <v/>
      </c>
      <c r="GE13" s="577" t="str">
        <f t="shared" si="136"/>
        <v/>
      </c>
      <c r="GF13" s="577" t="str">
        <f t="shared" si="137"/>
        <v/>
      </c>
      <c r="GG13" s="577" t="str">
        <f t="shared" si="138"/>
        <v/>
      </c>
      <c r="GH13" s="577" t="str">
        <f t="shared" si="139"/>
        <v/>
      </c>
      <c r="GI13" s="577" t="str">
        <f t="shared" si="140"/>
        <v/>
      </c>
      <c r="GJ13" s="577" t="str">
        <f t="shared" si="141"/>
        <v/>
      </c>
      <c r="GK13" s="577" t="str">
        <f t="shared" si="142"/>
        <v/>
      </c>
      <c r="GL13" s="577">
        <f t="shared" si="143"/>
        <v>5</v>
      </c>
      <c r="GM13" s="577" t="str">
        <f t="shared" si="144"/>
        <v/>
      </c>
      <c r="GN13" s="577" t="str">
        <f t="shared" si="145"/>
        <v/>
      </c>
      <c r="GO13" s="578" t="str">
        <f t="shared" si="146"/>
        <v/>
      </c>
      <c r="GP13" s="578" t="str">
        <f t="shared" si="147"/>
        <v/>
      </c>
      <c r="GQ13" s="578" t="str">
        <f t="shared" si="148"/>
        <v/>
      </c>
      <c r="GR13" s="578" t="str">
        <f t="shared" si="149"/>
        <v/>
      </c>
      <c r="GS13" s="578" t="str">
        <f t="shared" si="150"/>
        <v/>
      </c>
      <c r="GT13" s="567" t="str">
        <f t="shared" si="151"/>
        <v/>
      </c>
      <c r="GU13" s="567" t="str">
        <f t="shared" si="152"/>
        <v/>
      </c>
      <c r="GV13" s="567" t="str">
        <f t="shared" si="153"/>
        <v/>
      </c>
      <c r="GW13" s="567" t="str">
        <f t="shared" si="154"/>
        <v/>
      </c>
      <c r="GX13" s="567" t="str">
        <f t="shared" si="155"/>
        <v/>
      </c>
      <c r="GY13" s="567" t="str">
        <f t="shared" si="156"/>
        <v/>
      </c>
      <c r="GZ13" s="567" t="str">
        <f t="shared" si="157"/>
        <v/>
      </c>
      <c r="HA13" s="567" t="str">
        <f t="shared" si="158"/>
        <v/>
      </c>
      <c r="HB13" s="567" t="str">
        <f t="shared" si="159"/>
        <v/>
      </c>
      <c r="HC13" s="567" t="str">
        <f t="shared" si="160"/>
        <v/>
      </c>
      <c r="HD13" s="567" t="str">
        <f t="shared" si="161"/>
        <v/>
      </c>
      <c r="HE13" s="567" t="str">
        <f t="shared" si="162"/>
        <v/>
      </c>
      <c r="HF13" s="567" t="str">
        <f t="shared" si="163"/>
        <v/>
      </c>
      <c r="HG13" s="567" t="str">
        <f t="shared" si="164"/>
        <v/>
      </c>
      <c r="HH13" s="567" t="str">
        <f t="shared" si="165"/>
        <v/>
      </c>
      <c r="HI13" s="567" t="str">
        <f t="shared" si="166"/>
        <v/>
      </c>
      <c r="HJ13" s="567" t="str">
        <f t="shared" si="167"/>
        <v/>
      </c>
      <c r="HK13" s="567" t="str">
        <f t="shared" si="168"/>
        <v/>
      </c>
      <c r="HL13" s="567" t="str">
        <f t="shared" si="169"/>
        <v/>
      </c>
      <c r="HM13" s="567" t="str">
        <f t="shared" si="170"/>
        <v/>
      </c>
    </row>
    <row r="14" spans="1:255" ht="13.15" customHeight="1">
      <c r="A14" s="126" t="str">
        <f t="shared" si="171"/>
        <v/>
      </c>
      <c r="B14" s="1203" t="s">
        <v>1212</v>
      </c>
      <c r="C14" s="1204">
        <v>2</v>
      </c>
      <c r="D14" s="1205">
        <v>1</v>
      </c>
      <c r="E14" s="1206">
        <v>23</v>
      </c>
      <c r="F14" s="1206">
        <v>900</v>
      </c>
      <c r="G14" s="1206">
        <v>706</v>
      </c>
      <c r="H14" s="1206">
        <v>706</v>
      </c>
      <c r="I14" s="1206">
        <v>160</v>
      </c>
      <c r="J14" s="1207"/>
      <c r="K14" s="198">
        <f t="shared" si="172"/>
        <v>546</v>
      </c>
      <c r="L14" s="198">
        <f t="shared" si="0"/>
        <v>12558</v>
      </c>
      <c r="M14" s="1099" t="s">
        <v>3425</v>
      </c>
      <c r="N14" s="1099" t="s">
        <v>3477</v>
      </c>
      <c r="O14" s="1099" t="s">
        <v>2436</v>
      </c>
      <c r="P14" s="518">
        <f>IF(H14="","",H14*12/0.3)</f>
        <v>28240</v>
      </c>
      <c r="Q14" s="519">
        <f>IF(H14="","",P14/($P$6*VLOOKUP(C14,'DCA Underwriting Assumptions'!$J$82:$K$87,2,FALSE)))</f>
        <v>0.59995751009135334</v>
      </c>
      <c r="R14" s="607"/>
      <c r="S14" s="519"/>
      <c r="T14" s="1643"/>
      <c r="U14" s="1644"/>
      <c r="V14" s="567" t="str">
        <f t="shared" si="1"/>
        <v/>
      </c>
      <c r="W14" s="567" t="str">
        <f t="shared" si="2"/>
        <v/>
      </c>
      <c r="X14" s="567">
        <f t="shared" si="3"/>
        <v>23</v>
      </c>
      <c r="Y14" s="567" t="str">
        <f t="shared" si="4"/>
        <v/>
      </c>
      <c r="Z14" s="567" t="str">
        <f t="shared" si="5"/>
        <v/>
      </c>
      <c r="AA14" s="567" t="str">
        <f t="shared" si="6"/>
        <v/>
      </c>
      <c r="AB14" s="567" t="str">
        <f t="shared" si="7"/>
        <v/>
      </c>
      <c r="AC14" s="567" t="str">
        <f t="shared" si="8"/>
        <v/>
      </c>
      <c r="AD14" s="567" t="str">
        <f t="shared" si="9"/>
        <v/>
      </c>
      <c r="AE14" s="567" t="str">
        <f t="shared" si="10"/>
        <v/>
      </c>
      <c r="AF14" s="567" t="str">
        <f t="shared" si="11"/>
        <v/>
      </c>
      <c r="AG14" s="567" t="str">
        <f t="shared" si="12"/>
        <v/>
      </c>
      <c r="AH14" s="567" t="str">
        <f t="shared" si="13"/>
        <v/>
      </c>
      <c r="AI14" s="567" t="str">
        <f t="shared" si="14"/>
        <v/>
      </c>
      <c r="AJ14" s="567" t="str">
        <f t="shared" si="15"/>
        <v/>
      </c>
      <c r="AK14" s="567" t="str">
        <f t="shared" si="16"/>
        <v/>
      </c>
      <c r="AL14" s="567" t="str">
        <f t="shared" si="17"/>
        <v/>
      </c>
      <c r="AM14" s="567" t="str">
        <f t="shared" si="18"/>
        <v/>
      </c>
      <c r="AN14" s="567" t="str">
        <f t="shared" si="19"/>
        <v/>
      </c>
      <c r="AO14" s="567" t="str">
        <f t="shared" si="20"/>
        <v/>
      </c>
      <c r="AP14" s="567" t="str">
        <f t="shared" si="173"/>
        <v/>
      </c>
      <c r="AQ14" s="567" t="str">
        <f t="shared" si="174"/>
        <v/>
      </c>
      <c r="AR14" s="567" t="str">
        <f t="shared" si="175"/>
        <v/>
      </c>
      <c r="AS14" s="567" t="str">
        <f t="shared" si="176"/>
        <v/>
      </c>
      <c r="AT14" s="567" t="str">
        <f t="shared" si="177"/>
        <v/>
      </c>
      <c r="AU14" s="567" t="str">
        <f t="shared" si="178"/>
        <v/>
      </c>
      <c r="AV14" s="567" t="str">
        <f t="shared" si="179"/>
        <v/>
      </c>
      <c r="AW14" s="567" t="str">
        <f t="shared" si="180"/>
        <v/>
      </c>
      <c r="AX14" s="567" t="str">
        <f t="shared" si="181"/>
        <v/>
      </c>
      <c r="AY14" s="567" t="str">
        <f t="shared" si="182"/>
        <v/>
      </c>
      <c r="AZ14" s="567" t="str">
        <f t="shared" si="183"/>
        <v/>
      </c>
      <c r="BA14" s="567" t="str">
        <f t="shared" si="184"/>
        <v/>
      </c>
      <c r="BB14" s="567" t="str">
        <f t="shared" si="185"/>
        <v/>
      </c>
      <c r="BC14" s="567" t="str">
        <f t="shared" si="186"/>
        <v/>
      </c>
      <c r="BD14" s="567" t="str">
        <f t="shared" si="187"/>
        <v/>
      </c>
      <c r="BE14" s="567" t="str">
        <f t="shared" si="188"/>
        <v/>
      </c>
      <c r="BF14" s="567" t="str">
        <f t="shared" si="189"/>
        <v/>
      </c>
      <c r="BG14" s="567" t="str">
        <f t="shared" si="190"/>
        <v/>
      </c>
      <c r="BH14" s="567" t="str">
        <f t="shared" si="191"/>
        <v/>
      </c>
      <c r="BI14" s="567" t="str">
        <f t="shared" si="192"/>
        <v/>
      </c>
      <c r="BJ14" s="567" t="str">
        <f t="shared" si="193"/>
        <v/>
      </c>
      <c r="BK14" s="567" t="str">
        <f t="shared" si="194"/>
        <v/>
      </c>
      <c r="BL14" s="567" t="str">
        <f t="shared" si="195"/>
        <v/>
      </c>
      <c r="BM14" s="567" t="str">
        <f t="shared" si="196"/>
        <v/>
      </c>
      <c r="BN14" s="567" t="str">
        <f t="shared" si="197"/>
        <v/>
      </c>
      <c r="BO14" s="567" t="str">
        <f t="shared" si="198"/>
        <v/>
      </c>
      <c r="BP14" s="567" t="str">
        <f t="shared" si="199"/>
        <v/>
      </c>
      <c r="BQ14" s="567" t="str">
        <f t="shared" si="200"/>
        <v/>
      </c>
      <c r="BR14" s="567" t="str">
        <f t="shared" si="201"/>
        <v/>
      </c>
      <c r="BS14" s="567" t="str">
        <f t="shared" si="202"/>
        <v/>
      </c>
      <c r="BT14" s="567" t="str">
        <f t="shared" si="21"/>
        <v/>
      </c>
      <c r="BU14" s="567" t="str">
        <f t="shared" si="22"/>
        <v/>
      </c>
      <c r="BV14" s="567" t="str">
        <f t="shared" si="23"/>
        <v/>
      </c>
      <c r="BW14" s="567" t="str">
        <f t="shared" si="24"/>
        <v/>
      </c>
      <c r="BX14" s="567" t="str">
        <f t="shared" si="25"/>
        <v/>
      </c>
      <c r="BY14" s="567" t="str">
        <f t="shared" si="26"/>
        <v/>
      </c>
      <c r="BZ14" s="567" t="str">
        <f t="shared" si="27"/>
        <v/>
      </c>
      <c r="CA14" s="567">
        <f t="shared" si="28"/>
        <v>20700</v>
      </c>
      <c r="CB14" s="567" t="str">
        <f t="shared" si="29"/>
        <v/>
      </c>
      <c r="CC14" s="567" t="str">
        <f t="shared" si="30"/>
        <v/>
      </c>
      <c r="CD14" s="567" t="str">
        <f t="shared" si="31"/>
        <v/>
      </c>
      <c r="CE14" s="567" t="str">
        <f t="shared" si="32"/>
        <v/>
      </c>
      <c r="CF14" s="567" t="str">
        <f t="shared" si="33"/>
        <v/>
      </c>
      <c r="CG14" s="567" t="str">
        <f t="shared" si="34"/>
        <v/>
      </c>
      <c r="CH14" s="567" t="str">
        <f t="shared" si="35"/>
        <v/>
      </c>
      <c r="CI14" s="567" t="str">
        <f t="shared" si="36"/>
        <v/>
      </c>
      <c r="CJ14" s="567" t="str">
        <f t="shared" si="37"/>
        <v/>
      </c>
      <c r="CK14" s="567" t="str">
        <f t="shared" si="38"/>
        <v/>
      </c>
      <c r="CL14" s="567" t="str">
        <f t="shared" si="39"/>
        <v/>
      </c>
      <c r="CM14" s="567" t="str">
        <f t="shared" si="40"/>
        <v/>
      </c>
      <c r="CN14" s="567" t="str">
        <f t="shared" si="41"/>
        <v/>
      </c>
      <c r="CO14" s="567" t="str">
        <f t="shared" si="42"/>
        <v/>
      </c>
      <c r="CP14" s="567" t="str">
        <f t="shared" si="43"/>
        <v/>
      </c>
      <c r="CQ14" s="567" t="str">
        <f t="shared" si="44"/>
        <v/>
      </c>
      <c r="CR14" s="567" t="str">
        <f t="shared" si="45"/>
        <v/>
      </c>
      <c r="CS14" s="567" t="str">
        <f t="shared" si="46"/>
        <v/>
      </c>
      <c r="CT14" s="567" t="str">
        <f t="shared" si="47"/>
        <v/>
      </c>
      <c r="CU14" s="567" t="str">
        <f t="shared" si="48"/>
        <v/>
      </c>
      <c r="CV14" s="567" t="str">
        <f t="shared" si="49"/>
        <v/>
      </c>
      <c r="CW14" s="567" t="str">
        <f t="shared" si="50"/>
        <v/>
      </c>
      <c r="CX14" s="567" t="str">
        <f t="shared" si="51"/>
        <v/>
      </c>
      <c r="CY14" s="567" t="str">
        <f t="shared" si="52"/>
        <v/>
      </c>
      <c r="CZ14" s="567" t="str">
        <f t="shared" si="53"/>
        <v/>
      </c>
      <c r="DA14" s="567" t="str">
        <f t="shared" si="54"/>
        <v/>
      </c>
      <c r="DB14" s="567" t="str">
        <f t="shared" si="55"/>
        <v/>
      </c>
      <c r="DC14" s="567" t="str">
        <f t="shared" si="56"/>
        <v/>
      </c>
      <c r="DD14" s="567" t="str">
        <f t="shared" si="57"/>
        <v/>
      </c>
      <c r="DE14" s="567">
        <f t="shared" si="58"/>
        <v>23</v>
      </c>
      <c r="DF14" s="567" t="str">
        <f t="shared" si="59"/>
        <v/>
      </c>
      <c r="DG14" s="567" t="str">
        <f t="shared" si="60"/>
        <v/>
      </c>
      <c r="DH14" s="567" t="str">
        <f t="shared" si="61"/>
        <v/>
      </c>
      <c r="DI14" s="567" t="str">
        <f t="shared" si="62"/>
        <v/>
      </c>
      <c r="DJ14" s="567" t="str">
        <f t="shared" si="63"/>
        <v/>
      </c>
      <c r="DK14" s="567" t="str">
        <f t="shared" si="64"/>
        <v/>
      </c>
      <c r="DL14" s="567" t="str">
        <f t="shared" si="65"/>
        <v/>
      </c>
      <c r="DM14" s="567" t="str">
        <f t="shared" si="66"/>
        <v/>
      </c>
      <c r="DN14" s="567" t="str">
        <f t="shared" si="67"/>
        <v/>
      </c>
      <c r="DO14" s="567" t="str">
        <f t="shared" si="68"/>
        <v/>
      </c>
      <c r="DP14" s="567" t="str">
        <f t="shared" si="69"/>
        <v/>
      </c>
      <c r="DQ14" s="567" t="str">
        <f t="shared" si="70"/>
        <v/>
      </c>
      <c r="DR14" s="567" t="str">
        <f t="shared" si="71"/>
        <v/>
      </c>
      <c r="DS14" s="567" t="str">
        <f t="shared" si="72"/>
        <v/>
      </c>
      <c r="DT14" s="567" t="str">
        <f t="shared" si="73"/>
        <v/>
      </c>
      <c r="DU14" s="567" t="str">
        <f t="shared" si="74"/>
        <v/>
      </c>
      <c r="DV14" s="567" t="str">
        <f t="shared" si="75"/>
        <v/>
      </c>
      <c r="DW14" s="567" t="str">
        <f t="shared" si="76"/>
        <v/>
      </c>
      <c r="DX14" s="567" t="str">
        <f t="shared" si="77"/>
        <v/>
      </c>
      <c r="DY14" s="567" t="str">
        <f t="shared" si="78"/>
        <v/>
      </c>
      <c r="DZ14" s="567" t="str">
        <f t="shared" si="79"/>
        <v/>
      </c>
      <c r="EA14" s="567" t="str">
        <f t="shared" si="80"/>
        <v/>
      </c>
      <c r="EB14" s="567" t="str">
        <f t="shared" si="81"/>
        <v/>
      </c>
      <c r="EC14" s="567" t="str">
        <f t="shared" si="82"/>
        <v/>
      </c>
      <c r="ED14" s="567" t="str">
        <f t="shared" si="83"/>
        <v/>
      </c>
      <c r="EE14" s="567" t="str">
        <f t="shared" si="84"/>
        <v/>
      </c>
      <c r="EF14" s="567" t="str">
        <f t="shared" si="85"/>
        <v/>
      </c>
      <c r="EG14" s="567" t="str">
        <f t="shared" si="86"/>
        <v/>
      </c>
      <c r="EH14" s="567" t="str">
        <f t="shared" si="87"/>
        <v/>
      </c>
      <c r="EI14" s="567" t="str">
        <f t="shared" si="88"/>
        <v/>
      </c>
      <c r="EJ14" s="567" t="str">
        <f t="shared" si="89"/>
        <v/>
      </c>
      <c r="EK14" s="567" t="str">
        <f t="shared" si="90"/>
        <v/>
      </c>
      <c r="EL14" s="567" t="str">
        <f t="shared" si="91"/>
        <v/>
      </c>
      <c r="EM14" s="567" t="str">
        <f t="shared" si="92"/>
        <v/>
      </c>
      <c r="EN14" s="567" t="str">
        <f t="shared" si="93"/>
        <v/>
      </c>
      <c r="EO14" s="567" t="str">
        <f t="shared" si="94"/>
        <v/>
      </c>
      <c r="EP14" s="567" t="str">
        <f t="shared" si="95"/>
        <v/>
      </c>
      <c r="EQ14" s="567" t="str">
        <f t="shared" si="96"/>
        <v/>
      </c>
      <c r="ER14" s="567" t="str">
        <f t="shared" si="97"/>
        <v/>
      </c>
      <c r="ES14" s="567" t="str">
        <f t="shared" si="98"/>
        <v/>
      </c>
      <c r="ET14" s="567" t="str">
        <f t="shared" si="99"/>
        <v/>
      </c>
      <c r="EU14" s="567" t="str">
        <f t="shared" si="100"/>
        <v/>
      </c>
      <c r="EV14" s="577" t="str">
        <f t="shared" si="101"/>
        <v/>
      </c>
      <c r="EW14" s="577" t="str">
        <f t="shared" si="102"/>
        <v/>
      </c>
      <c r="EX14" s="577">
        <f t="shared" si="103"/>
        <v>23</v>
      </c>
      <c r="EY14" s="577" t="str">
        <f t="shared" si="104"/>
        <v/>
      </c>
      <c r="EZ14" s="577" t="str">
        <f t="shared" si="105"/>
        <v/>
      </c>
      <c r="FA14" s="577" t="str">
        <f t="shared" si="106"/>
        <v/>
      </c>
      <c r="FB14" s="577" t="str">
        <f t="shared" si="107"/>
        <v/>
      </c>
      <c r="FC14" s="577" t="str">
        <f t="shared" si="108"/>
        <v/>
      </c>
      <c r="FD14" s="577" t="str">
        <f t="shared" si="109"/>
        <v/>
      </c>
      <c r="FE14" s="577" t="str">
        <f t="shared" si="110"/>
        <v/>
      </c>
      <c r="FF14" s="577" t="str">
        <f t="shared" si="111"/>
        <v/>
      </c>
      <c r="FG14" s="577" t="str">
        <f t="shared" si="112"/>
        <v/>
      </c>
      <c r="FH14" s="577" t="str">
        <f t="shared" si="113"/>
        <v/>
      </c>
      <c r="FI14" s="577" t="str">
        <f t="shared" si="114"/>
        <v/>
      </c>
      <c r="FJ14" s="577" t="str">
        <f t="shared" si="115"/>
        <v/>
      </c>
      <c r="FK14" s="577" t="str">
        <f t="shared" si="116"/>
        <v/>
      </c>
      <c r="FL14" s="577" t="str">
        <f t="shared" si="117"/>
        <v/>
      </c>
      <c r="FM14" s="577" t="str">
        <f t="shared" si="118"/>
        <v/>
      </c>
      <c r="FN14" s="577" t="str">
        <f t="shared" si="119"/>
        <v/>
      </c>
      <c r="FO14" s="577" t="str">
        <f t="shared" si="120"/>
        <v/>
      </c>
      <c r="FP14" s="577" t="str">
        <f t="shared" si="121"/>
        <v/>
      </c>
      <c r="FQ14" s="577" t="str">
        <f t="shared" si="122"/>
        <v/>
      </c>
      <c r="FR14" s="577" t="str">
        <f t="shared" si="123"/>
        <v/>
      </c>
      <c r="FS14" s="577" t="str">
        <f t="shared" si="124"/>
        <v/>
      </c>
      <c r="FT14" s="577" t="str">
        <f t="shared" si="125"/>
        <v/>
      </c>
      <c r="FU14" s="577" t="str">
        <f t="shared" si="126"/>
        <v/>
      </c>
      <c r="FV14" s="577" t="str">
        <f t="shared" si="127"/>
        <v/>
      </c>
      <c r="FW14" s="577" t="str">
        <f t="shared" si="128"/>
        <v/>
      </c>
      <c r="FX14" s="577" t="str">
        <f t="shared" si="129"/>
        <v/>
      </c>
      <c r="FY14" s="577" t="str">
        <f t="shared" si="130"/>
        <v/>
      </c>
      <c r="FZ14" s="577" t="str">
        <f t="shared" si="131"/>
        <v/>
      </c>
      <c r="GA14" s="577" t="str">
        <f t="shared" si="132"/>
        <v/>
      </c>
      <c r="GB14" s="577" t="str">
        <f t="shared" si="133"/>
        <v/>
      </c>
      <c r="GC14" s="577" t="str">
        <f t="shared" si="134"/>
        <v/>
      </c>
      <c r="GD14" s="577" t="str">
        <f t="shared" si="135"/>
        <v/>
      </c>
      <c r="GE14" s="577" t="str">
        <f t="shared" si="136"/>
        <v/>
      </c>
      <c r="GF14" s="577" t="str">
        <f t="shared" si="137"/>
        <v/>
      </c>
      <c r="GG14" s="577" t="str">
        <f t="shared" si="138"/>
        <v/>
      </c>
      <c r="GH14" s="577" t="str">
        <f t="shared" si="139"/>
        <v/>
      </c>
      <c r="GI14" s="577" t="str">
        <f t="shared" si="140"/>
        <v/>
      </c>
      <c r="GJ14" s="577" t="str">
        <f t="shared" si="141"/>
        <v/>
      </c>
      <c r="GK14" s="577" t="str">
        <f t="shared" si="142"/>
        <v/>
      </c>
      <c r="GL14" s="577">
        <f t="shared" si="143"/>
        <v>23</v>
      </c>
      <c r="GM14" s="577" t="str">
        <f t="shared" si="144"/>
        <v/>
      </c>
      <c r="GN14" s="577" t="str">
        <f t="shared" si="145"/>
        <v/>
      </c>
      <c r="GO14" s="578" t="str">
        <f t="shared" si="146"/>
        <v/>
      </c>
      <c r="GP14" s="578" t="str">
        <f t="shared" si="147"/>
        <v/>
      </c>
      <c r="GQ14" s="578" t="str">
        <f t="shared" si="148"/>
        <v/>
      </c>
      <c r="GR14" s="578" t="str">
        <f t="shared" si="149"/>
        <v/>
      </c>
      <c r="GS14" s="578" t="str">
        <f t="shared" si="150"/>
        <v/>
      </c>
      <c r="GT14" s="567" t="str">
        <f t="shared" si="151"/>
        <v/>
      </c>
      <c r="GU14" s="567" t="str">
        <f t="shared" si="152"/>
        <v/>
      </c>
      <c r="GV14" s="567" t="str">
        <f t="shared" si="153"/>
        <v/>
      </c>
      <c r="GW14" s="567" t="str">
        <f t="shared" si="154"/>
        <v/>
      </c>
      <c r="GX14" s="567" t="str">
        <f t="shared" si="155"/>
        <v/>
      </c>
      <c r="GY14" s="567" t="str">
        <f t="shared" si="156"/>
        <v/>
      </c>
      <c r="GZ14" s="567" t="str">
        <f t="shared" si="157"/>
        <v/>
      </c>
      <c r="HA14" s="567" t="str">
        <f t="shared" si="158"/>
        <v/>
      </c>
      <c r="HB14" s="567" t="str">
        <f t="shared" si="159"/>
        <v/>
      </c>
      <c r="HC14" s="567" t="str">
        <f t="shared" si="160"/>
        <v/>
      </c>
      <c r="HD14" s="567" t="str">
        <f t="shared" si="161"/>
        <v/>
      </c>
      <c r="HE14" s="567" t="str">
        <f t="shared" si="162"/>
        <v/>
      </c>
      <c r="HF14" s="567" t="str">
        <f t="shared" si="163"/>
        <v/>
      </c>
      <c r="HG14" s="567" t="str">
        <f t="shared" si="164"/>
        <v/>
      </c>
      <c r="HH14" s="567" t="str">
        <f t="shared" si="165"/>
        <v/>
      </c>
      <c r="HI14" s="567" t="str">
        <f t="shared" si="166"/>
        <v/>
      </c>
      <c r="HJ14" s="567" t="str">
        <f t="shared" si="167"/>
        <v/>
      </c>
      <c r="HK14" s="567" t="str">
        <f t="shared" si="168"/>
        <v/>
      </c>
      <c r="HL14" s="567" t="str">
        <f t="shared" si="169"/>
        <v/>
      </c>
      <c r="HM14" s="567" t="str">
        <f t="shared" si="170"/>
        <v/>
      </c>
    </row>
    <row r="15" spans="1:255" ht="13.15" customHeight="1">
      <c r="A15" s="126" t="str">
        <f t="shared" si="171"/>
        <v/>
      </c>
      <c r="B15" s="1203" t="s">
        <v>319</v>
      </c>
      <c r="C15" s="1204">
        <v>2</v>
      </c>
      <c r="D15" s="1205">
        <v>1</v>
      </c>
      <c r="E15" s="1206">
        <v>2</v>
      </c>
      <c r="F15" s="1206">
        <v>900</v>
      </c>
      <c r="G15" s="1206">
        <v>690</v>
      </c>
      <c r="H15" s="1206">
        <v>690</v>
      </c>
      <c r="I15" s="1206"/>
      <c r="J15" s="1207"/>
      <c r="K15" s="198">
        <f t="shared" si="172"/>
        <v>690</v>
      </c>
      <c r="L15" s="198">
        <f t="shared" si="0"/>
        <v>1380</v>
      </c>
      <c r="M15" s="1099" t="s">
        <v>3425</v>
      </c>
      <c r="N15" s="1099" t="s">
        <v>3477</v>
      </c>
      <c r="O15" s="1099" t="s">
        <v>2436</v>
      </c>
      <c r="P15" s="518">
        <f t="shared" ref="P15:P47" si="203">IF(H15="","",H15*12/0.3)</f>
        <v>27600</v>
      </c>
      <c r="Q15" s="519">
        <f>IF(H15="","",P15/($P$6*VLOOKUP(C15,'DCA Underwriting Assumptions'!$J$82:$K$87,2,FALSE)))</f>
        <v>0.58636073932441046</v>
      </c>
      <c r="R15" s="607"/>
      <c r="S15" s="519"/>
      <c r="T15" s="1643"/>
      <c r="U15" s="1644"/>
      <c r="V15" s="567" t="str">
        <f t="shared" si="1"/>
        <v/>
      </c>
      <c r="W15" s="567" t="str">
        <f t="shared" si="2"/>
        <v/>
      </c>
      <c r="X15" s="567" t="str">
        <f t="shared" si="3"/>
        <v/>
      </c>
      <c r="Y15" s="567" t="str">
        <f t="shared" si="4"/>
        <v/>
      </c>
      <c r="Z15" s="567" t="str">
        <f t="shared" si="5"/>
        <v/>
      </c>
      <c r="AA15" s="567" t="str">
        <f t="shared" si="6"/>
        <v/>
      </c>
      <c r="AB15" s="567" t="str">
        <f t="shared" si="7"/>
        <v/>
      </c>
      <c r="AC15" s="567" t="str">
        <f t="shared" si="8"/>
        <v/>
      </c>
      <c r="AD15" s="567" t="str">
        <f t="shared" si="9"/>
        <v/>
      </c>
      <c r="AE15" s="567" t="str">
        <f t="shared" si="10"/>
        <v/>
      </c>
      <c r="AF15" s="567" t="str">
        <f t="shared" si="11"/>
        <v/>
      </c>
      <c r="AG15" s="567" t="str">
        <f t="shared" si="12"/>
        <v/>
      </c>
      <c r="AH15" s="567" t="str">
        <f t="shared" si="13"/>
        <v/>
      </c>
      <c r="AI15" s="567" t="str">
        <f t="shared" si="14"/>
        <v/>
      </c>
      <c r="AJ15" s="567" t="str">
        <f t="shared" si="15"/>
        <v/>
      </c>
      <c r="AK15" s="567" t="str">
        <f t="shared" si="16"/>
        <v/>
      </c>
      <c r="AL15" s="567" t="str">
        <f t="shared" si="17"/>
        <v/>
      </c>
      <c r="AM15" s="567">
        <f t="shared" si="18"/>
        <v>2</v>
      </c>
      <c r="AN15" s="567" t="str">
        <f t="shared" si="19"/>
        <v/>
      </c>
      <c r="AO15" s="567" t="str">
        <f t="shared" si="20"/>
        <v/>
      </c>
      <c r="AP15" s="567" t="str">
        <f t="shared" si="173"/>
        <v/>
      </c>
      <c r="AQ15" s="567" t="str">
        <f t="shared" si="174"/>
        <v/>
      </c>
      <c r="AR15" s="567" t="str">
        <f t="shared" si="175"/>
        <v/>
      </c>
      <c r="AS15" s="567" t="str">
        <f t="shared" si="176"/>
        <v/>
      </c>
      <c r="AT15" s="567" t="str">
        <f t="shared" si="177"/>
        <v/>
      </c>
      <c r="AU15" s="567" t="str">
        <f t="shared" si="178"/>
        <v/>
      </c>
      <c r="AV15" s="567" t="str">
        <f t="shared" si="179"/>
        <v/>
      </c>
      <c r="AW15" s="567" t="str">
        <f t="shared" si="180"/>
        <v/>
      </c>
      <c r="AX15" s="567" t="str">
        <f t="shared" si="181"/>
        <v/>
      </c>
      <c r="AY15" s="567" t="str">
        <f t="shared" si="182"/>
        <v/>
      </c>
      <c r="AZ15" s="567" t="str">
        <f t="shared" si="183"/>
        <v/>
      </c>
      <c r="BA15" s="567" t="str">
        <f t="shared" si="184"/>
        <v/>
      </c>
      <c r="BB15" s="567" t="str">
        <f t="shared" si="185"/>
        <v/>
      </c>
      <c r="BC15" s="567" t="str">
        <f t="shared" si="186"/>
        <v/>
      </c>
      <c r="BD15" s="567" t="str">
        <f t="shared" si="187"/>
        <v/>
      </c>
      <c r="BE15" s="567" t="str">
        <f t="shared" si="188"/>
        <v/>
      </c>
      <c r="BF15" s="567" t="str">
        <f t="shared" si="189"/>
        <v/>
      </c>
      <c r="BG15" s="567" t="str">
        <f t="shared" si="190"/>
        <v/>
      </c>
      <c r="BH15" s="567" t="str">
        <f t="shared" si="191"/>
        <v/>
      </c>
      <c r="BI15" s="567" t="str">
        <f t="shared" si="192"/>
        <v/>
      </c>
      <c r="BJ15" s="567" t="str">
        <f t="shared" si="193"/>
        <v/>
      </c>
      <c r="BK15" s="567" t="str">
        <f t="shared" si="194"/>
        <v/>
      </c>
      <c r="BL15" s="567" t="str">
        <f t="shared" si="195"/>
        <v/>
      </c>
      <c r="BM15" s="567" t="str">
        <f t="shared" si="196"/>
        <v/>
      </c>
      <c r="BN15" s="567" t="str">
        <f t="shared" si="197"/>
        <v/>
      </c>
      <c r="BO15" s="567" t="str">
        <f t="shared" si="198"/>
        <v/>
      </c>
      <c r="BP15" s="567" t="str">
        <f t="shared" si="199"/>
        <v/>
      </c>
      <c r="BQ15" s="567" t="str">
        <f t="shared" si="200"/>
        <v/>
      </c>
      <c r="BR15" s="567" t="str">
        <f t="shared" si="201"/>
        <v/>
      </c>
      <c r="BS15" s="567" t="str">
        <f t="shared" si="202"/>
        <v/>
      </c>
      <c r="BT15" s="567" t="str">
        <f t="shared" si="21"/>
        <v/>
      </c>
      <c r="BU15" s="567" t="str">
        <f t="shared" si="22"/>
        <v/>
      </c>
      <c r="BV15" s="567" t="str">
        <f t="shared" si="23"/>
        <v/>
      </c>
      <c r="BW15" s="567" t="str">
        <f t="shared" si="24"/>
        <v/>
      </c>
      <c r="BX15" s="567" t="str">
        <f t="shared" si="25"/>
        <v/>
      </c>
      <c r="BY15" s="567" t="str">
        <f t="shared" si="26"/>
        <v/>
      </c>
      <c r="BZ15" s="567" t="str">
        <f t="shared" si="27"/>
        <v/>
      </c>
      <c r="CA15" s="567" t="str">
        <f t="shared" si="28"/>
        <v/>
      </c>
      <c r="CB15" s="567" t="str">
        <f t="shared" si="29"/>
        <v/>
      </c>
      <c r="CC15" s="567" t="str">
        <f t="shared" si="30"/>
        <v/>
      </c>
      <c r="CD15" s="567" t="str">
        <f t="shared" si="31"/>
        <v/>
      </c>
      <c r="CE15" s="567" t="str">
        <f t="shared" si="32"/>
        <v/>
      </c>
      <c r="CF15" s="567" t="str">
        <f t="shared" si="33"/>
        <v/>
      </c>
      <c r="CG15" s="567" t="str">
        <f t="shared" si="34"/>
        <v/>
      </c>
      <c r="CH15" s="567" t="str">
        <f t="shared" si="35"/>
        <v/>
      </c>
      <c r="CI15" s="567" t="str">
        <f t="shared" si="36"/>
        <v/>
      </c>
      <c r="CJ15" s="567" t="str">
        <f t="shared" si="37"/>
        <v/>
      </c>
      <c r="CK15" s="567" t="str">
        <f t="shared" si="38"/>
        <v/>
      </c>
      <c r="CL15" s="567" t="str">
        <f t="shared" si="39"/>
        <v/>
      </c>
      <c r="CM15" s="567" t="str">
        <f t="shared" si="40"/>
        <v/>
      </c>
      <c r="CN15" s="567" t="str">
        <f t="shared" si="41"/>
        <v/>
      </c>
      <c r="CO15" s="567" t="str">
        <f t="shared" si="42"/>
        <v/>
      </c>
      <c r="CP15" s="567">
        <f t="shared" si="43"/>
        <v>1800</v>
      </c>
      <c r="CQ15" s="567" t="str">
        <f t="shared" si="44"/>
        <v/>
      </c>
      <c r="CR15" s="567" t="str">
        <f t="shared" si="45"/>
        <v/>
      </c>
      <c r="CS15" s="567" t="str">
        <f t="shared" si="46"/>
        <v/>
      </c>
      <c r="CT15" s="567" t="str">
        <f t="shared" si="47"/>
        <v/>
      </c>
      <c r="CU15" s="567" t="str">
        <f t="shared" si="48"/>
        <v/>
      </c>
      <c r="CV15" s="567" t="str">
        <f t="shared" si="49"/>
        <v/>
      </c>
      <c r="CW15" s="567" t="str">
        <f t="shared" si="50"/>
        <v/>
      </c>
      <c r="CX15" s="567" t="str">
        <f t="shared" si="51"/>
        <v/>
      </c>
      <c r="CY15" s="567" t="str">
        <f t="shared" si="52"/>
        <v/>
      </c>
      <c r="CZ15" s="567" t="str">
        <f t="shared" si="53"/>
        <v/>
      </c>
      <c r="DA15" s="567" t="str">
        <f t="shared" si="54"/>
        <v/>
      </c>
      <c r="DB15" s="567" t="str">
        <f t="shared" si="55"/>
        <v/>
      </c>
      <c r="DC15" s="567" t="str">
        <f t="shared" si="56"/>
        <v/>
      </c>
      <c r="DD15" s="567" t="str">
        <f t="shared" si="57"/>
        <v/>
      </c>
      <c r="DE15" s="567" t="str">
        <f t="shared" si="58"/>
        <v/>
      </c>
      <c r="DF15" s="567" t="str">
        <f t="shared" si="59"/>
        <v/>
      </c>
      <c r="DG15" s="567" t="str">
        <f t="shared" si="60"/>
        <v/>
      </c>
      <c r="DH15" s="567" t="str">
        <f t="shared" si="61"/>
        <v/>
      </c>
      <c r="DI15" s="567" t="str">
        <f t="shared" si="62"/>
        <v/>
      </c>
      <c r="DJ15" s="567">
        <f t="shared" si="63"/>
        <v>2</v>
      </c>
      <c r="DK15" s="567" t="str">
        <f t="shared" si="64"/>
        <v/>
      </c>
      <c r="DL15" s="567" t="str">
        <f t="shared" si="65"/>
        <v/>
      </c>
      <c r="DM15" s="567" t="str">
        <f t="shared" si="66"/>
        <v/>
      </c>
      <c r="DN15" s="567" t="str">
        <f t="shared" si="67"/>
        <v/>
      </c>
      <c r="DO15" s="567" t="str">
        <f t="shared" si="68"/>
        <v/>
      </c>
      <c r="DP15" s="567" t="str">
        <f t="shared" si="69"/>
        <v/>
      </c>
      <c r="DQ15" s="567" t="str">
        <f t="shared" si="70"/>
        <v/>
      </c>
      <c r="DR15" s="567" t="str">
        <f t="shared" si="71"/>
        <v/>
      </c>
      <c r="DS15" s="567" t="str">
        <f t="shared" si="72"/>
        <v/>
      </c>
      <c r="DT15" s="567" t="str">
        <f t="shared" si="73"/>
        <v/>
      </c>
      <c r="DU15" s="567" t="str">
        <f t="shared" si="74"/>
        <v/>
      </c>
      <c r="DV15" s="567" t="str">
        <f t="shared" si="75"/>
        <v/>
      </c>
      <c r="DW15" s="567" t="str">
        <f t="shared" si="76"/>
        <v/>
      </c>
      <c r="DX15" s="567" t="str">
        <f t="shared" si="77"/>
        <v/>
      </c>
      <c r="DY15" s="567" t="str">
        <f t="shared" si="78"/>
        <v/>
      </c>
      <c r="DZ15" s="567" t="str">
        <f t="shared" si="79"/>
        <v/>
      </c>
      <c r="EA15" s="567" t="str">
        <f t="shared" si="80"/>
        <v/>
      </c>
      <c r="EB15" s="567" t="str">
        <f t="shared" si="81"/>
        <v/>
      </c>
      <c r="EC15" s="567" t="str">
        <f t="shared" si="82"/>
        <v/>
      </c>
      <c r="ED15" s="567" t="str">
        <f t="shared" si="83"/>
        <v/>
      </c>
      <c r="EE15" s="567" t="str">
        <f t="shared" si="84"/>
        <v/>
      </c>
      <c r="EF15" s="567" t="str">
        <f t="shared" si="85"/>
        <v/>
      </c>
      <c r="EG15" s="567" t="str">
        <f t="shared" si="86"/>
        <v/>
      </c>
      <c r="EH15" s="567" t="str">
        <f t="shared" si="87"/>
        <v/>
      </c>
      <c r="EI15" s="567" t="str">
        <f t="shared" si="88"/>
        <v/>
      </c>
      <c r="EJ15" s="567" t="str">
        <f t="shared" si="89"/>
        <v/>
      </c>
      <c r="EK15" s="567" t="str">
        <f t="shared" si="90"/>
        <v/>
      </c>
      <c r="EL15" s="567" t="str">
        <f t="shared" si="91"/>
        <v/>
      </c>
      <c r="EM15" s="567" t="str">
        <f t="shared" si="92"/>
        <v/>
      </c>
      <c r="EN15" s="567" t="str">
        <f t="shared" si="93"/>
        <v/>
      </c>
      <c r="EO15" s="567" t="str">
        <f t="shared" si="94"/>
        <v/>
      </c>
      <c r="EP15" s="567" t="str">
        <f t="shared" si="95"/>
        <v/>
      </c>
      <c r="EQ15" s="567" t="str">
        <f t="shared" si="96"/>
        <v/>
      </c>
      <c r="ER15" s="567" t="str">
        <f t="shared" si="97"/>
        <v/>
      </c>
      <c r="ES15" s="567" t="str">
        <f t="shared" si="98"/>
        <v/>
      </c>
      <c r="ET15" s="567" t="str">
        <f t="shared" si="99"/>
        <v/>
      </c>
      <c r="EU15" s="567" t="str">
        <f t="shared" si="100"/>
        <v/>
      </c>
      <c r="EV15" s="577" t="str">
        <f t="shared" si="101"/>
        <v/>
      </c>
      <c r="EW15" s="577" t="str">
        <f t="shared" si="102"/>
        <v/>
      </c>
      <c r="EX15" s="577">
        <f t="shared" si="103"/>
        <v>2</v>
      </c>
      <c r="EY15" s="577" t="str">
        <f t="shared" si="104"/>
        <v/>
      </c>
      <c r="EZ15" s="577" t="str">
        <f t="shared" si="105"/>
        <v/>
      </c>
      <c r="FA15" s="577" t="str">
        <f t="shared" si="106"/>
        <v/>
      </c>
      <c r="FB15" s="577" t="str">
        <f t="shared" si="107"/>
        <v/>
      </c>
      <c r="FC15" s="577" t="str">
        <f t="shared" si="108"/>
        <v/>
      </c>
      <c r="FD15" s="577" t="str">
        <f t="shared" si="109"/>
        <v/>
      </c>
      <c r="FE15" s="577" t="str">
        <f t="shared" si="110"/>
        <v/>
      </c>
      <c r="FF15" s="577" t="str">
        <f t="shared" si="111"/>
        <v/>
      </c>
      <c r="FG15" s="577" t="str">
        <f t="shared" si="112"/>
        <v/>
      </c>
      <c r="FH15" s="577" t="str">
        <f t="shared" si="113"/>
        <v/>
      </c>
      <c r="FI15" s="577" t="str">
        <f t="shared" si="114"/>
        <v/>
      </c>
      <c r="FJ15" s="577" t="str">
        <f t="shared" si="115"/>
        <v/>
      </c>
      <c r="FK15" s="577" t="str">
        <f t="shared" si="116"/>
        <v/>
      </c>
      <c r="FL15" s="577" t="str">
        <f t="shared" si="117"/>
        <v/>
      </c>
      <c r="FM15" s="577" t="str">
        <f t="shared" si="118"/>
        <v/>
      </c>
      <c r="FN15" s="577" t="str">
        <f t="shared" si="119"/>
        <v/>
      </c>
      <c r="FO15" s="577" t="str">
        <f t="shared" si="120"/>
        <v/>
      </c>
      <c r="FP15" s="577" t="str">
        <f t="shared" si="121"/>
        <v/>
      </c>
      <c r="FQ15" s="577" t="str">
        <f t="shared" si="122"/>
        <v/>
      </c>
      <c r="FR15" s="577" t="str">
        <f t="shared" si="123"/>
        <v/>
      </c>
      <c r="FS15" s="577" t="str">
        <f t="shared" si="124"/>
        <v/>
      </c>
      <c r="FT15" s="577" t="str">
        <f t="shared" si="125"/>
        <v/>
      </c>
      <c r="FU15" s="577" t="str">
        <f t="shared" si="126"/>
        <v/>
      </c>
      <c r="FV15" s="577" t="str">
        <f t="shared" si="127"/>
        <v/>
      </c>
      <c r="FW15" s="577" t="str">
        <f t="shared" si="128"/>
        <v/>
      </c>
      <c r="FX15" s="577" t="str">
        <f t="shared" si="129"/>
        <v/>
      </c>
      <c r="FY15" s="577" t="str">
        <f t="shared" si="130"/>
        <v/>
      </c>
      <c r="FZ15" s="577" t="str">
        <f t="shared" si="131"/>
        <v/>
      </c>
      <c r="GA15" s="577" t="str">
        <f t="shared" si="132"/>
        <v/>
      </c>
      <c r="GB15" s="577" t="str">
        <f t="shared" si="133"/>
        <v/>
      </c>
      <c r="GC15" s="577" t="str">
        <f t="shared" si="134"/>
        <v/>
      </c>
      <c r="GD15" s="577" t="str">
        <f t="shared" si="135"/>
        <v/>
      </c>
      <c r="GE15" s="577" t="str">
        <f t="shared" si="136"/>
        <v/>
      </c>
      <c r="GF15" s="577" t="str">
        <f t="shared" si="137"/>
        <v/>
      </c>
      <c r="GG15" s="577" t="str">
        <f t="shared" si="138"/>
        <v/>
      </c>
      <c r="GH15" s="577" t="str">
        <f t="shared" si="139"/>
        <v/>
      </c>
      <c r="GI15" s="577" t="str">
        <f t="shared" si="140"/>
        <v/>
      </c>
      <c r="GJ15" s="577" t="str">
        <f t="shared" si="141"/>
        <v/>
      </c>
      <c r="GK15" s="577" t="str">
        <f t="shared" si="142"/>
        <v/>
      </c>
      <c r="GL15" s="577">
        <f t="shared" si="143"/>
        <v>2</v>
      </c>
      <c r="GM15" s="577" t="str">
        <f t="shared" si="144"/>
        <v/>
      </c>
      <c r="GN15" s="577" t="str">
        <f t="shared" si="145"/>
        <v/>
      </c>
      <c r="GO15" s="578" t="str">
        <f t="shared" si="146"/>
        <v/>
      </c>
      <c r="GP15" s="578" t="str">
        <f t="shared" si="147"/>
        <v/>
      </c>
      <c r="GQ15" s="578" t="str">
        <f t="shared" si="148"/>
        <v/>
      </c>
      <c r="GR15" s="578" t="str">
        <f t="shared" si="149"/>
        <v/>
      </c>
      <c r="GS15" s="578" t="str">
        <f t="shared" si="150"/>
        <v/>
      </c>
      <c r="GT15" s="567" t="str">
        <f t="shared" si="151"/>
        <v/>
      </c>
      <c r="GU15" s="567" t="str">
        <f t="shared" si="152"/>
        <v/>
      </c>
      <c r="GV15" s="567" t="str">
        <f t="shared" si="153"/>
        <v/>
      </c>
      <c r="GW15" s="567" t="str">
        <f t="shared" si="154"/>
        <v/>
      </c>
      <c r="GX15" s="567" t="str">
        <f t="shared" si="155"/>
        <v/>
      </c>
      <c r="GY15" s="567" t="str">
        <f t="shared" si="156"/>
        <v/>
      </c>
      <c r="GZ15" s="567" t="str">
        <f t="shared" si="157"/>
        <v/>
      </c>
      <c r="HA15" s="567" t="str">
        <f t="shared" si="158"/>
        <v/>
      </c>
      <c r="HB15" s="567" t="str">
        <f t="shared" si="159"/>
        <v/>
      </c>
      <c r="HC15" s="567" t="str">
        <f t="shared" si="160"/>
        <v/>
      </c>
      <c r="HD15" s="567" t="str">
        <f t="shared" si="161"/>
        <v/>
      </c>
      <c r="HE15" s="567" t="str">
        <f t="shared" si="162"/>
        <v/>
      </c>
      <c r="HF15" s="567" t="str">
        <f t="shared" si="163"/>
        <v/>
      </c>
      <c r="HG15" s="567" t="str">
        <f t="shared" si="164"/>
        <v/>
      </c>
      <c r="HH15" s="567" t="str">
        <f t="shared" si="165"/>
        <v/>
      </c>
      <c r="HI15" s="567" t="str">
        <f t="shared" si="166"/>
        <v/>
      </c>
      <c r="HJ15" s="567" t="str">
        <f t="shared" si="167"/>
        <v/>
      </c>
      <c r="HK15" s="567" t="str">
        <f t="shared" si="168"/>
        <v/>
      </c>
      <c r="HL15" s="567" t="str">
        <f t="shared" si="169"/>
        <v/>
      </c>
      <c r="HM15" s="567" t="str">
        <f t="shared" si="170"/>
        <v/>
      </c>
    </row>
    <row r="16" spans="1:255" ht="13.15" customHeight="1">
      <c r="A16" s="126" t="str">
        <f t="shared" si="171"/>
        <v/>
      </c>
      <c r="B16" s="1203" t="s">
        <v>121</v>
      </c>
      <c r="C16" s="1204">
        <v>2</v>
      </c>
      <c r="D16" s="1205">
        <v>1</v>
      </c>
      <c r="E16" s="1206">
        <v>4</v>
      </c>
      <c r="F16" s="1206">
        <v>900</v>
      </c>
      <c r="G16" s="1206">
        <v>588</v>
      </c>
      <c r="H16" s="1206">
        <v>588</v>
      </c>
      <c r="I16" s="1206">
        <v>160</v>
      </c>
      <c r="J16" s="1207"/>
      <c r="K16" s="198">
        <f t="shared" si="172"/>
        <v>428</v>
      </c>
      <c r="L16" s="198">
        <f t="shared" si="0"/>
        <v>1712</v>
      </c>
      <c r="M16" s="1099" t="s">
        <v>3425</v>
      </c>
      <c r="N16" s="1099" t="s">
        <v>2778</v>
      </c>
      <c r="O16" s="1099" t="s">
        <v>2436</v>
      </c>
      <c r="P16" s="518">
        <f t="shared" si="203"/>
        <v>23520</v>
      </c>
      <c r="Q16" s="519">
        <f>IF(H16="","",P16/($P$6*VLOOKUP(C16,'DCA Underwriting Assumptions'!$J$82:$K$87,2,FALSE)))</f>
        <v>0.49968132568514978</v>
      </c>
      <c r="R16" s="607"/>
      <c r="S16" s="519"/>
      <c r="T16" s="1643"/>
      <c r="U16" s="1644"/>
      <c r="V16" s="567" t="str">
        <f t="shared" si="1"/>
        <v/>
      </c>
      <c r="W16" s="567" t="str">
        <f t="shared" si="2"/>
        <v/>
      </c>
      <c r="X16" s="567" t="str">
        <f t="shared" si="3"/>
        <v/>
      </c>
      <c r="Y16" s="567" t="str">
        <f t="shared" si="4"/>
        <v/>
      </c>
      <c r="Z16" s="567" t="str">
        <f t="shared" si="5"/>
        <v/>
      </c>
      <c r="AA16" s="567" t="str">
        <f t="shared" si="6"/>
        <v/>
      </c>
      <c r="AB16" s="567" t="str">
        <f t="shared" si="7"/>
        <v/>
      </c>
      <c r="AC16" s="567">
        <f t="shared" si="8"/>
        <v>4</v>
      </c>
      <c r="AD16" s="567" t="str">
        <f t="shared" si="9"/>
        <v/>
      </c>
      <c r="AE16" s="567" t="str">
        <f t="shared" si="10"/>
        <v/>
      </c>
      <c r="AF16" s="567" t="str">
        <f t="shared" si="11"/>
        <v/>
      </c>
      <c r="AG16" s="567" t="str">
        <f t="shared" si="12"/>
        <v/>
      </c>
      <c r="AH16" s="567" t="str">
        <f t="shared" si="13"/>
        <v/>
      </c>
      <c r="AI16" s="567" t="str">
        <f t="shared" si="14"/>
        <v/>
      </c>
      <c r="AJ16" s="567" t="str">
        <f t="shared" si="15"/>
        <v/>
      </c>
      <c r="AK16" s="567" t="str">
        <f t="shared" si="16"/>
        <v/>
      </c>
      <c r="AL16" s="567" t="str">
        <f t="shared" si="17"/>
        <v/>
      </c>
      <c r="AM16" s="567" t="str">
        <f t="shared" si="18"/>
        <v/>
      </c>
      <c r="AN16" s="567" t="str">
        <f t="shared" si="19"/>
        <v/>
      </c>
      <c r="AO16" s="567" t="str">
        <f t="shared" si="20"/>
        <v/>
      </c>
      <c r="AP16" s="567" t="str">
        <f t="shared" si="173"/>
        <v/>
      </c>
      <c r="AQ16" s="567" t="str">
        <f t="shared" si="174"/>
        <v/>
      </c>
      <c r="AR16" s="567" t="str">
        <f t="shared" si="175"/>
        <v/>
      </c>
      <c r="AS16" s="567" t="str">
        <f t="shared" si="176"/>
        <v/>
      </c>
      <c r="AT16" s="567" t="str">
        <f t="shared" si="177"/>
        <v/>
      </c>
      <c r="AU16" s="567" t="str">
        <f t="shared" si="178"/>
        <v/>
      </c>
      <c r="AV16" s="567" t="str">
        <f t="shared" si="179"/>
        <v/>
      </c>
      <c r="AW16" s="567" t="str">
        <f t="shared" si="180"/>
        <v/>
      </c>
      <c r="AX16" s="567" t="str">
        <f t="shared" si="181"/>
        <v/>
      </c>
      <c r="AY16" s="567" t="str">
        <f t="shared" si="182"/>
        <v/>
      </c>
      <c r="AZ16" s="567" t="str">
        <f t="shared" si="183"/>
        <v/>
      </c>
      <c r="BA16" s="567" t="str">
        <f t="shared" si="184"/>
        <v/>
      </c>
      <c r="BB16" s="567" t="str">
        <f t="shared" si="185"/>
        <v/>
      </c>
      <c r="BC16" s="567" t="str">
        <f t="shared" si="186"/>
        <v/>
      </c>
      <c r="BD16" s="567" t="str">
        <f t="shared" si="187"/>
        <v/>
      </c>
      <c r="BE16" s="567" t="str">
        <f t="shared" si="188"/>
        <v/>
      </c>
      <c r="BF16" s="567" t="str">
        <f t="shared" si="189"/>
        <v/>
      </c>
      <c r="BG16" s="567" t="str">
        <f t="shared" si="190"/>
        <v/>
      </c>
      <c r="BH16" s="567" t="str">
        <f t="shared" si="191"/>
        <v/>
      </c>
      <c r="BI16" s="567" t="str">
        <f t="shared" si="192"/>
        <v/>
      </c>
      <c r="BJ16" s="567" t="str">
        <f t="shared" si="193"/>
        <v/>
      </c>
      <c r="BK16" s="567" t="str">
        <f t="shared" si="194"/>
        <v/>
      </c>
      <c r="BL16" s="567" t="str">
        <f t="shared" si="195"/>
        <v/>
      </c>
      <c r="BM16" s="567" t="str">
        <f t="shared" si="196"/>
        <v/>
      </c>
      <c r="BN16" s="567" t="str">
        <f t="shared" si="197"/>
        <v/>
      </c>
      <c r="BO16" s="567" t="str">
        <f t="shared" si="198"/>
        <v/>
      </c>
      <c r="BP16" s="567" t="str">
        <f t="shared" si="199"/>
        <v/>
      </c>
      <c r="BQ16" s="567" t="str">
        <f t="shared" si="200"/>
        <v/>
      </c>
      <c r="BR16" s="567" t="str">
        <f t="shared" si="201"/>
        <v/>
      </c>
      <c r="BS16" s="567" t="str">
        <f t="shared" si="202"/>
        <v/>
      </c>
      <c r="BT16" s="567" t="str">
        <f t="shared" si="21"/>
        <v/>
      </c>
      <c r="BU16" s="567" t="str">
        <f t="shared" si="22"/>
        <v/>
      </c>
      <c r="BV16" s="567" t="str">
        <f t="shared" si="23"/>
        <v/>
      </c>
      <c r="BW16" s="567" t="str">
        <f t="shared" si="24"/>
        <v/>
      </c>
      <c r="BX16" s="567" t="str">
        <f t="shared" si="25"/>
        <v/>
      </c>
      <c r="BY16" s="567" t="str">
        <f t="shared" si="26"/>
        <v/>
      </c>
      <c r="BZ16" s="567" t="str">
        <f t="shared" si="27"/>
        <v/>
      </c>
      <c r="CA16" s="567" t="str">
        <f t="shared" si="28"/>
        <v/>
      </c>
      <c r="CB16" s="567" t="str">
        <f t="shared" si="29"/>
        <v/>
      </c>
      <c r="CC16" s="567" t="str">
        <f t="shared" si="30"/>
        <v/>
      </c>
      <c r="CD16" s="567" t="str">
        <f t="shared" si="31"/>
        <v/>
      </c>
      <c r="CE16" s="567" t="str">
        <f t="shared" si="32"/>
        <v/>
      </c>
      <c r="CF16" s="567">
        <f t="shared" si="33"/>
        <v>3600</v>
      </c>
      <c r="CG16" s="567" t="str">
        <f t="shared" si="34"/>
        <v/>
      </c>
      <c r="CH16" s="567" t="str">
        <f t="shared" si="35"/>
        <v/>
      </c>
      <c r="CI16" s="567" t="str">
        <f t="shared" si="36"/>
        <v/>
      </c>
      <c r="CJ16" s="567" t="str">
        <f t="shared" si="37"/>
        <v/>
      </c>
      <c r="CK16" s="567" t="str">
        <f t="shared" si="38"/>
        <v/>
      </c>
      <c r="CL16" s="567" t="str">
        <f t="shared" si="39"/>
        <v/>
      </c>
      <c r="CM16" s="567" t="str">
        <f t="shared" si="40"/>
        <v/>
      </c>
      <c r="CN16" s="567" t="str">
        <f t="shared" si="41"/>
        <v/>
      </c>
      <c r="CO16" s="567" t="str">
        <f t="shared" si="42"/>
        <v/>
      </c>
      <c r="CP16" s="567" t="str">
        <f t="shared" si="43"/>
        <v/>
      </c>
      <c r="CQ16" s="567" t="str">
        <f t="shared" si="44"/>
        <v/>
      </c>
      <c r="CR16" s="567" t="str">
        <f t="shared" si="45"/>
        <v/>
      </c>
      <c r="CS16" s="567" t="str">
        <f t="shared" si="46"/>
        <v/>
      </c>
      <c r="CT16" s="567" t="str">
        <f t="shared" si="47"/>
        <v/>
      </c>
      <c r="CU16" s="567" t="str">
        <f t="shared" si="48"/>
        <v/>
      </c>
      <c r="CV16" s="567" t="str">
        <f t="shared" si="49"/>
        <v/>
      </c>
      <c r="CW16" s="567" t="str">
        <f t="shared" si="50"/>
        <v/>
      </c>
      <c r="CX16" s="567" t="str">
        <f t="shared" si="51"/>
        <v/>
      </c>
      <c r="CY16" s="567" t="str">
        <f t="shared" si="52"/>
        <v/>
      </c>
      <c r="CZ16" s="567" t="str">
        <f t="shared" si="53"/>
        <v/>
      </c>
      <c r="DA16" s="567" t="str">
        <f t="shared" si="54"/>
        <v/>
      </c>
      <c r="DB16" s="567" t="str">
        <f t="shared" si="55"/>
        <v/>
      </c>
      <c r="DC16" s="567" t="str">
        <f t="shared" si="56"/>
        <v/>
      </c>
      <c r="DD16" s="567" t="str">
        <f t="shared" si="57"/>
        <v/>
      </c>
      <c r="DE16" s="567">
        <f t="shared" si="58"/>
        <v>4</v>
      </c>
      <c r="DF16" s="567" t="str">
        <f t="shared" si="59"/>
        <v/>
      </c>
      <c r="DG16" s="567" t="str">
        <f t="shared" si="60"/>
        <v/>
      </c>
      <c r="DH16" s="567" t="str">
        <f t="shared" si="61"/>
        <v/>
      </c>
      <c r="DI16" s="567" t="str">
        <f t="shared" si="62"/>
        <v/>
      </c>
      <c r="DJ16" s="567" t="str">
        <f t="shared" si="63"/>
        <v/>
      </c>
      <c r="DK16" s="567" t="str">
        <f t="shared" si="64"/>
        <v/>
      </c>
      <c r="DL16" s="567" t="str">
        <f t="shared" si="65"/>
        <v/>
      </c>
      <c r="DM16" s="567" t="str">
        <f t="shared" si="66"/>
        <v/>
      </c>
      <c r="DN16" s="567" t="str">
        <f t="shared" si="67"/>
        <v/>
      </c>
      <c r="DO16" s="567" t="str">
        <f t="shared" si="68"/>
        <v/>
      </c>
      <c r="DP16" s="567" t="str">
        <f t="shared" si="69"/>
        <v/>
      </c>
      <c r="DQ16" s="567" t="str">
        <f t="shared" si="70"/>
        <v/>
      </c>
      <c r="DR16" s="567" t="str">
        <f t="shared" si="71"/>
        <v/>
      </c>
      <c r="DS16" s="567" t="str">
        <f t="shared" si="72"/>
        <v/>
      </c>
      <c r="DT16" s="567" t="str">
        <f t="shared" si="73"/>
        <v/>
      </c>
      <c r="DU16" s="567" t="str">
        <f t="shared" si="74"/>
        <v/>
      </c>
      <c r="DV16" s="567" t="str">
        <f t="shared" si="75"/>
        <v/>
      </c>
      <c r="DW16" s="567" t="str">
        <f t="shared" si="76"/>
        <v/>
      </c>
      <c r="DX16" s="567" t="str">
        <f t="shared" si="77"/>
        <v/>
      </c>
      <c r="DY16" s="567" t="str">
        <f t="shared" si="78"/>
        <v/>
      </c>
      <c r="DZ16" s="567" t="str">
        <f t="shared" si="79"/>
        <v/>
      </c>
      <c r="EA16" s="567" t="str">
        <f t="shared" si="80"/>
        <v/>
      </c>
      <c r="EB16" s="567" t="str">
        <f t="shared" si="81"/>
        <v/>
      </c>
      <c r="EC16" s="567" t="str">
        <f t="shared" si="82"/>
        <v/>
      </c>
      <c r="ED16" s="567" t="str">
        <f t="shared" si="83"/>
        <v/>
      </c>
      <c r="EE16" s="567" t="str">
        <f t="shared" si="84"/>
        <v/>
      </c>
      <c r="EF16" s="567" t="str">
        <f t="shared" si="85"/>
        <v/>
      </c>
      <c r="EG16" s="567" t="str">
        <f t="shared" si="86"/>
        <v/>
      </c>
      <c r="EH16" s="567" t="str">
        <f t="shared" si="87"/>
        <v/>
      </c>
      <c r="EI16" s="567" t="str">
        <f t="shared" si="88"/>
        <v/>
      </c>
      <c r="EJ16" s="567" t="str">
        <f t="shared" si="89"/>
        <v/>
      </c>
      <c r="EK16" s="567" t="str">
        <f t="shared" si="90"/>
        <v/>
      </c>
      <c r="EL16" s="567" t="str">
        <f t="shared" si="91"/>
        <v/>
      </c>
      <c r="EM16" s="567" t="str">
        <f t="shared" si="92"/>
        <v/>
      </c>
      <c r="EN16" s="567" t="str">
        <f t="shared" si="93"/>
        <v/>
      </c>
      <c r="EO16" s="567" t="str">
        <f t="shared" si="94"/>
        <v/>
      </c>
      <c r="EP16" s="567" t="str">
        <f t="shared" si="95"/>
        <v/>
      </c>
      <c r="EQ16" s="567" t="str">
        <f t="shared" si="96"/>
        <v/>
      </c>
      <c r="ER16" s="567" t="str">
        <f t="shared" si="97"/>
        <v/>
      </c>
      <c r="ES16" s="567" t="str">
        <f t="shared" si="98"/>
        <v/>
      </c>
      <c r="ET16" s="567" t="str">
        <f t="shared" si="99"/>
        <v/>
      </c>
      <c r="EU16" s="567" t="str">
        <f t="shared" si="100"/>
        <v/>
      </c>
      <c r="EV16" s="577" t="str">
        <f t="shared" si="101"/>
        <v/>
      </c>
      <c r="EW16" s="577" t="str">
        <f t="shared" si="102"/>
        <v/>
      </c>
      <c r="EX16" s="577">
        <f t="shared" si="103"/>
        <v>4</v>
      </c>
      <c r="EY16" s="577" t="str">
        <f t="shared" si="104"/>
        <v/>
      </c>
      <c r="EZ16" s="577" t="str">
        <f t="shared" si="105"/>
        <v/>
      </c>
      <c r="FA16" s="577" t="str">
        <f t="shared" si="106"/>
        <v/>
      </c>
      <c r="FB16" s="577" t="str">
        <f t="shared" si="107"/>
        <v/>
      </c>
      <c r="FC16" s="577" t="str">
        <f t="shared" si="108"/>
        <v/>
      </c>
      <c r="FD16" s="577" t="str">
        <f t="shared" si="109"/>
        <v/>
      </c>
      <c r="FE16" s="577" t="str">
        <f t="shared" si="110"/>
        <v/>
      </c>
      <c r="FF16" s="577" t="str">
        <f t="shared" si="111"/>
        <v/>
      </c>
      <c r="FG16" s="577" t="str">
        <f t="shared" si="112"/>
        <v/>
      </c>
      <c r="FH16" s="577" t="str">
        <f t="shared" si="113"/>
        <v/>
      </c>
      <c r="FI16" s="577" t="str">
        <f t="shared" si="114"/>
        <v/>
      </c>
      <c r="FJ16" s="577" t="str">
        <f t="shared" si="115"/>
        <v/>
      </c>
      <c r="FK16" s="577" t="str">
        <f t="shared" si="116"/>
        <v/>
      </c>
      <c r="FL16" s="577" t="str">
        <f t="shared" si="117"/>
        <v/>
      </c>
      <c r="FM16" s="577" t="str">
        <f t="shared" si="118"/>
        <v/>
      </c>
      <c r="FN16" s="577" t="str">
        <f t="shared" si="119"/>
        <v/>
      </c>
      <c r="FO16" s="577" t="str">
        <f t="shared" si="120"/>
        <v/>
      </c>
      <c r="FP16" s="577" t="str">
        <f t="shared" si="121"/>
        <v/>
      </c>
      <c r="FQ16" s="577" t="str">
        <f t="shared" si="122"/>
        <v/>
      </c>
      <c r="FR16" s="577" t="str">
        <f t="shared" si="123"/>
        <v/>
      </c>
      <c r="FS16" s="577" t="str">
        <f t="shared" si="124"/>
        <v/>
      </c>
      <c r="FT16" s="577" t="str">
        <f t="shared" si="125"/>
        <v/>
      </c>
      <c r="FU16" s="577" t="str">
        <f t="shared" si="126"/>
        <v/>
      </c>
      <c r="FV16" s="577" t="str">
        <f t="shared" si="127"/>
        <v/>
      </c>
      <c r="FW16" s="577">
        <f t="shared" si="128"/>
        <v>4</v>
      </c>
      <c r="FX16" s="577" t="str">
        <f t="shared" si="129"/>
        <v/>
      </c>
      <c r="FY16" s="577" t="str">
        <f t="shared" si="130"/>
        <v/>
      </c>
      <c r="FZ16" s="577" t="str">
        <f t="shared" si="131"/>
        <v/>
      </c>
      <c r="GA16" s="577" t="str">
        <f t="shared" si="132"/>
        <v/>
      </c>
      <c r="GB16" s="577" t="str">
        <f t="shared" si="133"/>
        <v/>
      </c>
      <c r="GC16" s="577" t="str">
        <f t="shared" si="134"/>
        <v/>
      </c>
      <c r="GD16" s="577" t="str">
        <f t="shared" si="135"/>
        <v/>
      </c>
      <c r="GE16" s="577" t="str">
        <f t="shared" si="136"/>
        <v/>
      </c>
      <c r="GF16" s="577" t="str">
        <f t="shared" si="137"/>
        <v/>
      </c>
      <c r="GG16" s="577" t="str">
        <f t="shared" si="138"/>
        <v/>
      </c>
      <c r="GH16" s="577" t="str">
        <f t="shared" si="139"/>
        <v/>
      </c>
      <c r="GI16" s="577" t="str">
        <f t="shared" si="140"/>
        <v/>
      </c>
      <c r="GJ16" s="577" t="str">
        <f t="shared" si="141"/>
        <v/>
      </c>
      <c r="GK16" s="577" t="str">
        <f t="shared" si="142"/>
        <v/>
      </c>
      <c r="GL16" s="577" t="str">
        <f t="shared" si="143"/>
        <v/>
      </c>
      <c r="GM16" s="577" t="str">
        <f t="shared" si="144"/>
        <v/>
      </c>
      <c r="GN16" s="577" t="str">
        <f t="shared" si="145"/>
        <v/>
      </c>
      <c r="GO16" s="578" t="str">
        <f t="shared" si="146"/>
        <v/>
      </c>
      <c r="GP16" s="578" t="str">
        <f t="shared" si="147"/>
        <v/>
      </c>
      <c r="GQ16" s="578" t="str">
        <f t="shared" si="148"/>
        <v/>
      </c>
      <c r="GR16" s="578" t="str">
        <f t="shared" si="149"/>
        <v/>
      </c>
      <c r="GS16" s="578" t="str">
        <f t="shared" si="150"/>
        <v/>
      </c>
      <c r="GT16" s="567" t="str">
        <f t="shared" si="151"/>
        <v/>
      </c>
      <c r="GU16" s="567" t="str">
        <f t="shared" si="152"/>
        <v/>
      </c>
      <c r="GV16" s="567" t="str">
        <f t="shared" si="153"/>
        <v/>
      </c>
      <c r="GW16" s="567" t="str">
        <f t="shared" si="154"/>
        <v/>
      </c>
      <c r="GX16" s="567" t="str">
        <f t="shared" si="155"/>
        <v/>
      </c>
      <c r="GY16" s="567" t="str">
        <f t="shared" si="156"/>
        <v/>
      </c>
      <c r="GZ16" s="567" t="str">
        <f t="shared" si="157"/>
        <v/>
      </c>
      <c r="HA16" s="567" t="str">
        <f t="shared" si="158"/>
        <v/>
      </c>
      <c r="HB16" s="567" t="str">
        <f t="shared" si="159"/>
        <v/>
      </c>
      <c r="HC16" s="567" t="str">
        <f t="shared" si="160"/>
        <v/>
      </c>
      <c r="HD16" s="567" t="str">
        <f t="shared" si="161"/>
        <v/>
      </c>
      <c r="HE16" s="567" t="str">
        <f t="shared" si="162"/>
        <v/>
      </c>
      <c r="HF16" s="567" t="str">
        <f t="shared" si="163"/>
        <v/>
      </c>
      <c r="HG16" s="567" t="str">
        <f t="shared" si="164"/>
        <v/>
      </c>
      <c r="HH16" s="567" t="str">
        <f t="shared" si="165"/>
        <v/>
      </c>
      <c r="HI16" s="567" t="str">
        <f t="shared" si="166"/>
        <v/>
      </c>
      <c r="HJ16" s="567" t="str">
        <f t="shared" si="167"/>
        <v/>
      </c>
      <c r="HK16" s="567" t="str">
        <f t="shared" si="168"/>
        <v/>
      </c>
      <c r="HL16" s="567" t="str">
        <f t="shared" si="169"/>
        <v/>
      </c>
      <c r="HM16" s="567" t="str">
        <f t="shared" si="170"/>
        <v/>
      </c>
    </row>
    <row r="17" spans="1:221" ht="13.15" customHeight="1">
      <c r="A17" s="126" t="str">
        <f t="shared" si="171"/>
        <v/>
      </c>
      <c r="B17" s="1203" t="s">
        <v>1212</v>
      </c>
      <c r="C17" s="1204">
        <v>2</v>
      </c>
      <c r="D17" s="1205">
        <v>1</v>
      </c>
      <c r="E17" s="1206">
        <v>24</v>
      </c>
      <c r="F17" s="1206">
        <v>900</v>
      </c>
      <c r="G17" s="1206">
        <v>706</v>
      </c>
      <c r="H17" s="1206">
        <v>706</v>
      </c>
      <c r="I17" s="1206">
        <v>160</v>
      </c>
      <c r="J17" s="1207"/>
      <c r="K17" s="198">
        <f t="shared" si="172"/>
        <v>546</v>
      </c>
      <c r="L17" s="198">
        <f t="shared" si="0"/>
        <v>13104</v>
      </c>
      <c r="M17" s="1099" t="s">
        <v>3425</v>
      </c>
      <c r="N17" s="1099" t="s">
        <v>2778</v>
      </c>
      <c r="O17" s="1099" t="s">
        <v>2436</v>
      </c>
      <c r="P17" s="518">
        <f t="shared" si="203"/>
        <v>28240</v>
      </c>
      <c r="Q17" s="519">
        <f>IF(H17="","",P17/($P$6*VLOOKUP(C17,'DCA Underwriting Assumptions'!$J$82:$K$87,2,FALSE)))</f>
        <v>0.59995751009135334</v>
      </c>
      <c r="R17" s="607"/>
      <c r="S17" s="519"/>
      <c r="T17" s="1643"/>
      <c r="U17" s="1644"/>
      <c r="V17" s="567" t="str">
        <f t="shared" si="1"/>
        <v/>
      </c>
      <c r="W17" s="567" t="str">
        <f t="shared" si="2"/>
        <v/>
      </c>
      <c r="X17" s="567">
        <f t="shared" si="3"/>
        <v>24</v>
      </c>
      <c r="Y17" s="567" t="str">
        <f t="shared" si="4"/>
        <v/>
      </c>
      <c r="Z17" s="567" t="str">
        <f t="shared" si="5"/>
        <v/>
      </c>
      <c r="AA17" s="567" t="str">
        <f t="shared" si="6"/>
        <v/>
      </c>
      <c r="AB17" s="567" t="str">
        <f t="shared" si="7"/>
        <v/>
      </c>
      <c r="AC17" s="567" t="str">
        <f t="shared" si="8"/>
        <v/>
      </c>
      <c r="AD17" s="567" t="str">
        <f t="shared" si="9"/>
        <v/>
      </c>
      <c r="AE17" s="567" t="str">
        <f t="shared" si="10"/>
        <v/>
      </c>
      <c r="AF17" s="567" t="str">
        <f t="shared" si="11"/>
        <v/>
      </c>
      <c r="AG17" s="567" t="str">
        <f t="shared" si="12"/>
        <v/>
      </c>
      <c r="AH17" s="567" t="str">
        <f t="shared" si="13"/>
        <v/>
      </c>
      <c r="AI17" s="567" t="str">
        <f t="shared" si="14"/>
        <v/>
      </c>
      <c r="AJ17" s="567" t="str">
        <f t="shared" si="15"/>
        <v/>
      </c>
      <c r="AK17" s="567" t="str">
        <f t="shared" si="16"/>
        <v/>
      </c>
      <c r="AL17" s="567" t="str">
        <f t="shared" si="17"/>
        <v/>
      </c>
      <c r="AM17" s="567" t="str">
        <f t="shared" si="18"/>
        <v/>
      </c>
      <c r="AN17" s="567" t="str">
        <f t="shared" si="19"/>
        <v/>
      </c>
      <c r="AO17" s="567" t="str">
        <f t="shared" si="20"/>
        <v/>
      </c>
      <c r="AP17" s="567" t="str">
        <f t="shared" si="173"/>
        <v/>
      </c>
      <c r="AQ17" s="567" t="str">
        <f t="shared" si="174"/>
        <v/>
      </c>
      <c r="AR17" s="567" t="str">
        <f t="shared" si="175"/>
        <v/>
      </c>
      <c r="AS17" s="567" t="str">
        <f t="shared" si="176"/>
        <v/>
      </c>
      <c r="AT17" s="567" t="str">
        <f t="shared" si="177"/>
        <v/>
      </c>
      <c r="AU17" s="567" t="str">
        <f t="shared" si="178"/>
        <v/>
      </c>
      <c r="AV17" s="567" t="str">
        <f t="shared" si="179"/>
        <v/>
      </c>
      <c r="AW17" s="567" t="str">
        <f t="shared" si="180"/>
        <v/>
      </c>
      <c r="AX17" s="567" t="str">
        <f t="shared" si="181"/>
        <v/>
      </c>
      <c r="AY17" s="567" t="str">
        <f t="shared" si="182"/>
        <v/>
      </c>
      <c r="AZ17" s="567" t="str">
        <f t="shared" si="183"/>
        <v/>
      </c>
      <c r="BA17" s="567" t="str">
        <f t="shared" si="184"/>
        <v/>
      </c>
      <c r="BB17" s="567" t="str">
        <f t="shared" si="185"/>
        <v/>
      </c>
      <c r="BC17" s="567" t="str">
        <f t="shared" si="186"/>
        <v/>
      </c>
      <c r="BD17" s="567" t="str">
        <f t="shared" si="187"/>
        <v/>
      </c>
      <c r="BE17" s="567" t="str">
        <f t="shared" si="188"/>
        <v/>
      </c>
      <c r="BF17" s="567" t="str">
        <f t="shared" si="189"/>
        <v/>
      </c>
      <c r="BG17" s="567" t="str">
        <f t="shared" si="190"/>
        <v/>
      </c>
      <c r="BH17" s="567" t="str">
        <f t="shared" si="191"/>
        <v/>
      </c>
      <c r="BI17" s="567" t="str">
        <f t="shared" si="192"/>
        <v/>
      </c>
      <c r="BJ17" s="567" t="str">
        <f t="shared" si="193"/>
        <v/>
      </c>
      <c r="BK17" s="567" t="str">
        <f t="shared" si="194"/>
        <v/>
      </c>
      <c r="BL17" s="567" t="str">
        <f t="shared" si="195"/>
        <v/>
      </c>
      <c r="BM17" s="567" t="str">
        <f t="shared" si="196"/>
        <v/>
      </c>
      <c r="BN17" s="567" t="str">
        <f t="shared" si="197"/>
        <v/>
      </c>
      <c r="BO17" s="567" t="str">
        <f t="shared" si="198"/>
        <v/>
      </c>
      <c r="BP17" s="567" t="str">
        <f t="shared" si="199"/>
        <v/>
      </c>
      <c r="BQ17" s="567" t="str">
        <f t="shared" si="200"/>
        <v/>
      </c>
      <c r="BR17" s="567" t="str">
        <f t="shared" si="201"/>
        <v/>
      </c>
      <c r="BS17" s="567" t="str">
        <f t="shared" si="202"/>
        <v/>
      </c>
      <c r="BT17" s="567" t="str">
        <f t="shared" si="21"/>
        <v/>
      </c>
      <c r="BU17" s="567" t="str">
        <f t="shared" si="22"/>
        <v/>
      </c>
      <c r="BV17" s="567" t="str">
        <f t="shared" si="23"/>
        <v/>
      </c>
      <c r="BW17" s="567" t="str">
        <f t="shared" si="24"/>
        <v/>
      </c>
      <c r="BX17" s="567" t="str">
        <f t="shared" si="25"/>
        <v/>
      </c>
      <c r="BY17" s="567" t="str">
        <f t="shared" si="26"/>
        <v/>
      </c>
      <c r="BZ17" s="567" t="str">
        <f t="shared" si="27"/>
        <v/>
      </c>
      <c r="CA17" s="567">
        <f t="shared" si="28"/>
        <v>21600</v>
      </c>
      <c r="CB17" s="567" t="str">
        <f t="shared" si="29"/>
        <v/>
      </c>
      <c r="CC17" s="567" t="str">
        <f t="shared" si="30"/>
        <v/>
      </c>
      <c r="CD17" s="567" t="str">
        <f t="shared" si="31"/>
        <v/>
      </c>
      <c r="CE17" s="567" t="str">
        <f t="shared" si="32"/>
        <v/>
      </c>
      <c r="CF17" s="567" t="str">
        <f t="shared" si="33"/>
        <v/>
      </c>
      <c r="CG17" s="567" t="str">
        <f t="shared" si="34"/>
        <v/>
      </c>
      <c r="CH17" s="567" t="str">
        <f t="shared" si="35"/>
        <v/>
      </c>
      <c r="CI17" s="567" t="str">
        <f t="shared" si="36"/>
        <v/>
      </c>
      <c r="CJ17" s="567" t="str">
        <f t="shared" si="37"/>
        <v/>
      </c>
      <c r="CK17" s="567" t="str">
        <f t="shared" si="38"/>
        <v/>
      </c>
      <c r="CL17" s="567" t="str">
        <f t="shared" si="39"/>
        <v/>
      </c>
      <c r="CM17" s="567" t="str">
        <f t="shared" si="40"/>
        <v/>
      </c>
      <c r="CN17" s="567" t="str">
        <f t="shared" si="41"/>
        <v/>
      </c>
      <c r="CO17" s="567" t="str">
        <f t="shared" si="42"/>
        <v/>
      </c>
      <c r="CP17" s="567" t="str">
        <f t="shared" si="43"/>
        <v/>
      </c>
      <c r="CQ17" s="567" t="str">
        <f t="shared" si="44"/>
        <v/>
      </c>
      <c r="CR17" s="567" t="str">
        <f t="shared" si="45"/>
        <v/>
      </c>
      <c r="CS17" s="567" t="str">
        <f t="shared" si="46"/>
        <v/>
      </c>
      <c r="CT17" s="567" t="str">
        <f t="shared" si="47"/>
        <v/>
      </c>
      <c r="CU17" s="567" t="str">
        <f t="shared" si="48"/>
        <v/>
      </c>
      <c r="CV17" s="567" t="str">
        <f t="shared" si="49"/>
        <v/>
      </c>
      <c r="CW17" s="567" t="str">
        <f t="shared" si="50"/>
        <v/>
      </c>
      <c r="CX17" s="567" t="str">
        <f t="shared" si="51"/>
        <v/>
      </c>
      <c r="CY17" s="567" t="str">
        <f t="shared" si="52"/>
        <v/>
      </c>
      <c r="CZ17" s="567" t="str">
        <f t="shared" si="53"/>
        <v/>
      </c>
      <c r="DA17" s="567" t="str">
        <f t="shared" si="54"/>
        <v/>
      </c>
      <c r="DB17" s="567" t="str">
        <f t="shared" si="55"/>
        <v/>
      </c>
      <c r="DC17" s="567" t="str">
        <f t="shared" si="56"/>
        <v/>
      </c>
      <c r="DD17" s="567" t="str">
        <f t="shared" si="57"/>
        <v/>
      </c>
      <c r="DE17" s="567">
        <f t="shared" si="58"/>
        <v>24</v>
      </c>
      <c r="DF17" s="567" t="str">
        <f t="shared" si="59"/>
        <v/>
      </c>
      <c r="DG17" s="567" t="str">
        <f t="shared" si="60"/>
        <v/>
      </c>
      <c r="DH17" s="567" t="str">
        <f t="shared" si="61"/>
        <v/>
      </c>
      <c r="DI17" s="567" t="str">
        <f t="shared" si="62"/>
        <v/>
      </c>
      <c r="DJ17" s="567" t="str">
        <f t="shared" si="63"/>
        <v/>
      </c>
      <c r="DK17" s="567" t="str">
        <f t="shared" si="64"/>
        <v/>
      </c>
      <c r="DL17" s="567" t="str">
        <f t="shared" si="65"/>
        <v/>
      </c>
      <c r="DM17" s="567" t="str">
        <f t="shared" si="66"/>
        <v/>
      </c>
      <c r="DN17" s="567" t="str">
        <f t="shared" si="67"/>
        <v/>
      </c>
      <c r="DO17" s="567" t="str">
        <f t="shared" si="68"/>
        <v/>
      </c>
      <c r="DP17" s="567" t="str">
        <f t="shared" si="69"/>
        <v/>
      </c>
      <c r="DQ17" s="567" t="str">
        <f t="shared" si="70"/>
        <v/>
      </c>
      <c r="DR17" s="567" t="str">
        <f t="shared" si="71"/>
        <v/>
      </c>
      <c r="DS17" s="567" t="str">
        <f t="shared" si="72"/>
        <v/>
      </c>
      <c r="DT17" s="567" t="str">
        <f t="shared" si="73"/>
        <v/>
      </c>
      <c r="DU17" s="567" t="str">
        <f t="shared" si="74"/>
        <v/>
      </c>
      <c r="DV17" s="567" t="str">
        <f t="shared" si="75"/>
        <v/>
      </c>
      <c r="DW17" s="567" t="str">
        <f t="shared" si="76"/>
        <v/>
      </c>
      <c r="DX17" s="567" t="str">
        <f t="shared" si="77"/>
        <v/>
      </c>
      <c r="DY17" s="567" t="str">
        <f t="shared" si="78"/>
        <v/>
      </c>
      <c r="DZ17" s="567" t="str">
        <f t="shared" si="79"/>
        <v/>
      </c>
      <c r="EA17" s="567" t="str">
        <f t="shared" si="80"/>
        <v/>
      </c>
      <c r="EB17" s="567" t="str">
        <f t="shared" si="81"/>
        <v/>
      </c>
      <c r="EC17" s="567" t="str">
        <f t="shared" si="82"/>
        <v/>
      </c>
      <c r="ED17" s="567" t="str">
        <f t="shared" si="83"/>
        <v/>
      </c>
      <c r="EE17" s="567" t="str">
        <f t="shared" si="84"/>
        <v/>
      </c>
      <c r="EF17" s="567" t="str">
        <f t="shared" si="85"/>
        <v/>
      </c>
      <c r="EG17" s="567" t="str">
        <f t="shared" si="86"/>
        <v/>
      </c>
      <c r="EH17" s="567" t="str">
        <f t="shared" si="87"/>
        <v/>
      </c>
      <c r="EI17" s="567" t="str">
        <f t="shared" si="88"/>
        <v/>
      </c>
      <c r="EJ17" s="567" t="str">
        <f t="shared" si="89"/>
        <v/>
      </c>
      <c r="EK17" s="567" t="str">
        <f t="shared" si="90"/>
        <v/>
      </c>
      <c r="EL17" s="567" t="str">
        <f t="shared" si="91"/>
        <v/>
      </c>
      <c r="EM17" s="567" t="str">
        <f t="shared" si="92"/>
        <v/>
      </c>
      <c r="EN17" s="567" t="str">
        <f t="shared" si="93"/>
        <v/>
      </c>
      <c r="EO17" s="567" t="str">
        <f t="shared" si="94"/>
        <v/>
      </c>
      <c r="EP17" s="567" t="str">
        <f t="shared" si="95"/>
        <v/>
      </c>
      <c r="EQ17" s="567" t="str">
        <f t="shared" si="96"/>
        <v/>
      </c>
      <c r="ER17" s="567" t="str">
        <f t="shared" si="97"/>
        <v/>
      </c>
      <c r="ES17" s="567" t="str">
        <f t="shared" si="98"/>
        <v/>
      </c>
      <c r="ET17" s="567" t="str">
        <f t="shared" si="99"/>
        <v/>
      </c>
      <c r="EU17" s="567" t="str">
        <f t="shared" si="100"/>
        <v/>
      </c>
      <c r="EV17" s="577" t="str">
        <f t="shared" si="101"/>
        <v/>
      </c>
      <c r="EW17" s="577" t="str">
        <f t="shared" si="102"/>
        <v/>
      </c>
      <c r="EX17" s="577">
        <f t="shared" si="103"/>
        <v>24</v>
      </c>
      <c r="EY17" s="577" t="str">
        <f t="shared" si="104"/>
        <v/>
      </c>
      <c r="EZ17" s="577" t="str">
        <f t="shared" si="105"/>
        <v/>
      </c>
      <c r="FA17" s="577" t="str">
        <f t="shared" si="106"/>
        <v/>
      </c>
      <c r="FB17" s="577" t="str">
        <f t="shared" si="107"/>
        <v/>
      </c>
      <c r="FC17" s="577" t="str">
        <f t="shared" si="108"/>
        <v/>
      </c>
      <c r="FD17" s="577" t="str">
        <f t="shared" si="109"/>
        <v/>
      </c>
      <c r="FE17" s="577" t="str">
        <f t="shared" si="110"/>
        <v/>
      </c>
      <c r="FF17" s="577" t="str">
        <f t="shared" si="111"/>
        <v/>
      </c>
      <c r="FG17" s="577" t="str">
        <f t="shared" si="112"/>
        <v/>
      </c>
      <c r="FH17" s="577" t="str">
        <f t="shared" si="113"/>
        <v/>
      </c>
      <c r="FI17" s="577" t="str">
        <f t="shared" si="114"/>
        <v/>
      </c>
      <c r="FJ17" s="577" t="str">
        <f t="shared" si="115"/>
        <v/>
      </c>
      <c r="FK17" s="577" t="str">
        <f t="shared" si="116"/>
        <v/>
      </c>
      <c r="FL17" s="577" t="str">
        <f t="shared" si="117"/>
        <v/>
      </c>
      <c r="FM17" s="577" t="str">
        <f t="shared" si="118"/>
        <v/>
      </c>
      <c r="FN17" s="577" t="str">
        <f t="shared" si="119"/>
        <v/>
      </c>
      <c r="FO17" s="577" t="str">
        <f t="shared" si="120"/>
        <v/>
      </c>
      <c r="FP17" s="577" t="str">
        <f t="shared" si="121"/>
        <v/>
      </c>
      <c r="FQ17" s="577" t="str">
        <f t="shared" si="122"/>
        <v/>
      </c>
      <c r="FR17" s="577" t="str">
        <f t="shared" si="123"/>
        <v/>
      </c>
      <c r="FS17" s="577" t="str">
        <f t="shared" si="124"/>
        <v/>
      </c>
      <c r="FT17" s="577" t="str">
        <f t="shared" si="125"/>
        <v/>
      </c>
      <c r="FU17" s="577" t="str">
        <f t="shared" si="126"/>
        <v/>
      </c>
      <c r="FV17" s="577" t="str">
        <f t="shared" si="127"/>
        <v/>
      </c>
      <c r="FW17" s="577">
        <f t="shared" si="128"/>
        <v>24</v>
      </c>
      <c r="FX17" s="577" t="str">
        <f t="shared" si="129"/>
        <v/>
      </c>
      <c r="FY17" s="577" t="str">
        <f t="shared" si="130"/>
        <v/>
      </c>
      <c r="FZ17" s="577" t="str">
        <f t="shared" si="131"/>
        <v/>
      </c>
      <c r="GA17" s="577" t="str">
        <f t="shared" si="132"/>
        <v/>
      </c>
      <c r="GB17" s="577" t="str">
        <f t="shared" si="133"/>
        <v/>
      </c>
      <c r="GC17" s="577" t="str">
        <f t="shared" si="134"/>
        <v/>
      </c>
      <c r="GD17" s="577" t="str">
        <f t="shared" si="135"/>
        <v/>
      </c>
      <c r="GE17" s="577" t="str">
        <f t="shared" si="136"/>
        <v/>
      </c>
      <c r="GF17" s="577" t="str">
        <f t="shared" si="137"/>
        <v/>
      </c>
      <c r="GG17" s="577" t="str">
        <f t="shared" si="138"/>
        <v/>
      </c>
      <c r="GH17" s="577" t="str">
        <f t="shared" si="139"/>
        <v/>
      </c>
      <c r="GI17" s="577" t="str">
        <f t="shared" si="140"/>
        <v/>
      </c>
      <c r="GJ17" s="577" t="str">
        <f t="shared" si="141"/>
        <v/>
      </c>
      <c r="GK17" s="577" t="str">
        <f t="shared" si="142"/>
        <v/>
      </c>
      <c r="GL17" s="577" t="str">
        <f t="shared" si="143"/>
        <v/>
      </c>
      <c r="GM17" s="577" t="str">
        <f t="shared" si="144"/>
        <v/>
      </c>
      <c r="GN17" s="577" t="str">
        <f t="shared" si="145"/>
        <v/>
      </c>
      <c r="GO17" s="578" t="str">
        <f t="shared" si="146"/>
        <v/>
      </c>
      <c r="GP17" s="578" t="str">
        <f t="shared" si="147"/>
        <v/>
      </c>
      <c r="GQ17" s="578" t="str">
        <f t="shared" si="148"/>
        <v/>
      </c>
      <c r="GR17" s="578" t="str">
        <f t="shared" si="149"/>
        <v/>
      </c>
      <c r="GS17" s="578" t="str">
        <f t="shared" si="150"/>
        <v/>
      </c>
      <c r="GT17" s="567" t="str">
        <f t="shared" si="151"/>
        <v/>
      </c>
      <c r="GU17" s="567" t="str">
        <f t="shared" si="152"/>
        <v/>
      </c>
      <c r="GV17" s="567" t="str">
        <f t="shared" si="153"/>
        <v/>
      </c>
      <c r="GW17" s="567" t="str">
        <f t="shared" si="154"/>
        <v/>
      </c>
      <c r="GX17" s="567" t="str">
        <f t="shared" si="155"/>
        <v/>
      </c>
      <c r="GY17" s="567" t="str">
        <f t="shared" si="156"/>
        <v/>
      </c>
      <c r="GZ17" s="567" t="str">
        <f t="shared" si="157"/>
        <v/>
      </c>
      <c r="HA17" s="567" t="str">
        <f t="shared" si="158"/>
        <v/>
      </c>
      <c r="HB17" s="567" t="str">
        <f t="shared" si="159"/>
        <v/>
      </c>
      <c r="HC17" s="567" t="str">
        <f t="shared" si="160"/>
        <v/>
      </c>
      <c r="HD17" s="567" t="str">
        <f t="shared" si="161"/>
        <v/>
      </c>
      <c r="HE17" s="567" t="str">
        <f t="shared" si="162"/>
        <v/>
      </c>
      <c r="HF17" s="567" t="str">
        <f t="shared" si="163"/>
        <v/>
      </c>
      <c r="HG17" s="567" t="str">
        <f t="shared" si="164"/>
        <v/>
      </c>
      <c r="HH17" s="567" t="str">
        <f t="shared" si="165"/>
        <v/>
      </c>
      <c r="HI17" s="567" t="str">
        <f t="shared" si="166"/>
        <v/>
      </c>
      <c r="HJ17" s="567" t="str">
        <f t="shared" si="167"/>
        <v/>
      </c>
      <c r="HK17" s="567" t="str">
        <f t="shared" si="168"/>
        <v/>
      </c>
      <c r="HL17" s="567" t="str">
        <f t="shared" si="169"/>
        <v/>
      </c>
      <c r="HM17" s="567" t="str">
        <f t="shared" si="170"/>
        <v/>
      </c>
    </row>
    <row r="18" spans="1:221" ht="13.15" customHeight="1">
      <c r="A18" s="126" t="str">
        <f t="shared" si="171"/>
        <v/>
      </c>
      <c r="B18" s="1203" t="s">
        <v>319</v>
      </c>
      <c r="C18" s="1204">
        <v>2</v>
      </c>
      <c r="D18" s="1205">
        <v>1</v>
      </c>
      <c r="E18" s="1206">
        <v>2</v>
      </c>
      <c r="F18" s="1206">
        <v>900</v>
      </c>
      <c r="G18" s="1206">
        <v>690</v>
      </c>
      <c r="H18" s="1206">
        <v>690</v>
      </c>
      <c r="I18" s="1206"/>
      <c r="J18" s="1207"/>
      <c r="K18" s="198">
        <f t="shared" si="172"/>
        <v>690</v>
      </c>
      <c r="L18" s="198">
        <f t="shared" si="0"/>
        <v>1380</v>
      </c>
      <c r="M18" s="1099" t="s">
        <v>3425</v>
      </c>
      <c r="N18" s="1099" t="s">
        <v>2778</v>
      </c>
      <c r="O18" s="1099" t="s">
        <v>2436</v>
      </c>
      <c r="P18" s="518">
        <f t="shared" si="203"/>
        <v>27600</v>
      </c>
      <c r="Q18" s="519">
        <f>IF(H18="","",P18/($P$6*VLOOKUP(C18,'DCA Underwriting Assumptions'!$J$82:$K$87,2,FALSE)))</f>
        <v>0.58636073932441046</v>
      </c>
      <c r="R18" s="607"/>
      <c r="S18" s="519"/>
      <c r="T18" s="1643"/>
      <c r="U18" s="1644"/>
      <c r="V18" s="567" t="str">
        <f t="shared" si="1"/>
        <v/>
      </c>
      <c r="W18" s="567" t="str">
        <f t="shared" si="2"/>
        <v/>
      </c>
      <c r="X18" s="567" t="str">
        <f t="shared" si="3"/>
        <v/>
      </c>
      <c r="Y18" s="567" t="str">
        <f t="shared" si="4"/>
        <v/>
      </c>
      <c r="Z18" s="567" t="str">
        <f t="shared" si="5"/>
        <v/>
      </c>
      <c r="AA18" s="567" t="str">
        <f t="shared" si="6"/>
        <v/>
      </c>
      <c r="AB18" s="567" t="str">
        <f t="shared" si="7"/>
        <v/>
      </c>
      <c r="AC18" s="567" t="str">
        <f t="shared" si="8"/>
        <v/>
      </c>
      <c r="AD18" s="567" t="str">
        <f t="shared" si="9"/>
        <v/>
      </c>
      <c r="AE18" s="567" t="str">
        <f t="shared" si="10"/>
        <v/>
      </c>
      <c r="AF18" s="567" t="str">
        <f t="shared" si="11"/>
        <v/>
      </c>
      <c r="AG18" s="567" t="str">
        <f t="shared" si="12"/>
        <v/>
      </c>
      <c r="AH18" s="567" t="str">
        <f t="shared" si="13"/>
        <v/>
      </c>
      <c r="AI18" s="567" t="str">
        <f t="shared" si="14"/>
        <v/>
      </c>
      <c r="AJ18" s="567" t="str">
        <f t="shared" si="15"/>
        <v/>
      </c>
      <c r="AK18" s="567" t="str">
        <f t="shared" si="16"/>
        <v/>
      </c>
      <c r="AL18" s="567" t="str">
        <f t="shared" si="17"/>
        <v/>
      </c>
      <c r="AM18" s="567">
        <f t="shared" si="18"/>
        <v>2</v>
      </c>
      <c r="AN18" s="567" t="str">
        <f t="shared" si="19"/>
        <v/>
      </c>
      <c r="AO18" s="567" t="str">
        <f t="shared" si="20"/>
        <v/>
      </c>
      <c r="AP18" s="567" t="str">
        <f t="shared" si="173"/>
        <v/>
      </c>
      <c r="AQ18" s="567" t="str">
        <f t="shared" si="174"/>
        <v/>
      </c>
      <c r="AR18" s="567" t="str">
        <f t="shared" si="175"/>
        <v/>
      </c>
      <c r="AS18" s="567" t="str">
        <f t="shared" si="176"/>
        <v/>
      </c>
      <c r="AT18" s="567" t="str">
        <f t="shared" si="177"/>
        <v/>
      </c>
      <c r="AU18" s="567" t="str">
        <f t="shared" si="178"/>
        <v/>
      </c>
      <c r="AV18" s="567" t="str">
        <f t="shared" si="179"/>
        <v/>
      </c>
      <c r="AW18" s="567" t="str">
        <f t="shared" si="180"/>
        <v/>
      </c>
      <c r="AX18" s="567" t="str">
        <f t="shared" si="181"/>
        <v/>
      </c>
      <c r="AY18" s="567" t="str">
        <f t="shared" si="182"/>
        <v/>
      </c>
      <c r="AZ18" s="567" t="str">
        <f t="shared" si="183"/>
        <v/>
      </c>
      <c r="BA18" s="567" t="str">
        <f t="shared" si="184"/>
        <v/>
      </c>
      <c r="BB18" s="567" t="str">
        <f t="shared" si="185"/>
        <v/>
      </c>
      <c r="BC18" s="567" t="str">
        <f t="shared" si="186"/>
        <v/>
      </c>
      <c r="BD18" s="567" t="str">
        <f t="shared" si="187"/>
        <v/>
      </c>
      <c r="BE18" s="567" t="str">
        <f t="shared" si="188"/>
        <v/>
      </c>
      <c r="BF18" s="567" t="str">
        <f t="shared" si="189"/>
        <v/>
      </c>
      <c r="BG18" s="567" t="str">
        <f t="shared" si="190"/>
        <v/>
      </c>
      <c r="BH18" s="567" t="str">
        <f t="shared" si="191"/>
        <v/>
      </c>
      <c r="BI18" s="567" t="str">
        <f t="shared" si="192"/>
        <v/>
      </c>
      <c r="BJ18" s="567" t="str">
        <f t="shared" si="193"/>
        <v/>
      </c>
      <c r="BK18" s="567" t="str">
        <f t="shared" si="194"/>
        <v/>
      </c>
      <c r="BL18" s="567" t="str">
        <f t="shared" si="195"/>
        <v/>
      </c>
      <c r="BM18" s="567" t="str">
        <f t="shared" si="196"/>
        <v/>
      </c>
      <c r="BN18" s="567" t="str">
        <f t="shared" si="197"/>
        <v/>
      </c>
      <c r="BO18" s="567" t="str">
        <f t="shared" si="198"/>
        <v/>
      </c>
      <c r="BP18" s="567" t="str">
        <f t="shared" si="199"/>
        <v/>
      </c>
      <c r="BQ18" s="567" t="str">
        <f t="shared" si="200"/>
        <v/>
      </c>
      <c r="BR18" s="567" t="str">
        <f t="shared" si="201"/>
        <v/>
      </c>
      <c r="BS18" s="567" t="str">
        <f t="shared" si="202"/>
        <v/>
      </c>
      <c r="BT18" s="567" t="str">
        <f t="shared" si="21"/>
        <v/>
      </c>
      <c r="BU18" s="567" t="str">
        <f t="shared" si="22"/>
        <v/>
      </c>
      <c r="BV18" s="567" t="str">
        <f t="shared" si="23"/>
        <v/>
      </c>
      <c r="BW18" s="567" t="str">
        <f t="shared" si="24"/>
        <v/>
      </c>
      <c r="BX18" s="567" t="str">
        <f t="shared" si="25"/>
        <v/>
      </c>
      <c r="BY18" s="567" t="str">
        <f t="shared" si="26"/>
        <v/>
      </c>
      <c r="BZ18" s="567" t="str">
        <f t="shared" si="27"/>
        <v/>
      </c>
      <c r="CA18" s="567" t="str">
        <f t="shared" si="28"/>
        <v/>
      </c>
      <c r="CB18" s="567" t="str">
        <f t="shared" si="29"/>
        <v/>
      </c>
      <c r="CC18" s="567" t="str">
        <f t="shared" si="30"/>
        <v/>
      </c>
      <c r="CD18" s="567" t="str">
        <f t="shared" si="31"/>
        <v/>
      </c>
      <c r="CE18" s="567" t="str">
        <f t="shared" si="32"/>
        <v/>
      </c>
      <c r="CF18" s="567" t="str">
        <f t="shared" si="33"/>
        <v/>
      </c>
      <c r="CG18" s="567" t="str">
        <f t="shared" si="34"/>
        <v/>
      </c>
      <c r="CH18" s="567" t="str">
        <f t="shared" si="35"/>
        <v/>
      </c>
      <c r="CI18" s="567" t="str">
        <f t="shared" si="36"/>
        <v/>
      </c>
      <c r="CJ18" s="567" t="str">
        <f t="shared" si="37"/>
        <v/>
      </c>
      <c r="CK18" s="567" t="str">
        <f t="shared" si="38"/>
        <v/>
      </c>
      <c r="CL18" s="567" t="str">
        <f t="shared" si="39"/>
        <v/>
      </c>
      <c r="CM18" s="567" t="str">
        <f t="shared" si="40"/>
        <v/>
      </c>
      <c r="CN18" s="567" t="str">
        <f t="shared" si="41"/>
        <v/>
      </c>
      <c r="CO18" s="567" t="str">
        <f t="shared" si="42"/>
        <v/>
      </c>
      <c r="CP18" s="567">
        <f t="shared" si="43"/>
        <v>1800</v>
      </c>
      <c r="CQ18" s="567" t="str">
        <f t="shared" si="44"/>
        <v/>
      </c>
      <c r="CR18" s="567" t="str">
        <f t="shared" si="45"/>
        <v/>
      </c>
      <c r="CS18" s="567" t="str">
        <f t="shared" si="46"/>
        <v/>
      </c>
      <c r="CT18" s="567" t="str">
        <f t="shared" si="47"/>
        <v/>
      </c>
      <c r="CU18" s="567" t="str">
        <f t="shared" si="48"/>
        <v/>
      </c>
      <c r="CV18" s="567" t="str">
        <f t="shared" si="49"/>
        <v/>
      </c>
      <c r="CW18" s="567" t="str">
        <f t="shared" si="50"/>
        <v/>
      </c>
      <c r="CX18" s="567" t="str">
        <f t="shared" si="51"/>
        <v/>
      </c>
      <c r="CY18" s="567" t="str">
        <f t="shared" si="52"/>
        <v/>
      </c>
      <c r="CZ18" s="567" t="str">
        <f t="shared" si="53"/>
        <v/>
      </c>
      <c r="DA18" s="567" t="str">
        <f t="shared" si="54"/>
        <v/>
      </c>
      <c r="DB18" s="567" t="str">
        <f t="shared" si="55"/>
        <v/>
      </c>
      <c r="DC18" s="567" t="str">
        <f t="shared" si="56"/>
        <v/>
      </c>
      <c r="DD18" s="567" t="str">
        <f t="shared" si="57"/>
        <v/>
      </c>
      <c r="DE18" s="567" t="str">
        <f t="shared" si="58"/>
        <v/>
      </c>
      <c r="DF18" s="567" t="str">
        <f t="shared" si="59"/>
        <v/>
      </c>
      <c r="DG18" s="567" t="str">
        <f t="shared" si="60"/>
        <v/>
      </c>
      <c r="DH18" s="567" t="str">
        <f t="shared" si="61"/>
        <v/>
      </c>
      <c r="DI18" s="567" t="str">
        <f t="shared" si="62"/>
        <v/>
      </c>
      <c r="DJ18" s="567">
        <f t="shared" si="63"/>
        <v>2</v>
      </c>
      <c r="DK18" s="567" t="str">
        <f t="shared" si="64"/>
        <v/>
      </c>
      <c r="DL18" s="567" t="str">
        <f t="shared" si="65"/>
        <v/>
      </c>
      <c r="DM18" s="567" t="str">
        <f t="shared" si="66"/>
        <v/>
      </c>
      <c r="DN18" s="567" t="str">
        <f t="shared" si="67"/>
        <v/>
      </c>
      <c r="DO18" s="567" t="str">
        <f t="shared" si="68"/>
        <v/>
      </c>
      <c r="DP18" s="567" t="str">
        <f t="shared" si="69"/>
        <v/>
      </c>
      <c r="DQ18" s="567" t="str">
        <f t="shared" si="70"/>
        <v/>
      </c>
      <c r="DR18" s="567" t="str">
        <f t="shared" si="71"/>
        <v/>
      </c>
      <c r="DS18" s="567" t="str">
        <f t="shared" si="72"/>
        <v/>
      </c>
      <c r="DT18" s="567" t="str">
        <f t="shared" si="73"/>
        <v/>
      </c>
      <c r="DU18" s="567" t="str">
        <f t="shared" si="74"/>
        <v/>
      </c>
      <c r="DV18" s="567" t="str">
        <f t="shared" si="75"/>
        <v/>
      </c>
      <c r="DW18" s="567" t="str">
        <f t="shared" si="76"/>
        <v/>
      </c>
      <c r="DX18" s="567" t="str">
        <f t="shared" si="77"/>
        <v/>
      </c>
      <c r="DY18" s="567" t="str">
        <f t="shared" si="78"/>
        <v/>
      </c>
      <c r="DZ18" s="567" t="str">
        <f t="shared" si="79"/>
        <v/>
      </c>
      <c r="EA18" s="567" t="str">
        <f t="shared" si="80"/>
        <v/>
      </c>
      <c r="EB18" s="567" t="str">
        <f t="shared" si="81"/>
        <v/>
      </c>
      <c r="EC18" s="567" t="str">
        <f t="shared" si="82"/>
        <v/>
      </c>
      <c r="ED18" s="567" t="str">
        <f t="shared" si="83"/>
        <v/>
      </c>
      <c r="EE18" s="567" t="str">
        <f t="shared" si="84"/>
        <v/>
      </c>
      <c r="EF18" s="567" t="str">
        <f t="shared" si="85"/>
        <v/>
      </c>
      <c r="EG18" s="567" t="str">
        <f t="shared" si="86"/>
        <v/>
      </c>
      <c r="EH18" s="567" t="str">
        <f t="shared" si="87"/>
        <v/>
      </c>
      <c r="EI18" s="567" t="str">
        <f t="shared" si="88"/>
        <v/>
      </c>
      <c r="EJ18" s="567" t="str">
        <f t="shared" si="89"/>
        <v/>
      </c>
      <c r="EK18" s="567" t="str">
        <f t="shared" si="90"/>
        <v/>
      </c>
      <c r="EL18" s="567" t="str">
        <f t="shared" si="91"/>
        <v/>
      </c>
      <c r="EM18" s="567" t="str">
        <f t="shared" si="92"/>
        <v/>
      </c>
      <c r="EN18" s="567" t="str">
        <f t="shared" si="93"/>
        <v/>
      </c>
      <c r="EO18" s="567" t="str">
        <f t="shared" si="94"/>
        <v/>
      </c>
      <c r="EP18" s="567" t="str">
        <f t="shared" si="95"/>
        <v/>
      </c>
      <c r="EQ18" s="567" t="str">
        <f t="shared" si="96"/>
        <v/>
      </c>
      <c r="ER18" s="567" t="str">
        <f t="shared" si="97"/>
        <v/>
      </c>
      <c r="ES18" s="567" t="str">
        <f t="shared" si="98"/>
        <v/>
      </c>
      <c r="ET18" s="567" t="str">
        <f t="shared" si="99"/>
        <v/>
      </c>
      <c r="EU18" s="567" t="str">
        <f t="shared" si="100"/>
        <v/>
      </c>
      <c r="EV18" s="577" t="str">
        <f t="shared" si="101"/>
        <v/>
      </c>
      <c r="EW18" s="577" t="str">
        <f t="shared" si="102"/>
        <v/>
      </c>
      <c r="EX18" s="577">
        <f t="shared" si="103"/>
        <v>2</v>
      </c>
      <c r="EY18" s="577" t="str">
        <f t="shared" si="104"/>
        <v/>
      </c>
      <c r="EZ18" s="577" t="str">
        <f t="shared" si="105"/>
        <v/>
      </c>
      <c r="FA18" s="577" t="str">
        <f t="shared" si="106"/>
        <v/>
      </c>
      <c r="FB18" s="577" t="str">
        <f t="shared" si="107"/>
        <v/>
      </c>
      <c r="FC18" s="577" t="str">
        <f t="shared" si="108"/>
        <v/>
      </c>
      <c r="FD18" s="577" t="str">
        <f t="shared" si="109"/>
        <v/>
      </c>
      <c r="FE18" s="577" t="str">
        <f t="shared" si="110"/>
        <v/>
      </c>
      <c r="FF18" s="577" t="str">
        <f t="shared" si="111"/>
        <v/>
      </c>
      <c r="FG18" s="577" t="str">
        <f t="shared" si="112"/>
        <v/>
      </c>
      <c r="FH18" s="577" t="str">
        <f t="shared" si="113"/>
        <v/>
      </c>
      <c r="FI18" s="577" t="str">
        <f t="shared" si="114"/>
        <v/>
      </c>
      <c r="FJ18" s="577" t="str">
        <f t="shared" si="115"/>
        <v/>
      </c>
      <c r="FK18" s="577" t="str">
        <f t="shared" si="116"/>
        <v/>
      </c>
      <c r="FL18" s="577" t="str">
        <f t="shared" si="117"/>
        <v/>
      </c>
      <c r="FM18" s="577" t="str">
        <f t="shared" si="118"/>
        <v/>
      </c>
      <c r="FN18" s="577" t="str">
        <f t="shared" si="119"/>
        <v/>
      </c>
      <c r="FO18" s="577" t="str">
        <f t="shared" si="120"/>
        <v/>
      </c>
      <c r="FP18" s="577" t="str">
        <f t="shared" si="121"/>
        <v/>
      </c>
      <c r="FQ18" s="577" t="str">
        <f t="shared" si="122"/>
        <v/>
      </c>
      <c r="FR18" s="577" t="str">
        <f t="shared" si="123"/>
        <v/>
      </c>
      <c r="FS18" s="577" t="str">
        <f t="shared" si="124"/>
        <v/>
      </c>
      <c r="FT18" s="577" t="str">
        <f t="shared" si="125"/>
        <v/>
      </c>
      <c r="FU18" s="577" t="str">
        <f t="shared" si="126"/>
        <v/>
      </c>
      <c r="FV18" s="577" t="str">
        <f t="shared" si="127"/>
        <v/>
      </c>
      <c r="FW18" s="577">
        <f t="shared" si="128"/>
        <v>2</v>
      </c>
      <c r="FX18" s="577" t="str">
        <f t="shared" si="129"/>
        <v/>
      </c>
      <c r="FY18" s="577" t="str">
        <f t="shared" si="130"/>
        <v/>
      </c>
      <c r="FZ18" s="577" t="str">
        <f t="shared" si="131"/>
        <v/>
      </c>
      <c r="GA18" s="577" t="str">
        <f t="shared" si="132"/>
        <v/>
      </c>
      <c r="GB18" s="577" t="str">
        <f t="shared" si="133"/>
        <v/>
      </c>
      <c r="GC18" s="577" t="str">
        <f t="shared" si="134"/>
        <v/>
      </c>
      <c r="GD18" s="577" t="str">
        <f t="shared" si="135"/>
        <v/>
      </c>
      <c r="GE18" s="577" t="str">
        <f t="shared" si="136"/>
        <v/>
      </c>
      <c r="GF18" s="577" t="str">
        <f t="shared" si="137"/>
        <v/>
      </c>
      <c r="GG18" s="577" t="str">
        <f t="shared" si="138"/>
        <v/>
      </c>
      <c r="GH18" s="577" t="str">
        <f t="shared" si="139"/>
        <v/>
      </c>
      <c r="GI18" s="577" t="str">
        <f t="shared" si="140"/>
        <v/>
      </c>
      <c r="GJ18" s="577" t="str">
        <f t="shared" si="141"/>
        <v/>
      </c>
      <c r="GK18" s="577" t="str">
        <f t="shared" si="142"/>
        <v/>
      </c>
      <c r="GL18" s="577" t="str">
        <f t="shared" si="143"/>
        <v/>
      </c>
      <c r="GM18" s="577" t="str">
        <f t="shared" si="144"/>
        <v/>
      </c>
      <c r="GN18" s="577" t="str">
        <f t="shared" si="145"/>
        <v/>
      </c>
      <c r="GO18" s="578" t="str">
        <f t="shared" si="146"/>
        <v/>
      </c>
      <c r="GP18" s="578" t="str">
        <f t="shared" si="147"/>
        <v/>
      </c>
      <c r="GQ18" s="578" t="str">
        <f t="shared" si="148"/>
        <v/>
      </c>
      <c r="GR18" s="578" t="str">
        <f t="shared" si="149"/>
        <v/>
      </c>
      <c r="GS18" s="578" t="str">
        <f t="shared" si="150"/>
        <v/>
      </c>
      <c r="GT18" s="567" t="str">
        <f t="shared" si="151"/>
        <v/>
      </c>
      <c r="GU18" s="567" t="str">
        <f t="shared" si="152"/>
        <v/>
      </c>
      <c r="GV18" s="567" t="str">
        <f t="shared" si="153"/>
        <v/>
      </c>
      <c r="GW18" s="567" t="str">
        <f t="shared" si="154"/>
        <v/>
      </c>
      <c r="GX18" s="567" t="str">
        <f t="shared" si="155"/>
        <v/>
      </c>
      <c r="GY18" s="567" t="str">
        <f t="shared" si="156"/>
        <v/>
      </c>
      <c r="GZ18" s="567" t="str">
        <f t="shared" si="157"/>
        <v/>
      </c>
      <c r="HA18" s="567" t="str">
        <f t="shared" si="158"/>
        <v/>
      </c>
      <c r="HB18" s="567" t="str">
        <f t="shared" si="159"/>
        <v/>
      </c>
      <c r="HC18" s="567" t="str">
        <f t="shared" si="160"/>
        <v/>
      </c>
      <c r="HD18" s="567" t="str">
        <f t="shared" si="161"/>
        <v/>
      </c>
      <c r="HE18" s="567" t="str">
        <f t="shared" si="162"/>
        <v/>
      </c>
      <c r="HF18" s="567" t="str">
        <f t="shared" si="163"/>
        <v/>
      </c>
      <c r="HG18" s="567" t="str">
        <f t="shared" si="164"/>
        <v/>
      </c>
      <c r="HH18" s="567" t="str">
        <f t="shared" si="165"/>
        <v/>
      </c>
      <c r="HI18" s="567" t="str">
        <f t="shared" si="166"/>
        <v/>
      </c>
      <c r="HJ18" s="567" t="str">
        <f t="shared" si="167"/>
        <v/>
      </c>
      <c r="HK18" s="567" t="str">
        <f t="shared" si="168"/>
        <v/>
      </c>
      <c r="HL18" s="567" t="str">
        <f t="shared" si="169"/>
        <v/>
      </c>
      <c r="HM18" s="567" t="str">
        <f t="shared" si="170"/>
        <v/>
      </c>
    </row>
    <row r="19" spans="1:221" ht="13.15" customHeight="1">
      <c r="A19" s="126" t="str">
        <f t="shared" si="171"/>
        <v/>
      </c>
      <c r="B19" s="1203" t="s">
        <v>1886</v>
      </c>
      <c r="C19" s="1204"/>
      <c r="D19" s="1205"/>
      <c r="E19" s="1206"/>
      <c r="F19" s="1206"/>
      <c r="G19" s="1206"/>
      <c r="H19" s="1206"/>
      <c r="I19" s="1206"/>
      <c r="J19" s="1207"/>
      <c r="K19" s="198">
        <f t="shared" si="172"/>
        <v>0</v>
      </c>
      <c r="L19" s="198">
        <f t="shared" si="0"/>
        <v>0</v>
      </c>
      <c r="M19" s="1099"/>
      <c r="N19" s="1099"/>
      <c r="O19" s="1099"/>
      <c r="P19" s="518" t="str">
        <f t="shared" si="203"/>
        <v/>
      </c>
      <c r="Q19" s="519" t="str">
        <f>IF(H19="","",P19/($P$6*VLOOKUP(C19,'DCA Underwriting Assumptions'!$J$82:$K$87,2,FALSE)))</f>
        <v/>
      </c>
      <c r="R19" s="607"/>
      <c r="S19" s="519"/>
      <c r="T19" s="1643"/>
      <c r="U19" s="1644"/>
      <c r="V19" s="567" t="str">
        <f t="shared" si="1"/>
        <v/>
      </c>
      <c r="W19" s="567" t="str">
        <f t="shared" si="2"/>
        <v/>
      </c>
      <c r="X19" s="567" t="str">
        <f t="shared" si="3"/>
        <v/>
      </c>
      <c r="Y19" s="567" t="str">
        <f t="shared" si="4"/>
        <v/>
      </c>
      <c r="Z19" s="567" t="str">
        <f t="shared" si="5"/>
        <v/>
      </c>
      <c r="AA19" s="567" t="str">
        <f t="shared" si="6"/>
        <v/>
      </c>
      <c r="AB19" s="567" t="str">
        <f t="shared" si="7"/>
        <v/>
      </c>
      <c r="AC19" s="567" t="str">
        <f t="shared" si="8"/>
        <v/>
      </c>
      <c r="AD19" s="567" t="str">
        <f t="shared" si="9"/>
        <v/>
      </c>
      <c r="AE19" s="567" t="str">
        <f t="shared" si="10"/>
        <v/>
      </c>
      <c r="AF19" s="567" t="str">
        <f t="shared" si="11"/>
        <v/>
      </c>
      <c r="AG19" s="567" t="str">
        <f t="shared" si="12"/>
        <v/>
      </c>
      <c r="AH19" s="567" t="str">
        <f t="shared" si="13"/>
        <v/>
      </c>
      <c r="AI19" s="567" t="str">
        <f t="shared" si="14"/>
        <v/>
      </c>
      <c r="AJ19" s="567" t="str">
        <f t="shared" si="15"/>
        <v/>
      </c>
      <c r="AK19" s="567" t="str">
        <f t="shared" si="16"/>
        <v/>
      </c>
      <c r="AL19" s="567" t="str">
        <f t="shared" si="17"/>
        <v/>
      </c>
      <c r="AM19" s="567" t="str">
        <f t="shared" si="18"/>
        <v/>
      </c>
      <c r="AN19" s="567" t="str">
        <f t="shared" si="19"/>
        <v/>
      </c>
      <c r="AO19" s="567" t="str">
        <f t="shared" si="20"/>
        <v/>
      </c>
      <c r="AP19" s="567" t="str">
        <f t="shared" si="173"/>
        <v/>
      </c>
      <c r="AQ19" s="567" t="str">
        <f t="shared" si="174"/>
        <v/>
      </c>
      <c r="AR19" s="567" t="str">
        <f t="shared" si="175"/>
        <v/>
      </c>
      <c r="AS19" s="567" t="str">
        <f t="shared" si="176"/>
        <v/>
      </c>
      <c r="AT19" s="567" t="str">
        <f t="shared" si="177"/>
        <v/>
      </c>
      <c r="AU19" s="567" t="str">
        <f t="shared" si="178"/>
        <v/>
      </c>
      <c r="AV19" s="567" t="str">
        <f t="shared" si="179"/>
        <v/>
      </c>
      <c r="AW19" s="567" t="str">
        <f t="shared" si="180"/>
        <v/>
      </c>
      <c r="AX19" s="567" t="str">
        <f t="shared" si="181"/>
        <v/>
      </c>
      <c r="AY19" s="567" t="str">
        <f t="shared" si="182"/>
        <v/>
      </c>
      <c r="AZ19" s="567" t="str">
        <f t="shared" si="183"/>
        <v/>
      </c>
      <c r="BA19" s="567" t="str">
        <f t="shared" si="184"/>
        <v/>
      </c>
      <c r="BB19" s="567" t="str">
        <f t="shared" si="185"/>
        <v/>
      </c>
      <c r="BC19" s="567" t="str">
        <f t="shared" si="186"/>
        <v/>
      </c>
      <c r="BD19" s="567" t="str">
        <f t="shared" si="187"/>
        <v/>
      </c>
      <c r="BE19" s="567" t="str">
        <f t="shared" si="188"/>
        <v/>
      </c>
      <c r="BF19" s="567" t="str">
        <f t="shared" si="189"/>
        <v/>
      </c>
      <c r="BG19" s="567" t="str">
        <f t="shared" si="190"/>
        <v/>
      </c>
      <c r="BH19" s="567" t="str">
        <f t="shared" si="191"/>
        <v/>
      </c>
      <c r="BI19" s="567" t="str">
        <f t="shared" si="192"/>
        <v/>
      </c>
      <c r="BJ19" s="567" t="str">
        <f t="shared" si="193"/>
        <v/>
      </c>
      <c r="BK19" s="567" t="str">
        <f t="shared" si="194"/>
        <v/>
      </c>
      <c r="BL19" s="567" t="str">
        <f t="shared" si="195"/>
        <v/>
      </c>
      <c r="BM19" s="567" t="str">
        <f t="shared" si="196"/>
        <v/>
      </c>
      <c r="BN19" s="567" t="str">
        <f t="shared" si="197"/>
        <v/>
      </c>
      <c r="BO19" s="567" t="str">
        <f t="shared" si="198"/>
        <v/>
      </c>
      <c r="BP19" s="567" t="str">
        <f t="shared" si="199"/>
        <v/>
      </c>
      <c r="BQ19" s="567" t="str">
        <f t="shared" si="200"/>
        <v/>
      </c>
      <c r="BR19" s="567" t="str">
        <f t="shared" si="201"/>
        <v/>
      </c>
      <c r="BS19" s="567" t="str">
        <f t="shared" si="202"/>
        <v/>
      </c>
      <c r="BT19" s="567" t="str">
        <f t="shared" si="21"/>
        <v/>
      </c>
      <c r="BU19" s="567" t="str">
        <f t="shared" si="22"/>
        <v/>
      </c>
      <c r="BV19" s="567" t="str">
        <f t="shared" si="23"/>
        <v/>
      </c>
      <c r="BW19" s="567" t="str">
        <f t="shared" si="24"/>
        <v/>
      </c>
      <c r="BX19" s="567" t="str">
        <f t="shared" si="25"/>
        <v/>
      </c>
      <c r="BY19" s="567" t="str">
        <f t="shared" si="26"/>
        <v/>
      </c>
      <c r="BZ19" s="567" t="str">
        <f t="shared" si="27"/>
        <v/>
      </c>
      <c r="CA19" s="567" t="str">
        <f t="shared" si="28"/>
        <v/>
      </c>
      <c r="CB19" s="567" t="str">
        <f t="shared" si="29"/>
        <v/>
      </c>
      <c r="CC19" s="567" t="str">
        <f t="shared" si="30"/>
        <v/>
      </c>
      <c r="CD19" s="567" t="str">
        <f t="shared" si="31"/>
        <v/>
      </c>
      <c r="CE19" s="567" t="str">
        <f t="shared" si="32"/>
        <v/>
      </c>
      <c r="CF19" s="567" t="str">
        <f t="shared" si="33"/>
        <v/>
      </c>
      <c r="CG19" s="567" t="str">
        <f t="shared" si="34"/>
        <v/>
      </c>
      <c r="CH19" s="567" t="str">
        <f t="shared" si="35"/>
        <v/>
      </c>
      <c r="CI19" s="567" t="str">
        <f t="shared" si="36"/>
        <v/>
      </c>
      <c r="CJ19" s="567" t="str">
        <f t="shared" si="37"/>
        <v/>
      </c>
      <c r="CK19" s="567" t="str">
        <f t="shared" si="38"/>
        <v/>
      </c>
      <c r="CL19" s="567" t="str">
        <f t="shared" si="39"/>
        <v/>
      </c>
      <c r="CM19" s="567" t="str">
        <f t="shared" si="40"/>
        <v/>
      </c>
      <c r="CN19" s="567" t="str">
        <f t="shared" si="41"/>
        <v/>
      </c>
      <c r="CO19" s="567" t="str">
        <f t="shared" si="42"/>
        <v/>
      </c>
      <c r="CP19" s="567" t="str">
        <f t="shared" si="43"/>
        <v/>
      </c>
      <c r="CQ19" s="567" t="str">
        <f t="shared" si="44"/>
        <v/>
      </c>
      <c r="CR19" s="567" t="str">
        <f t="shared" si="45"/>
        <v/>
      </c>
      <c r="CS19" s="567" t="str">
        <f t="shared" si="46"/>
        <v/>
      </c>
      <c r="CT19" s="567" t="str">
        <f t="shared" si="47"/>
        <v/>
      </c>
      <c r="CU19" s="567" t="str">
        <f t="shared" si="48"/>
        <v/>
      </c>
      <c r="CV19" s="567" t="str">
        <f t="shared" si="49"/>
        <v/>
      </c>
      <c r="CW19" s="567" t="str">
        <f t="shared" si="50"/>
        <v/>
      </c>
      <c r="CX19" s="567" t="str">
        <f t="shared" si="51"/>
        <v/>
      </c>
      <c r="CY19" s="567" t="str">
        <f t="shared" si="52"/>
        <v/>
      </c>
      <c r="CZ19" s="567" t="str">
        <f t="shared" si="53"/>
        <v/>
      </c>
      <c r="DA19" s="567" t="str">
        <f t="shared" si="54"/>
        <v/>
      </c>
      <c r="DB19" s="567" t="str">
        <f t="shared" si="55"/>
        <v/>
      </c>
      <c r="DC19" s="567" t="str">
        <f t="shared" si="56"/>
        <v/>
      </c>
      <c r="DD19" s="567" t="str">
        <f t="shared" si="57"/>
        <v/>
      </c>
      <c r="DE19" s="567" t="str">
        <f t="shared" si="58"/>
        <v/>
      </c>
      <c r="DF19" s="567" t="str">
        <f t="shared" si="59"/>
        <v/>
      </c>
      <c r="DG19" s="567" t="str">
        <f t="shared" si="60"/>
        <v/>
      </c>
      <c r="DH19" s="567" t="str">
        <f t="shared" si="61"/>
        <v/>
      </c>
      <c r="DI19" s="567" t="str">
        <f t="shared" si="62"/>
        <v/>
      </c>
      <c r="DJ19" s="567" t="str">
        <f t="shared" si="63"/>
        <v/>
      </c>
      <c r="DK19" s="567" t="str">
        <f t="shared" si="64"/>
        <v/>
      </c>
      <c r="DL19" s="567" t="str">
        <f t="shared" si="65"/>
        <v/>
      </c>
      <c r="DM19" s="567" t="str">
        <f t="shared" si="66"/>
        <v/>
      </c>
      <c r="DN19" s="567" t="str">
        <f t="shared" si="67"/>
        <v/>
      </c>
      <c r="DO19" s="567" t="str">
        <f t="shared" si="68"/>
        <v/>
      </c>
      <c r="DP19" s="567" t="str">
        <f t="shared" si="69"/>
        <v/>
      </c>
      <c r="DQ19" s="567" t="str">
        <f t="shared" si="70"/>
        <v/>
      </c>
      <c r="DR19" s="567" t="str">
        <f t="shared" si="71"/>
        <v/>
      </c>
      <c r="DS19" s="567" t="str">
        <f t="shared" si="72"/>
        <v/>
      </c>
      <c r="DT19" s="567" t="str">
        <f t="shared" si="73"/>
        <v/>
      </c>
      <c r="DU19" s="567" t="str">
        <f t="shared" si="74"/>
        <v/>
      </c>
      <c r="DV19" s="567" t="str">
        <f t="shared" si="75"/>
        <v/>
      </c>
      <c r="DW19" s="567" t="str">
        <f t="shared" si="76"/>
        <v/>
      </c>
      <c r="DX19" s="567" t="str">
        <f t="shared" si="77"/>
        <v/>
      </c>
      <c r="DY19" s="567" t="str">
        <f t="shared" si="78"/>
        <v/>
      </c>
      <c r="DZ19" s="567" t="str">
        <f t="shared" si="79"/>
        <v/>
      </c>
      <c r="EA19" s="567" t="str">
        <f t="shared" si="80"/>
        <v/>
      </c>
      <c r="EB19" s="567" t="str">
        <f t="shared" si="81"/>
        <v/>
      </c>
      <c r="EC19" s="567" t="str">
        <f t="shared" si="82"/>
        <v/>
      </c>
      <c r="ED19" s="567" t="str">
        <f t="shared" si="83"/>
        <v/>
      </c>
      <c r="EE19" s="567" t="str">
        <f t="shared" si="84"/>
        <v/>
      </c>
      <c r="EF19" s="567" t="str">
        <f t="shared" si="85"/>
        <v/>
      </c>
      <c r="EG19" s="567" t="str">
        <f t="shared" si="86"/>
        <v/>
      </c>
      <c r="EH19" s="567" t="str">
        <f t="shared" si="87"/>
        <v/>
      </c>
      <c r="EI19" s="567" t="str">
        <f t="shared" si="88"/>
        <v/>
      </c>
      <c r="EJ19" s="567" t="str">
        <f t="shared" si="89"/>
        <v/>
      </c>
      <c r="EK19" s="567" t="str">
        <f t="shared" si="90"/>
        <v/>
      </c>
      <c r="EL19" s="567" t="str">
        <f t="shared" si="91"/>
        <v/>
      </c>
      <c r="EM19" s="567" t="str">
        <f t="shared" si="92"/>
        <v/>
      </c>
      <c r="EN19" s="567" t="str">
        <f t="shared" si="93"/>
        <v/>
      </c>
      <c r="EO19" s="567" t="str">
        <f t="shared" si="94"/>
        <v/>
      </c>
      <c r="EP19" s="567" t="str">
        <f t="shared" si="95"/>
        <v/>
      </c>
      <c r="EQ19" s="567" t="str">
        <f t="shared" si="96"/>
        <v/>
      </c>
      <c r="ER19" s="567" t="str">
        <f t="shared" si="97"/>
        <v/>
      </c>
      <c r="ES19" s="567" t="str">
        <f t="shared" si="98"/>
        <v/>
      </c>
      <c r="ET19" s="567" t="str">
        <f t="shared" si="99"/>
        <v/>
      </c>
      <c r="EU19" s="567" t="str">
        <f t="shared" si="100"/>
        <v/>
      </c>
      <c r="EV19" s="577" t="str">
        <f t="shared" si="101"/>
        <v/>
      </c>
      <c r="EW19" s="577" t="str">
        <f t="shared" si="102"/>
        <v/>
      </c>
      <c r="EX19" s="577" t="str">
        <f t="shared" si="103"/>
        <v/>
      </c>
      <c r="EY19" s="577" t="str">
        <f t="shared" si="104"/>
        <v/>
      </c>
      <c r="EZ19" s="577" t="str">
        <f t="shared" si="105"/>
        <v/>
      </c>
      <c r="FA19" s="577" t="str">
        <f t="shared" si="106"/>
        <v/>
      </c>
      <c r="FB19" s="577" t="str">
        <f t="shared" si="107"/>
        <v/>
      </c>
      <c r="FC19" s="577" t="str">
        <f t="shared" si="108"/>
        <v/>
      </c>
      <c r="FD19" s="577" t="str">
        <f t="shared" si="109"/>
        <v/>
      </c>
      <c r="FE19" s="577" t="str">
        <f t="shared" si="110"/>
        <v/>
      </c>
      <c r="FF19" s="577" t="str">
        <f t="shared" si="111"/>
        <v/>
      </c>
      <c r="FG19" s="577" t="str">
        <f t="shared" si="112"/>
        <v/>
      </c>
      <c r="FH19" s="577" t="str">
        <f t="shared" si="113"/>
        <v/>
      </c>
      <c r="FI19" s="577" t="str">
        <f t="shared" si="114"/>
        <v/>
      </c>
      <c r="FJ19" s="577" t="str">
        <f t="shared" si="115"/>
        <v/>
      </c>
      <c r="FK19" s="577" t="str">
        <f t="shared" si="116"/>
        <v/>
      </c>
      <c r="FL19" s="577" t="str">
        <f t="shared" si="117"/>
        <v/>
      </c>
      <c r="FM19" s="577" t="str">
        <f t="shared" si="118"/>
        <v/>
      </c>
      <c r="FN19" s="577" t="str">
        <f t="shared" si="119"/>
        <v/>
      </c>
      <c r="FO19" s="577" t="str">
        <f t="shared" si="120"/>
        <v/>
      </c>
      <c r="FP19" s="577" t="str">
        <f t="shared" si="121"/>
        <v/>
      </c>
      <c r="FQ19" s="577" t="str">
        <f t="shared" si="122"/>
        <v/>
      </c>
      <c r="FR19" s="577" t="str">
        <f t="shared" si="123"/>
        <v/>
      </c>
      <c r="FS19" s="577" t="str">
        <f t="shared" si="124"/>
        <v/>
      </c>
      <c r="FT19" s="577" t="str">
        <f t="shared" si="125"/>
        <v/>
      </c>
      <c r="FU19" s="577" t="str">
        <f t="shared" si="126"/>
        <v/>
      </c>
      <c r="FV19" s="577" t="str">
        <f t="shared" si="127"/>
        <v/>
      </c>
      <c r="FW19" s="577" t="str">
        <f t="shared" si="128"/>
        <v/>
      </c>
      <c r="FX19" s="577" t="str">
        <f t="shared" si="129"/>
        <v/>
      </c>
      <c r="FY19" s="577" t="str">
        <f t="shared" si="130"/>
        <v/>
      </c>
      <c r="FZ19" s="577" t="str">
        <f t="shared" si="131"/>
        <v/>
      </c>
      <c r="GA19" s="577" t="str">
        <f t="shared" si="132"/>
        <v/>
      </c>
      <c r="GB19" s="577" t="str">
        <f t="shared" si="133"/>
        <v/>
      </c>
      <c r="GC19" s="577" t="str">
        <f t="shared" si="134"/>
        <v/>
      </c>
      <c r="GD19" s="577" t="str">
        <f t="shared" si="135"/>
        <v/>
      </c>
      <c r="GE19" s="577" t="str">
        <f t="shared" si="136"/>
        <v/>
      </c>
      <c r="GF19" s="577" t="str">
        <f t="shared" si="137"/>
        <v/>
      </c>
      <c r="GG19" s="577" t="str">
        <f t="shared" si="138"/>
        <v/>
      </c>
      <c r="GH19" s="577" t="str">
        <f t="shared" si="139"/>
        <v/>
      </c>
      <c r="GI19" s="577" t="str">
        <f t="shared" si="140"/>
        <v/>
      </c>
      <c r="GJ19" s="577" t="str">
        <f t="shared" si="141"/>
        <v/>
      </c>
      <c r="GK19" s="577" t="str">
        <f t="shared" si="142"/>
        <v/>
      </c>
      <c r="GL19" s="577" t="str">
        <f t="shared" si="143"/>
        <v/>
      </c>
      <c r="GM19" s="577" t="str">
        <f t="shared" si="144"/>
        <v/>
      </c>
      <c r="GN19" s="577" t="str">
        <f t="shared" si="145"/>
        <v/>
      </c>
      <c r="GO19" s="578" t="str">
        <f t="shared" si="146"/>
        <v/>
      </c>
      <c r="GP19" s="578" t="str">
        <f t="shared" si="147"/>
        <v/>
      </c>
      <c r="GQ19" s="578" t="str">
        <f t="shared" si="148"/>
        <v/>
      </c>
      <c r="GR19" s="578" t="str">
        <f t="shared" si="149"/>
        <v/>
      </c>
      <c r="GS19" s="578" t="str">
        <f t="shared" si="150"/>
        <v/>
      </c>
      <c r="GT19" s="567" t="str">
        <f t="shared" si="151"/>
        <v/>
      </c>
      <c r="GU19" s="567" t="str">
        <f t="shared" si="152"/>
        <v/>
      </c>
      <c r="GV19" s="567" t="str">
        <f t="shared" si="153"/>
        <v/>
      </c>
      <c r="GW19" s="567" t="str">
        <f t="shared" si="154"/>
        <v/>
      </c>
      <c r="GX19" s="567" t="str">
        <f t="shared" si="155"/>
        <v/>
      </c>
      <c r="GY19" s="567" t="str">
        <f t="shared" si="156"/>
        <v/>
      </c>
      <c r="GZ19" s="567" t="str">
        <f t="shared" si="157"/>
        <v/>
      </c>
      <c r="HA19" s="567" t="str">
        <f t="shared" si="158"/>
        <v/>
      </c>
      <c r="HB19" s="567" t="str">
        <f t="shared" si="159"/>
        <v/>
      </c>
      <c r="HC19" s="567" t="str">
        <f t="shared" si="160"/>
        <v/>
      </c>
      <c r="HD19" s="567" t="str">
        <f t="shared" si="161"/>
        <v/>
      </c>
      <c r="HE19" s="567" t="str">
        <f t="shared" si="162"/>
        <v/>
      </c>
      <c r="HF19" s="567" t="str">
        <f t="shared" si="163"/>
        <v/>
      </c>
      <c r="HG19" s="567" t="str">
        <f t="shared" si="164"/>
        <v/>
      </c>
      <c r="HH19" s="567" t="str">
        <f t="shared" si="165"/>
        <v/>
      </c>
      <c r="HI19" s="567" t="str">
        <f t="shared" si="166"/>
        <v/>
      </c>
      <c r="HJ19" s="567" t="str">
        <f t="shared" si="167"/>
        <v/>
      </c>
      <c r="HK19" s="567" t="str">
        <f t="shared" si="168"/>
        <v/>
      </c>
      <c r="HL19" s="567" t="str">
        <f t="shared" si="169"/>
        <v/>
      </c>
      <c r="HM19" s="567" t="str">
        <f t="shared" si="170"/>
        <v/>
      </c>
    </row>
    <row r="20" spans="1:221" ht="13.15" customHeight="1">
      <c r="A20" s="126" t="str">
        <f t="shared" si="171"/>
        <v/>
      </c>
      <c r="B20" s="1203" t="s">
        <v>1886</v>
      </c>
      <c r="C20" s="1204"/>
      <c r="D20" s="1205"/>
      <c r="E20" s="1206"/>
      <c r="F20" s="1206"/>
      <c r="G20" s="1206"/>
      <c r="H20" s="1206"/>
      <c r="I20" s="1206"/>
      <c r="J20" s="1207"/>
      <c r="K20" s="198">
        <f t="shared" si="172"/>
        <v>0</v>
      </c>
      <c r="L20" s="198">
        <f t="shared" si="0"/>
        <v>0</v>
      </c>
      <c r="M20" s="1099"/>
      <c r="N20" s="1099"/>
      <c r="O20" s="1099"/>
      <c r="P20" s="518" t="str">
        <f t="shared" si="203"/>
        <v/>
      </c>
      <c r="Q20" s="519" t="str">
        <f>IF(H20="","",P20/($P$6*VLOOKUP(C20,'DCA Underwriting Assumptions'!$J$82:$K$87,2,FALSE)))</f>
        <v/>
      </c>
      <c r="R20" s="607"/>
      <c r="S20" s="519"/>
      <c r="T20" s="1643"/>
      <c r="U20" s="1644"/>
      <c r="V20" s="567" t="str">
        <f t="shared" si="1"/>
        <v/>
      </c>
      <c r="W20" s="567" t="str">
        <f t="shared" si="2"/>
        <v/>
      </c>
      <c r="X20" s="567" t="str">
        <f t="shared" si="3"/>
        <v/>
      </c>
      <c r="Y20" s="567" t="str">
        <f t="shared" si="4"/>
        <v/>
      </c>
      <c r="Z20" s="567" t="str">
        <f t="shared" si="5"/>
        <v/>
      </c>
      <c r="AA20" s="567" t="str">
        <f t="shared" si="6"/>
        <v/>
      </c>
      <c r="AB20" s="567" t="str">
        <f t="shared" si="7"/>
        <v/>
      </c>
      <c r="AC20" s="567" t="str">
        <f t="shared" si="8"/>
        <v/>
      </c>
      <c r="AD20" s="567" t="str">
        <f t="shared" si="9"/>
        <v/>
      </c>
      <c r="AE20" s="567" t="str">
        <f t="shared" si="10"/>
        <v/>
      </c>
      <c r="AF20" s="567" t="str">
        <f t="shared" si="11"/>
        <v/>
      </c>
      <c r="AG20" s="567" t="str">
        <f t="shared" si="12"/>
        <v/>
      </c>
      <c r="AH20" s="567" t="str">
        <f t="shared" si="13"/>
        <v/>
      </c>
      <c r="AI20" s="567" t="str">
        <f t="shared" si="14"/>
        <v/>
      </c>
      <c r="AJ20" s="567" t="str">
        <f t="shared" si="15"/>
        <v/>
      </c>
      <c r="AK20" s="567" t="str">
        <f t="shared" si="16"/>
        <v/>
      </c>
      <c r="AL20" s="567" t="str">
        <f t="shared" si="17"/>
        <v/>
      </c>
      <c r="AM20" s="567" t="str">
        <f t="shared" si="18"/>
        <v/>
      </c>
      <c r="AN20" s="567" t="str">
        <f t="shared" si="19"/>
        <v/>
      </c>
      <c r="AO20" s="567" t="str">
        <f t="shared" si="20"/>
        <v/>
      </c>
      <c r="AP20" s="567" t="str">
        <f t="shared" si="173"/>
        <v/>
      </c>
      <c r="AQ20" s="567" t="str">
        <f t="shared" si="174"/>
        <v/>
      </c>
      <c r="AR20" s="567" t="str">
        <f t="shared" si="175"/>
        <v/>
      </c>
      <c r="AS20" s="567" t="str">
        <f t="shared" si="176"/>
        <v/>
      </c>
      <c r="AT20" s="567" t="str">
        <f t="shared" si="177"/>
        <v/>
      </c>
      <c r="AU20" s="567" t="str">
        <f t="shared" si="178"/>
        <v/>
      </c>
      <c r="AV20" s="567" t="str">
        <f t="shared" si="179"/>
        <v/>
      </c>
      <c r="AW20" s="567" t="str">
        <f t="shared" si="180"/>
        <v/>
      </c>
      <c r="AX20" s="567" t="str">
        <f t="shared" si="181"/>
        <v/>
      </c>
      <c r="AY20" s="567" t="str">
        <f t="shared" si="182"/>
        <v/>
      </c>
      <c r="AZ20" s="567" t="str">
        <f t="shared" si="183"/>
        <v/>
      </c>
      <c r="BA20" s="567" t="str">
        <f t="shared" si="184"/>
        <v/>
      </c>
      <c r="BB20" s="567" t="str">
        <f t="shared" si="185"/>
        <v/>
      </c>
      <c r="BC20" s="567" t="str">
        <f t="shared" si="186"/>
        <v/>
      </c>
      <c r="BD20" s="567" t="str">
        <f t="shared" si="187"/>
        <v/>
      </c>
      <c r="BE20" s="567" t="str">
        <f t="shared" si="188"/>
        <v/>
      </c>
      <c r="BF20" s="567" t="str">
        <f t="shared" si="189"/>
        <v/>
      </c>
      <c r="BG20" s="567" t="str">
        <f t="shared" si="190"/>
        <v/>
      </c>
      <c r="BH20" s="567" t="str">
        <f t="shared" si="191"/>
        <v/>
      </c>
      <c r="BI20" s="567" t="str">
        <f t="shared" si="192"/>
        <v/>
      </c>
      <c r="BJ20" s="567" t="str">
        <f t="shared" si="193"/>
        <v/>
      </c>
      <c r="BK20" s="567" t="str">
        <f t="shared" si="194"/>
        <v/>
      </c>
      <c r="BL20" s="567" t="str">
        <f t="shared" si="195"/>
        <v/>
      </c>
      <c r="BM20" s="567" t="str">
        <f t="shared" si="196"/>
        <v/>
      </c>
      <c r="BN20" s="567" t="str">
        <f t="shared" si="197"/>
        <v/>
      </c>
      <c r="BO20" s="567" t="str">
        <f t="shared" si="198"/>
        <v/>
      </c>
      <c r="BP20" s="567" t="str">
        <f t="shared" si="199"/>
        <v/>
      </c>
      <c r="BQ20" s="567" t="str">
        <f t="shared" si="200"/>
        <v/>
      </c>
      <c r="BR20" s="567" t="str">
        <f t="shared" si="201"/>
        <v/>
      </c>
      <c r="BS20" s="567" t="str">
        <f t="shared" si="202"/>
        <v/>
      </c>
      <c r="BT20" s="567" t="str">
        <f t="shared" si="21"/>
        <v/>
      </c>
      <c r="BU20" s="567" t="str">
        <f t="shared" si="22"/>
        <v/>
      </c>
      <c r="BV20" s="567" t="str">
        <f t="shared" si="23"/>
        <v/>
      </c>
      <c r="BW20" s="567" t="str">
        <f t="shared" si="24"/>
        <v/>
      </c>
      <c r="BX20" s="567" t="str">
        <f t="shared" si="25"/>
        <v/>
      </c>
      <c r="BY20" s="567" t="str">
        <f t="shared" si="26"/>
        <v/>
      </c>
      <c r="BZ20" s="567" t="str">
        <f t="shared" si="27"/>
        <v/>
      </c>
      <c r="CA20" s="567" t="str">
        <f t="shared" si="28"/>
        <v/>
      </c>
      <c r="CB20" s="567" t="str">
        <f t="shared" si="29"/>
        <v/>
      </c>
      <c r="CC20" s="567" t="str">
        <f t="shared" si="30"/>
        <v/>
      </c>
      <c r="CD20" s="567" t="str">
        <f t="shared" si="31"/>
        <v/>
      </c>
      <c r="CE20" s="567" t="str">
        <f t="shared" si="32"/>
        <v/>
      </c>
      <c r="CF20" s="567" t="str">
        <f t="shared" si="33"/>
        <v/>
      </c>
      <c r="CG20" s="567" t="str">
        <f t="shared" si="34"/>
        <v/>
      </c>
      <c r="CH20" s="567" t="str">
        <f t="shared" si="35"/>
        <v/>
      </c>
      <c r="CI20" s="567" t="str">
        <f t="shared" si="36"/>
        <v/>
      </c>
      <c r="CJ20" s="567" t="str">
        <f t="shared" si="37"/>
        <v/>
      </c>
      <c r="CK20" s="567" t="str">
        <f t="shared" si="38"/>
        <v/>
      </c>
      <c r="CL20" s="567" t="str">
        <f t="shared" si="39"/>
        <v/>
      </c>
      <c r="CM20" s="567" t="str">
        <f t="shared" si="40"/>
        <v/>
      </c>
      <c r="CN20" s="567" t="str">
        <f t="shared" si="41"/>
        <v/>
      </c>
      <c r="CO20" s="567" t="str">
        <f t="shared" si="42"/>
        <v/>
      </c>
      <c r="CP20" s="567" t="str">
        <f t="shared" si="43"/>
        <v/>
      </c>
      <c r="CQ20" s="567" t="str">
        <f t="shared" si="44"/>
        <v/>
      </c>
      <c r="CR20" s="567" t="str">
        <f t="shared" si="45"/>
        <v/>
      </c>
      <c r="CS20" s="567" t="str">
        <f t="shared" si="46"/>
        <v/>
      </c>
      <c r="CT20" s="567" t="str">
        <f t="shared" si="47"/>
        <v/>
      </c>
      <c r="CU20" s="567" t="str">
        <f t="shared" si="48"/>
        <v/>
      </c>
      <c r="CV20" s="567" t="str">
        <f t="shared" si="49"/>
        <v/>
      </c>
      <c r="CW20" s="567" t="str">
        <f t="shared" si="50"/>
        <v/>
      </c>
      <c r="CX20" s="567" t="str">
        <f t="shared" si="51"/>
        <v/>
      </c>
      <c r="CY20" s="567" t="str">
        <f t="shared" si="52"/>
        <v/>
      </c>
      <c r="CZ20" s="567" t="str">
        <f t="shared" si="53"/>
        <v/>
      </c>
      <c r="DA20" s="567" t="str">
        <f t="shared" si="54"/>
        <v/>
      </c>
      <c r="DB20" s="567" t="str">
        <f t="shared" si="55"/>
        <v/>
      </c>
      <c r="DC20" s="567" t="str">
        <f t="shared" si="56"/>
        <v/>
      </c>
      <c r="DD20" s="567" t="str">
        <f t="shared" si="57"/>
        <v/>
      </c>
      <c r="DE20" s="567" t="str">
        <f t="shared" si="58"/>
        <v/>
      </c>
      <c r="DF20" s="567" t="str">
        <f t="shared" si="59"/>
        <v/>
      </c>
      <c r="DG20" s="567" t="str">
        <f t="shared" si="60"/>
        <v/>
      </c>
      <c r="DH20" s="567" t="str">
        <f t="shared" si="61"/>
        <v/>
      </c>
      <c r="DI20" s="567" t="str">
        <f t="shared" si="62"/>
        <v/>
      </c>
      <c r="DJ20" s="567" t="str">
        <f t="shared" si="63"/>
        <v/>
      </c>
      <c r="DK20" s="567" t="str">
        <f t="shared" si="64"/>
        <v/>
      </c>
      <c r="DL20" s="567" t="str">
        <f t="shared" si="65"/>
        <v/>
      </c>
      <c r="DM20" s="567" t="str">
        <f t="shared" si="66"/>
        <v/>
      </c>
      <c r="DN20" s="567" t="str">
        <f t="shared" si="67"/>
        <v/>
      </c>
      <c r="DO20" s="567" t="str">
        <f t="shared" si="68"/>
        <v/>
      </c>
      <c r="DP20" s="567" t="str">
        <f t="shared" si="69"/>
        <v/>
      </c>
      <c r="DQ20" s="567" t="str">
        <f t="shared" si="70"/>
        <v/>
      </c>
      <c r="DR20" s="567" t="str">
        <f t="shared" si="71"/>
        <v/>
      </c>
      <c r="DS20" s="567" t="str">
        <f t="shared" si="72"/>
        <v/>
      </c>
      <c r="DT20" s="567" t="str">
        <f t="shared" si="73"/>
        <v/>
      </c>
      <c r="DU20" s="567" t="str">
        <f t="shared" si="74"/>
        <v/>
      </c>
      <c r="DV20" s="567" t="str">
        <f t="shared" si="75"/>
        <v/>
      </c>
      <c r="DW20" s="567" t="str">
        <f t="shared" si="76"/>
        <v/>
      </c>
      <c r="DX20" s="567" t="str">
        <f t="shared" si="77"/>
        <v/>
      </c>
      <c r="DY20" s="567" t="str">
        <f t="shared" si="78"/>
        <v/>
      </c>
      <c r="DZ20" s="567" t="str">
        <f t="shared" si="79"/>
        <v/>
      </c>
      <c r="EA20" s="567" t="str">
        <f t="shared" si="80"/>
        <v/>
      </c>
      <c r="EB20" s="567" t="str">
        <f t="shared" si="81"/>
        <v/>
      </c>
      <c r="EC20" s="567" t="str">
        <f t="shared" si="82"/>
        <v/>
      </c>
      <c r="ED20" s="567" t="str">
        <f t="shared" si="83"/>
        <v/>
      </c>
      <c r="EE20" s="567" t="str">
        <f t="shared" si="84"/>
        <v/>
      </c>
      <c r="EF20" s="567" t="str">
        <f t="shared" si="85"/>
        <v/>
      </c>
      <c r="EG20" s="567" t="str">
        <f t="shared" si="86"/>
        <v/>
      </c>
      <c r="EH20" s="567" t="str">
        <f t="shared" si="87"/>
        <v/>
      </c>
      <c r="EI20" s="567" t="str">
        <f t="shared" si="88"/>
        <v/>
      </c>
      <c r="EJ20" s="567" t="str">
        <f t="shared" si="89"/>
        <v/>
      </c>
      <c r="EK20" s="567" t="str">
        <f t="shared" si="90"/>
        <v/>
      </c>
      <c r="EL20" s="567" t="str">
        <f t="shared" si="91"/>
        <v/>
      </c>
      <c r="EM20" s="567" t="str">
        <f t="shared" si="92"/>
        <v/>
      </c>
      <c r="EN20" s="567" t="str">
        <f t="shared" si="93"/>
        <v/>
      </c>
      <c r="EO20" s="567" t="str">
        <f t="shared" si="94"/>
        <v/>
      </c>
      <c r="EP20" s="567" t="str">
        <f t="shared" si="95"/>
        <v/>
      </c>
      <c r="EQ20" s="567" t="str">
        <f t="shared" si="96"/>
        <v/>
      </c>
      <c r="ER20" s="567" t="str">
        <f t="shared" si="97"/>
        <v/>
      </c>
      <c r="ES20" s="567" t="str">
        <f t="shared" si="98"/>
        <v/>
      </c>
      <c r="ET20" s="567" t="str">
        <f t="shared" si="99"/>
        <v/>
      </c>
      <c r="EU20" s="567" t="str">
        <f t="shared" si="100"/>
        <v/>
      </c>
      <c r="EV20" s="577" t="str">
        <f t="shared" si="101"/>
        <v/>
      </c>
      <c r="EW20" s="577" t="str">
        <f t="shared" si="102"/>
        <v/>
      </c>
      <c r="EX20" s="577" t="str">
        <f t="shared" si="103"/>
        <v/>
      </c>
      <c r="EY20" s="577" t="str">
        <f t="shared" si="104"/>
        <v/>
      </c>
      <c r="EZ20" s="577" t="str">
        <f t="shared" si="105"/>
        <v/>
      </c>
      <c r="FA20" s="577" t="str">
        <f t="shared" si="106"/>
        <v/>
      </c>
      <c r="FB20" s="577" t="str">
        <f t="shared" si="107"/>
        <v/>
      </c>
      <c r="FC20" s="577" t="str">
        <f t="shared" si="108"/>
        <v/>
      </c>
      <c r="FD20" s="577" t="str">
        <f t="shared" si="109"/>
        <v/>
      </c>
      <c r="FE20" s="577" t="str">
        <f t="shared" si="110"/>
        <v/>
      </c>
      <c r="FF20" s="577" t="str">
        <f t="shared" si="111"/>
        <v/>
      </c>
      <c r="FG20" s="577" t="str">
        <f t="shared" si="112"/>
        <v/>
      </c>
      <c r="FH20" s="577" t="str">
        <f t="shared" si="113"/>
        <v/>
      </c>
      <c r="FI20" s="577" t="str">
        <f t="shared" si="114"/>
        <v/>
      </c>
      <c r="FJ20" s="577" t="str">
        <f t="shared" si="115"/>
        <v/>
      </c>
      <c r="FK20" s="577" t="str">
        <f t="shared" si="116"/>
        <v/>
      </c>
      <c r="FL20" s="577" t="str">
        <f t="shared" si="117"/>
        <v/>
      </c>
      <c r="FM20" s="577" t="str">
        <f t="shared" si="118"/>
        <v/>
      </c>
      <c r="FN20" s="577" t="str">
        <f t="shared" si="119"/>
        <v/>
      </c>
      <c r="FO20" s="577" t="str">
        <f t="shared" si="120"/>
        <v/>
      </c>
      <c r="FP20" s="577" t="str">
        <f t="shared" si="121"/>
        <v/>
      </c>
      <c r="FQ20" s="577" t="str">
        <f t="shared" si="122"/>
        <v/>
      </c>
      <c r="FR20" s="577" t="str">
        <f t="shared" si="123"/>
        <v/>
      </c>
      <c r="FS20" s="577" t="str">
        <f t="shared" si="124"/>
        <v/>
      </c>
      <c r="FT20" s="577" t="str">
        <f t="shared" si="125"/>
        <v/>
      </c>
      <c r="FU20" s="577" t="str">
        <f t="shared" si="126"/>
        <v/>
      </c>
      <c r="FV20" s="577" t="str">
        <f t="shared" si="127"/>
        <v/>
      </c>
      <c r="FW20" s="577" t="str">
        <f t="shared" si="128"/>
        <v/>
      </c>
      <c r="FX20" s="577" t="str">
        <f t="shared" si="129"/>
        <v/>
      </c>
      <c r="FY20" s="577" t="str">
        <f t="shared" si="130"/>
        <v/>
      </c>
      <c r="FZ20" s="577" t="str">
        <f t="shared" si="131"/>
        <v/>
      </c>
      <c r="GA20" s="577" t="str">
        <f t="shared" si="132"/>
        <v/>
      </c>
      <c r="GB20" s="577" t="str">
        <f t="shared" si="133"/>
        <v/>
      </c>
      <c r="GC20" s="577" t="str">
        <f t="shared" si="134"/>
        <v/>
      </c>
      <c r="GD20" s="577" t="str">
        <f t="shared" si="135"/>
        <v/>
      </c>
      <c r="GE20" s="577" t="str">
        <f t="shared" si="136"/>
        <v/>
      </c>
      <c r="GF20" s="577" t="str">
        <f t="shared" si="137"/>
        <v/>
      </c>
      <c r="GG20" s="577" t="str">
        <f t="shared" si="138"/>
        <v/>
      </c>
      <c r="GH20" s="577" t="str">
        <f t="shared" si="139"/>
        <v/>
      </c>
      <c r="GI20" s="577" t="str">
        <f t="shared" si="140"/>
        <v/>
      </c>
      <c r="GJ20" s="577" t="str">
        <f t="shared" si="141"/>
        <v/>
      </c>
      <c r="GK20" s="577" t="str">
        <f t="shared" si="142"/>
        <v/>
      </c>
      <c r="GL20" s="577" t="str">
        <f t="shared" si="143"/>
        <v/>
      </c>
      <c r="GM20" s="577" t="str">
        <f t="shared" si="144"/>
        <v/>
      </c>
      <c r="GN20" s="577" t="str">
        <f t="shared" si="145"/>
        <v/>
      </c>
      <c r="GO20" s="578" t="str">
        <f t="shared" si="146"/>
        <v/>
      </c>
      <c r="GP20" s="578" t="str">
        <f t="shared" si="147"/>
        <v/>
      </c>
      <c r="GQ20" s="578" t="str">
        <f t="shared" si="148"/>
        <v/>
      </c>
      <c r="GR20" s="578" t="str">
        <f t="shared" si="149"/>
        <v/>
      </c>
      <c r="GS20" s="578" t="str">
        <f t="shared" si="150"/>
        <v/>
      </c>
      <c r="GT20" s="567" t="str">
        <f t="shared" si="151"/>
        <v/>
      </c>
      <c r="GU20" s="567" t="str">
        <f t="shared" si="152"/>
        <v/>
      </c>
      <c r="GV20" s="567" t="str">
        <f t="shared" si="153"/>
        <v/>
      </c>
      <c r="GW20" s="567" t="str">
        <f t="shared" si="154"/>
        <v/>
      </c>
      <c r="GX20" s="567" t="str">
        <f t="shared" si="155"/>
        <v/>
      </c>
      <c r="GY20" s="567" t="str">
        <f t="shared" si="156"/>
        <v/>
      </c>
      <c r="GZ20" s="567" t="str">
        <f t="shared" si="157"/>
        <v/>
      </c>
      <c r="HA20" s="567" t="str">
        <f t="shared" si="158"/>
        <v/>
      </c>
      <c r="HB20" s="567" t="str">
        <f t="shared" si="159"/>
        <v/>
      </c>
      <c r="HC20" s="567" t="str">
        <f t="shared" si="160"/>
        <v/>
      </c>
      <c r="HD20" s="567" t="str">
        <f t="shared" si="161"/>
        <v/>
      </c>
      <c r="HE20" s="567" t="str">
        <f t="shared" si="162"/>
        <v/>
      </c>
      <c r="HF20" s="567" t="str">
        <f t="shared" si="163"/>
        <v/>
      </c>
      <c r="HG20" s="567" t="str">
        <f t="shared" si="164"/>
        <v/>
      </c>
      <c r="HH20" s="567" t="str">
        <f t="shared" si="165"/>
        <v/>
      </c>
      <c r="HI20" s="567" t="str">
        <f t="shared" si="166"/>
        <v/>
      </c>
      <c r="HJ20" s="567" t="str">
        <f t="shared" si="167"/>
        <v/>
      </c>
      <c r="HK20" s="567" t="str">
        <f t="shared" si="168"/>
        <v/>
      </c>
      <c r="HL20" s="567" t="str">
        <f t="shared" si="169"/>
        <v/>
      </c>
      <c r="HM20" s="567" t="str">
        <f t="shared" si="170"/>
        <v/>
      </c>
    </row>
    <row r="21" spans="1:221" ht="13.15" customHeight="1">
      <c r="A21" s="126" t="str">
        <f t="shared" si="171"/>
        <v/>
      </c>
      <c r="B21" s="1203" t="s">
        <v>1886</v>
      </c>
      <c r="C21" s="1204"/>
      <c r="D21" s="1205"/>
      <c r="E21" s="1206"/>
      <c r="F21" s="1206"/>
      <c r="G21" s="1206"/>
      <c r="H21" s="1206"/>
      <c r="I21" s="1206"/>
      <c r="J21" s="1207"/>
      <c r="K21" s="198">
        <f t="shared" si="172"/>
        <v>0</v>
      </c>
      <c r="L21" s="198">
        <f t="shared" si="0"/>
        <v>0</v>
      </c>
      <c r="M21" s="1099"/>
      <c r="N21" s="1099"/>
      <c r="O21" s="1099"/>
      <c r="P21" s="518" t="str">
        <f t="shared" si="203"/>
        <v/>
      </c>
      <c r="Q21" s="519" t="str">
        <f>IF(H21="","",P21/($P$6*VLOOKUP(C21,'DCA Underwriting Assumptions'!$J$82:$K$87,2,FALSE)))</f>
        <v/>
      </c>
      <c r="R21" s="607"/>
      <c r="S21" s="519"/>
      <c r="T21" s="1643"/>
      <c r="U21" s="1644"/>
      <c r="V21" s="567" t="str">
        <f t="shared" si="1"/>
        <v/>
      </c>
      <c r="W21" s="567" t="str">
        <f t="shared" si="2"/>
        <v/>
      </c>
      <c r="X21" s="567" t="str">
        <f t="shared" si="3"/>
        <v/>
      </c>
      <c r="Y21" s="567" t="str">
        <f t="shared" si="4"/>
        <v/>
      </c>
      <c r="Z21" s="567" t="str">
        <f t="shared" si="5"/>
        <v/>
      </c>
      <c r="AA21" s="567" t="str">
        <f t="shared" si="6"/>
        <v/>
      </c>
      <c r="AB21" s="567" t="str">
        <f t="shared" si="7"/>
        <v/>
      </c>
      <c r="AC21" s="567" t="str">
        <f t="shared" si="8"/>
        <v/>
      </c>
      <c r="AD21" s="567" t="str">
        <f t="shared" si="9"/>
        <v/>
      </c>
      <c r="AE21" s="567" t="str">
        <f t="shared" si="10"/>
        <v/>
      </c>
      <c r="AF21" s="567" t="str">
        <f t="shared" si="11"/>
        <v/>
      </c>
      <c r="AG21" s="567" t="str">
        <f t="shared" si="12"/>
        <v/>
      </c>
      <c r="AH21" s="567" t="str">
        <f t="shared" si="13"/>
        <v/>
      </c>
      <c r="AI21" s="567" t="str">
        <f t="shared" si="14"/>
        <v/>
      </c>
      <c r="AJ21" s="567" t="str">
        <f t="shared" si="15"/>
        <v/>
      </c>
      <c r="AK21" s="567" t="str">
        <f t="shared" si="16"/>
        <v/>
      </c>
      <c r="AL21" s="567" t="str">
        <f t="shared" si="17"/>
        <v/>
      </c>
      <c r="AM21" s="567" t="str">
        <f t="shared" si="18"/>
        <v/>
      </c>
      <c r="AN21" s="567" t="str">
        <f t="shared" si="19"/>
        <v/>
      </c>
      <c r="AO21" s="567" t="str">
        <f t="shared" si="20"/>
        <v/>
      </c>
      <c r="AP21" s="567" t="str">
        <f t="shared" si="173"/>
        <v/>
      </c>
      <c r="AQ21" s="567" t="str">
        <f t="shared" si="174"/>
        <v/>
      </c>
      <c r="AR21" s="567" t="str">
        <f t="shared" si="175"/>
        <v/>
      </c>
      <c r="AS21" s="567" t="str">
        <f t="shared" si="176"/>
        <v/>
      </c>
      <c r="AT21" s="567" t="str">
        <f t="shared" si="177"/>
        <v/>
      </c>
      <c r="AU21" s="567" t="str">
        <f t="shared" si="178"/>
        <v/>
      </c>
      <c r="AV21" s="567" t="str">
        <f t="shared" si="179"/>
        <v/>
      </c>
      <c r="AW21" s="567" t="str">
        <f t="shared" si="180"/>
        <v/>
      </c>
      <c r="AX21" s="567" t="str">
        <f t="shared" si="181"/>
        <v/>
      </c>
      <c r="AY21" s="567" t="str">
        <f t="shared" si="182"/>
        <v/>
      </c>
      <c r="AZ21" s="567" t="str">
        <f t="shared" si="183"/>
        <v/>
      </c>
      <c r="BA21" s="567" t="str">
        <f t="shared" si="184"/>
        <v/>
      </c>
      <c r="BB21" s="567" t="str">
        <f t="shared" si="185"/>
        <v/>
      </c>
      <c r="BC21" s="567" t="str">
        <f t="shared" si="186"/>
        <v/>
      </c>
      <c r="BD21" s="567" t="str">
        <f t="shared" si="187"/>
        <v/>
      </c>
      <c r="BE21" s="567" t="str">
        <f t="shared" si="188"/>
        <v/>
      </c>
      <c r="BF21" s="567" t="str">
        <f t="shared" si="189"/>
        <v/>
      </c>
      <c r="BG21" s="567" t="str">
        <f t="shared" si="190"/>
        <v/>
      </c>
      <c r="BH21" s="567" t="str">
        <f t="shared" si="191"/>
        <v/>
      </c>
      <c r="BI21" s="567" t="str">
        <f t="shared" si="192"/>
        <v/>
      </c>
      <c r="BJ21" s="567" t="str">
        <f t="shared" si="193"/>
        <v/>
      </c>
      <c r="BK21" s="567" t="str">
        <f t="shared" si="194"/>
        <v/>
      </c>
      <c r="BL21" s="567" t="str">
        <f t="shared" si="195"/>
        <v/>
      </c>
      <c r="BM21" s="567" t="str">
        <f t="shared" si="196"/>
        <v/>
      </c>
      <c r="BN21" s="567" t="str">
        <f t="shared" si="197"/>
        <v/>
      </c>
      <c r="BO21" s="567" t="str">
        <f t="shared" si="198"/>
        <v/>
      </c>
      <c r="BP21" s="567" t="str">
        <f t="shared" si="199"/>
        <v/>
      </c>
      <c r="BQ21" s="567" t="str">
        <f t="shared" si="200"/>
        <v/>
      </c>
      <c r="BR21" s="567" t="str">
        <f t="shared" si="201"/>
        <v/>
      </c>
      <c r="BS21" s="567" t="str">
        <f t="shared" si="202"/>
        <v/>
      </c>
      <c r="BT21" s="567" t="str">
        <f t="shared" si="21"/>
        <v/>
      </c>
      <c r="BU21" s="567" t="str">
        <f t="shared" si="22"/>
        <v/>
      </c>
      <c r="BV21" s="567" t="str">
        <f t="shared" si="23"/>
        <v/>
      </c>
      <c r="BW21" s="567" t="str">
        <f t="shared" si="24"/>
        <v/>
      </c>
      <c r="BX21" s="567" t="str">
        <f t="shared" si="25"/>
        <v/>
      </c>
      <c r="BY21" s="567" t="str">
        <f t="shared" si="26"/>
        <v/>
      </c>
      <c r="BZ21" s="567" t="str">
        <f t="shared" si="27"/>
        <v/>
      </c>
      <c r="CA21" s="567" t="str">
        <f t="shared" si="28"/>
        <v/>
      </c>
      <c r="CB21" s="567" t="str">
        <f t="shared" si="29"/>
        <v/>
      </c>
      <c r="CC21" s="567" t="str">
        <f t="shared" si="30"/>
        <v/>
      </c>
      <c r="CD21" s="567" t="str">
        <f t="shared" si="31"/>
        <v/>
      </c>
      <c r="CE21" s="567" t="str">
        <f t="shared" si="32"/>
        <v/>
      </c>
      <c r="CF21" s="567" t="str">
        <f t="shared" si="33"/>
        <v/>
      </c>
      <c r="CG21" s="567" t="str">
        <f t="shared" si="34"/>
        <v/>
      </c>
      <c r="CH21" s="567" t="str">
        <f t="shared" si="35"/>
        <v/>
      </c>
      <c r="CI21" s="567" t="str">
        <f t="shared" si="36"/>
        <v/>
      </c>
      <c r="CJ21" s="567" t="str">
        <f t="shared" si="37"/>
        <v/>
      </c>
      <c r="CK21" s="567" t="str">
        <f t="shared" si="38"/>
        <v/>
      </c>
      <c r="CL21" s="567" t="str">
        <f t="shared" si="39"/>
        <v/>
      </c>
      <c r="CM21" s="567" t="str">
        <f t="shared" si="40"/>
        <v/>
      </c>
      <c r="CN21" s="567" t="str">
        <f t="shared" si="41"/>
        <v/>
      </c>
      <c r="CO21" s="567" t="str">
        <f t="shared" si="42"/>
        <v/>
      </c>
      <c r="CP21" s="567" t="str">
        <f t="shared" si="43"/>
        <v/>
      </c>
      <c r="CQ21" s="567" t="str">
        <f t="shared" si="44"/>
        <v/>
      </c>
      <c r="CR21" s="567" t="str">
        <f t="shared" si="45"/>
        <v/>
      </c>
      <c r="CS21" s="567" t="str">
        <f t="shared" si="46"/>
        <v/>
      </c>
      <c r="CT21" s="567" t="str">
        <f t="shared" si="47"/>
        <v/>
      </c>
      <c r="CU21" s="567" t="str">
        <f t="shared" si="48"/>
        <v/>
      </c>
      <c r="CV21" s="567" t="str">
        <f t="shared" si="49"/>
        <v/>
      </c>
      <c r="CW21" s="567" t="str">
        <f t="shared" si="50"/>
        <v/>
      </c>
      <c r="CX21" s="567" t="str">
        <f t="shared" si="51"/>
        <v/>
      </c>
      <c r="CY21" s="567" t="str">
        <f t="shared" si="52"/>
        <v/>
      </c>
      <c r="CZ21" s="567" t="str">
        <f t="shared" si="53"/>
        <v/>
      </c>
      <c r="DA21" s="567" t="str">
        <f t="shared" si="54"/>
        <v/>
      </c>
      <c r="DB21" s="567" t="str">
        <f t="shared" si="55"/>
        <v/>
      </c>
      <c r="DC21" s="567" t="str">
        <f t="shared" si="56"/>
        <v/>
      </c>
      <c r="DD21" s="567" t="str">
        <f t="shared" si="57"/>
        <v/>
      </c>
      <c r="DE21" s="567" t="str">
        <f t="shared" si="58"/>
        <v/>
      </c>
      <c r="DF21" s="567" t="str">
        <f t="shared" si="59"/>
        <v/>
      </c>
      <c r="DG21" s="567" t="str">
        <f t="shared" si="60"/>
        <v/>
      </c>
      <c r="DH21" s="567" t="str">
        <f t="shared" si="61"/>
        <v/>
      </c>
      <c r="DI21" s="567" t="str">
        <f t="shared" si="62"/>
        <v/>
      </c>
      <c r="DJ21" s="567" t="str">
        <f t="shared" si="63"/>
        <v/>
      </c>
      <c r="DK21" s="567" t="str">
        <f t="shared" si="64"/>
        <v/>
      </c>
      <c r="DL21" s="567" t="str">
        <f t="shared" si="65"/>
        <v/>
      </c>
      <c r="DM21" s="567" t="str">
        <f t="shared" si="66"/>
        <v/>
      </c>
      <c r="DN21" s="567" t="str">
        <f t="shared" si="67"/>
        <v/>
      </c>
      <c r="DO21" s="567" t="str">
        <f t="shared" si="68"/>
        <v/>
      </c>
      <c r="DP21" s="567" t="str">
        <f t="shared" si="69"/>
        <v/>
      </c>
      <c r="DQ21" s="567" t="str">
        <f t="shared" si="70"/>
        <v/>
      </c>
      <c r="DR21" s="567" t="str">
        <f t="shared" si="71"/>
        <v/>
      </c>
      <c r="DS21" s="567" t="str">
        <f t="shared" si="72"/>
        <v/>
      </c>
      <c r="DT21" s="567" t="str">
        <f t="shared" si="73"/>
        <v/>
      </c>
      <c r="DU21" s="567" t="str">
        <f t="shared" si="74"/>
        <v/>
      </c>
      <c r="DV21" s="567" t="str">
        <f t="shared" si="75"/>
        <v/>
      </c>
      <c r="DW21" s="567" t="str">
        <f t="shared" si="76"/>
        <v/>
      </c>
      <c r="DX21" s="567" t="str">
        <f t="shared" si="77"/>
        <v/>
      </c>
      <c r="DY21" s="567" t="str">
        <f t="shared" si="78"/>
        <v/>
      </c>
      <c r="DZ21" s="567" t="str">
        <f t="shared" si="79"/>
        <v/>
      </c>
      <c r="EA21" s="567" t="str">
        <f t="shared" si="80"/>
        <v/>
      </c>
      <c r="EB21" s="567" t="str">
        <f t="shared" si="81"/>
        <v/>
      </c>
      <c r="EC21" s="567" t="str">
        <f t="shared" si="82"/>
        <v/>
      </c>
      <c r="ED21" s="567" t="str">
        <f t="shared" si="83"/>
        <v/>
      </c>
      <c r="EE21" s="567" t="str">
        <f t="shared" si="84"/>
        <v/>
      </c>
      <c r="EF21" s="567" t="str">
        <f t="shared" si="85"/>
        <v/>
      </c>
      <c r="EG21" s="567" t="str">
        <f t="shared" si="86"/>
        <v/>
      </c>
      <c r="EH21" s="567" t="str">
        <f t="shared" si="87"/>
        <v/>
      </c>
      <c r="EI21" s="567" t="str">
        <f t="shared" si="88"/>
        <v/>
      </c>
      <c r="EJ21" s="567" t="str">
        <f t="shared" si="89"/>
        <v/>
      </c>
      <c r="EK21" s="567" t="str">
        <f t="shared" si="90"/>
        <v/>
      </c>
      <c r="EL21" s="567" t="str">
        <f t="shared" si="91"/>
        <v/>
      </c>
      <c r="EM21" s="567" t="str">
        <f t="shared" si="92"/>
        <v/>
      </c>
      <c r="EN21" s="567" t="str">
        <f t="shared" si="93"/>
        <v/>
      </c>
      <c r="EO21" s="567" t="str">
        <f t="shared" si="94"/>
        <v/>
      </c>
      <c r="EP21" s="567" t="str">
        <f t="shared" si="95"/>
        <v/>
      </c>
      <c r="EQ21" s="567" t="str">
        <f t="shared" si="96"/>
        <v/>
      </c>
      <c r="ER21" s="567" t="str">
        <f t="shared" si="97"/>
        <v/>
      </c>
      <c r="ES21" s="567" t="str">
        <f t="shared" si="98"/>
        <v/>
      </c>
      <c r="ET21" s="567" t="str">
        <f t="shared" si="99"/>
        <v/>
      </c>
      <c r="EU21" s="567" t="str">
        <f t="shared" si="100"/>
        <v/>
      </c>
      <c r="EV21" s="577" t="str">
        <f t="shared" si="101"/>
        <v/>
      </c>
      <c r="EW21" s="577" t="str">
        <f t="shared" si="102"/>
        <v/>
      </c>
      <c r="EX21" s="577" t="str">
        <f t="shared" si="103"/>
        <v/>
      </c>
      <c r="EY21" s="577" t="str">
        <f t="shared" si="104"/>
        <v/>
      </c>
      <c r="EZ21" s="577" t="str">
        <f t="shared" si="105"/>
        <v/>
      </c>
      <c r="FA21" s="577" t="str">
        <f t="shared" si="106"/>
        <v/>
      </c>
      <c r="FB21" s="577" t="str">
        <f t="shared" si="107"/>
        <v/>
      </c>
      <c r="FC21" s="577" t="str">
        <f t="shared" si="108"/>
        <v/>
      </c>
      <c r="FD21" s="577" t="str">
        <f t="shared" si="109"/>
        <v/>
      </c>
      <c r="FE21" s="577" t="str">
        <f t="shared" si="110"/>
        <v/>
      </c>
      <c r="FF21" s="577" t="str">
        <f t="shared" si="111"/>
        <v/>
      </c>
      <c r="FG21" s="577" t="str">
        <f t="shared" si="112"/>
        <v/>
      </c>
      <c r="FH21" s="577" t="str">
        <f t="shared" si="113"/>
        <v/>
      </c>
      <c r="FI21" s="577" t="str">
        <f t="shared" si="114"/>
        <v/>
      </c>
      <c r="FJ21" s="577" t="str">
        <f t="shared" si="115"/>
        <v/>
      </c>
      <c r="FK21" s="577" t="str">
        <f t="shared" si="116"/>
        <v/>
      </c>
      <c r="FL21" s="577" t="str">
        <f t="shared" si="117"/>
        <v/>
      </c>
      <c r="FM21" s="577" t="str">
        <f t="shared" si="118"/>
        <v/>
      </c>
      <c r="FN21" s="577" t="str">
        <f t="shared" si="119"/>
        <v/>
      </c>
      <c r="FO21" s="577" t="str">
        <f t="shared" si="120"/>
        <v/>
      </c>
      <c r="FP21" s="577" t="str">
        <f t="shared" si="121"/>
        <v/>
      </c>
      <c r="FQ21" s="577" t="str">
        <f t="shared" si="122"/>
        <v/>
      </c>
      <c r="FR21" s="577" t="str">
        <f t="shared" si="123"/>
        <v/>
      </c>
      <c r="FS21" s="577" t="str">
        <f t="shared" si="124"/>
        <v/>
      </c>
      <c r="FT21" s="577" t="str">
        <f t="shared" si="125"/>
        <v/>
      </c>
      <c r="FU21" s="577" t="str">
        <f t="shared" si="126"/>
        <v/>
      </c>
      <c r="FV21" s="577" t="str">
        <f t="shared" si="127"/>
        <v/>
      </c>
      <c r="FW21" s="577" t="str">
        <f t="shared" si="128"/>
        <v/>
      </c>
      <c r="FX21" s="577" t="str">
        <f t="shared" si="129"/>
        <v/>
      </c>
      <c r="FY21" s="577" t="str">
        <f t="shared" si="130"/>
        <v/>
      </c>
      <c r="FZ21" s="577" t="str">
        <f t="shared" si="131"/>
        <v/>
      </c>
      <c r="GA21" s="577" t="str">
        <f t="shared" si="132"/>
        <v/>
      </c>
      <c r="GB21" s="577" t="str">
        <f t="shared" si="133"/>
        <v/>
      </c>
      <c r="GC21" s="577" t="str">
        <f t="shared" si="134"/>
        <v/>
      </c>
      <c r="GD21" s="577" t="str">
        <f t="shared" si="135"/>
        <v/>
      </c>
      <c r="GE21" s="577" t="str">
        <f t="shared" si="136"/>
        <v/>
      </c>
      <c r="GF21" s="577" t="str">
        <f t="shared" si="137"/>
        <v/>
      </c>
      <c r="GG21" s="577" t="str">
        <f t="shared" si="138"/>
        <v/>
      </c>
      <c r="GH21" s="577" t="str">
        <f t="shared" si="139"/>
        <v/>
      </c>
      <c r="GI21" s="577" t="str">
        <f t="shared" si="140"/>
        <v/>
      </c>
      <c r="GJ21" s="577" t="str">
        <f t="shared" si="141"/>
        <v/>
      </c>
      <c r="GK21" s="577" t="str">
        <f t="shared" si="142"/>
        <v/>
      </c>
      <c r="GL21" s="577" t="str">
        <f t="shared" si="143"/>
        <v/>
      </c>
      <c r="GM21" s="577" t="str">
        <f t="shared" si="144"/>
        <v/>
      </c>
      <c r="GN21" s="577" t="str">
        <f t="shared" si="145"/>
        <v/>
      </c>
      <c r="GO21" s="578" t="str">
        <f t="shared" si="146"/>
        <v/>
      </c>
      <c r="GP21" s="578" t="str">
        <f t="shared" si="147"/>
        <v/>
      </c>
      <c r="GQ21" s="578" t="str">
        <f t="shared" si="148"/>
        <v/>
      </c>
      <c r="GR21" s="578" t="str">
        <f t="shared" si="149"/>
        <v/>
      </c>
      <c r="GS21" s="578" t="str">
        <f t="shared" si="150"/>
        <v/>
      </c>
      <c r="GT21" s="567" t="str">
        <f t="shared" si="151"/>
        <v/>
      </c>
      <c r="GU21" s="567" t="str">
        <f t="shared" si="152"/>
        <v/>
      </c>
      <c r="GV21" s="567" t="str">
        <f t="shared" si="153"/>
        <v/>
      </c>
      <c r="GW21" s="567" t="str">
        <f t="shared" si="154"/>
        <v/>
      </c>
      <c r="GX21" s="567" t="str">
        <f t="shared" si="155"/>
        <v/>
      </c>
      <c r="GY21" s="567" t="str">
        <f t="shared" si="156"/>
        <v/>
      </c>
      <c r="GZ21" s="567" t="str">
        <f t="shared" si="157"/>
        <v/>
      </c>
      <c r="HA21" s="567" t="str">
        <f t="shared" si="158"/>
        <v/>
      </c>
      <c r="HB21" s="567" t="str">
        <f t="shared" si="159"/>
        <v/>
      </c>
      <c r="HC21" s="567" t="str">
        <f t="shared" si="160"/>
        <v/>
      </c>
      <c r="HD21" s="567" t="str">
        <f t="shared" si="161"/>
        <v/>
      </c>
      <c r="HE21" s="567" t="str">
        <f t="shared" si="162"/>
        <v/>
      </c>
      <c r="HF21" s="567" t="str">
        <f t="shared" si="163"/>
        <v/>
      </c>
      <c r="HG21" s="567" t="str">
        <f t="shared" si="164"/>
        <v/>
      </c>
      <c r="HH21" s="567" t="str">
        <f t="shared" si="165"/>
        <v/>
      </c>
      <c r="HI21" s="567" t="str">
        <f t="shared" si="166"/>
        <v/>
      </c>
      <c r="HJ21" s="567" t="str">
        <f t="shared" si="167"/>
        <v/>
      </c>
      <c r="HK21" s="567" t="str">
        <f t="shared" si="168"/>
        <v/>
      </c>
      <c r="HL21" s="567" t="str">
        <f t="shared" si="169"/>
        <v/>
      </c>
      <c r="HM21" s="567" t="str">
        <f t="shared" si="170"/>
        <v/>
      </c>
    </row>
    <row r="22" spans="1:221" ht="13.15" customHeight="1">
      <c r="A22" s="126" t="str">
        <f t="shared" si="171"/>
        <v/>
      </c>
      <c r="B22" s="1203" t="s">
        <v>1886</v>
      </c>
      <c r="C22" s="1204"/>
      <c r="D22" s="1205"/>
      <c r="E22" s="1206"/>
      <c r="F22" s="1206"/>
      <c r="G22" s="1206"/>
      <c r="H22" s="1206"/>
      <c r="I22" s="1206"/>
      <c r="J22" s="1207"/>
      <c r="K22" s="198">
        <f t="shared" si="172"/>
        <v>0</v>
      </c>
      <c r="L22" s="198">
        <f t="shared" si="0"/>
        <v>0</v>
      </c>
      <c r="M22" s="1099"/>
      <c r="N22" s="1099"/>
      <c r="O22" s="1099"/>
      <c r="P22" s="518" t="str">
        <f t="shared" si="203"/>
        <v/>
      </c>
      <c r="Q22" s="519" t="str">
        <f>IF(H22="","",P22/($P$6*VLOOKUP(C22,'DCA Underwriting Assumptions'!$J$82:$K$87,2,FALSE)))</f>
        <v/>
      </c>
      <c r="R22" s="607"/>
      <c r="S22" s="519"/>
      <c r="T22" s="1643"/>
      <c r="U22" s="1644"/>
      <c r="V22" s="567" t="str">
        <f t="shared" si="1"/>
        <v/>
      </c>
      <c r="W22" s="567" t="str">
        <f t="shared" si="2"/>
        <v/>
      </c>
      <c r="X22" s="567" t="str">
        <f t="shared" si="3"/>
        <v/>
      </c>
      <c r="Y22" s="567" t="str">
        <f t="shared" si="4"/>
        <v/>
      </c>
      <c r="Z22" s="567" t="str">
        <f t="shared" si="5"/>
        <v/>
      </c>
      <c r="AA22" s="567" t="str">
        <f t="shared" si="6"/>
        <v/>
      </c>
      <c r="AB22" s="567" t="str">
        <f t="shared" si="7"/>
        <v/>
      </c>
      <c r="AC22" s="567" t="str">
        <f t="shared" si="8"/>
        <v/>
      </c>
      <c r="AD22" s="567" t="str">
        <f t="shared" si="9"/>
        <v/>
      </c>
      <c r="AE22" s="567" t="str">
        <f t="shared" si="10"/>
        <v/>
      </c>
      <c r="AF22" s="567" t="str">
        <f t="shared" si="11"/>
        <v/>
      </c>
      <c r="AG22" s="567" t="str">
        <f t="shared" si="12"/>
        <v/>
      </c>
      <c r="AH22" s="567" t="str">
        <f t="shared" si="13"/>
        <v/>
      </c>
      <c r="AI22" s="567" t="str">
        <f t="shared" si="14"/>
        <v/>
      </c>
      <c r="AJ22" s="567" t="str">
        <f t="shared" si="15"/>
        <v/>
      </c>
      <c r="AK22" s="567" t="str">
        <f t="shared" si="16"/>
        <v/>
      </c>
      <c r="AL22" s="567" t="str">
        <f t="shared" si="17"/>
        <v/>
      </c>
      <c r="AM22" s="567" t="str">
        <f t="shared" si="18"/>
        <v/>
      </c>
      <c r="AN22" s="567" t="str">
        <f t="shared" si="19"/>
        <v/>
      </c>
      <c r="AO22" s="567" t="str">
        <f t="shared" si="20"/>
        <v/>
      </c>
      <c r="AP22" s="567" t="str">
        <f t="shared" si="173"/>
        <v/>
      </c>
      <c r="AQ22" s="567" t="str">
        <f t="shared" si="174"/>
        <v/>
      </c>
      <c r="AR22" s="567" t="str">
        <f t="shared" si="175"/>
        <v/>
      </c>
      <c r="AS22" s="567" t="str">
        <f t="shared" si="176"/>
        <v/>
      </c>
      <c r="AT22" s="567" t="str">
        <f t="shared" si="177"/>
        <v/>
      </c>
      <c r="AU22" s="567" t="str">
        <f t="shared" si="178"/>
        <v/>
      </c>
      <c r="AV22" s="567" t="str">
        <f t="shared" si="179"/>
        <v/>
      </c>
      <c r="AW22" s="567" t="str">
        <f t="shared" si="180"/>
        <v/>
      </c>
      <c r="AX22" s="567" t="str">
        <f t="shared" si="181"/>
        <v/>
      </c>
      <c r="AY22" s="567" t="str">
        <f t="shared" si="182"/>
        <v/>
      </c>
      <c r="AZ22" s="567" t="str">
        <f t="shared" si="183"/>
        <v/>
      </c>
      <c r="BA22" s="567" t="str">
        <f t="shared" si="184"/>
        <v/>
      </c>
      <c r="BB22" s="567" t="str">
        <f t="shared" si="185"/>
        <v/>
      </c>
      <c r="BC22" s="567" t="str">
        <f t="shared" si="186"/>
        <v/>
      </c>
      <c r="BD22" s="567" t="str">
        <f t="shared" si="187"/>
        <v/>
      </c>
      <c r="BE22" s="567" t="str">
        <f t="shared" si="188"/>
        <v/>
      </c>
      <c r="BF22" s="567" t="str">
        <f t="shared" si="189"/>
        <v/>
      </c>
      <c r="BG22" s="567" t="str">
        <f t="shared" si="190"/>
        <v/>
      </c>
      <c r="BH22" s="567" t="str">
        <f t="shared" si="191"/>
        <v/>
      </c>
      <c r="BI22" s="567" t="str">
        <f t="shared" si="192"/>
        <v/>
      </c>
      <c r="BJ22" s="567" t="str">
        <f t="shared" si="193"/>
        <v/>
      </c>
      <c r="BK22" s="567" t="str">
        <f t="shared" si="194"/>
        <v/>
      </c>
      <c r="BL22" s="567" t="str">
        <f t="shared" si="195"/>
        <v/>
      </c>
      <c r="BM22" s="567" t="str">
        <f t="shared" si="196"/>
        <v/>
      </c>
      <c r="BN22" s="567" t="str">
        <f t="shared" si="197"/>
        <v/>
      </c>
      <c r="BO22" s="567" t="str">
        <f t="shared" si="198"/>
        <v/>
      </c>
      <c r="BP22" s="567" t="str">
        <f t="shared" si="199"/>
        <v/>
      </c>
      <c r="BQ22" s="567" t="str">
        <f t="shared" si="200"/>
        <v/>
      </c>
      <c r="BR22" s="567" t="str">
        <f t="shared" si="201"/>
        <v/>
      </c>
      <c r="BS22" s="567" t="str">
        <f t="shared" si="202"/>
        <v/>
      </c>
      <c r="BT22" s="567" t="str">
        <f t="shared" si="21"/>
        <v/>
      </c>
      <c r="BU22" s="567" t="str">
        <f t="shared" si="22"/>
        <v/>
      </c>
      <c r="BV22" s="567" t="str">
        <f t="shared" si="23"/>
        <v/>
      </c>
      <c r="BW22" s="567" t="str">
        <f t="shared" si="24"/>
        <v/>
      </c>
      <c r="BX22" s="567" t="str">
        <f t="shared" si="25"/>
        <v/>
      </c>
      <c r="BY22" s="567" t="str">
        <f t="shared" si="26"/>
        <v/>
      </c>
      <c r="BZ22" s="567" t="str">
        <f t="shared" si="27"/>
        <v/>
      </c>
      <c r="CA22" s="567" t="str">
        <f t="shared" si="28"/>
        <v/>
      </c>
      <c r="CB22" s="567" t="str">
        <f t="shared" si="29"/>
        <v/>
      </c>
      <c r="CC22" s="567" t="str">
        <f t="shared" si="30"/>
        <v/>
      </c>
      <c r="CD22" s="567" t="str">
        <f t="shared" si="31"/>
        <v/>
      </c>
      <c r="CE22" s="567" t="str">
        <f t="shared" si="32"/>
        <v/>
      </c>
      <c r="CF22" s="567" t="str">
        <f t="shared" si="33"/>
        <v/>
      </c>
      <c r="CG22" s="567" t="str">
        <f t="shared" si="34"/>
        <v/>
      </c>
      <c r="CH22" s="567" t="str">
        <f t="shared" si="35"/>
        <v/>
      </c>
      <c r="CI22" s="567" t="str">
        <f t="shared" si="36"/>
        <v/>
      </c>
      <c r="CJ22" s="567" t="str">
        <f t="shared" si="37"/>
        <v/>
      </c>
      <c r="CK22" s="567" t="str">
        <f t="shared" si="38"/>
        <v/>
      </c>
      <c r="CL22" s="567" t="str">
        <f t="shared" si="39"/>
        <v/>
      </c>
      <c r="CM22" s="567" t="str">
        <f t="shared" si="40"/>
        <v/>
      </c>
      <c r="CN22" s="567" t="str">
        <f t="shared" si="41"/>
        <v/>
      </c>
      <c r="CO22" s="567" t="str">
        <f t="shared" si="42"/>
        <v/>
      </c>
      <c r="CP22" s="567" t="str">
        <f t="shared" si="43"/>
        <v/>
      </c>
      <c r="CQ22" s="567" t="str">
        <f t="shared" si="44"/>
        <v/>
      </c>
      <c r="CR22" s="567" t="str">
        <f t="shared" si="45"/>
        <v/>
      </c>
      <c r="CS22" s="567" t="str">
        <f t="shared" si="46"/>
        <v/>
      </c>
      <c r="CT22" s="567" t="str">
        <f t="shared" si="47"/>
        <v/>
      </c>
      <c r="CU22" s="567" t="str">
        <f t="shared" si="48"/>
        <v/>
      </c>
      <c r="CV22" s="567" t="str">
        <f t="shared" si="49"/>
        <v/>
      </c>
      <c r="CW22" s="567" t="str">
        <f t="shared" si="50"/>
        <v/>
      </c>
      <c r="CX22" s="567" t="str">
        <f t="shared" si="51"/>
        <v/>
      </c>
      <c r="CY22" s="567" t="str">
        <f t="shared" si="52"/>
        <v/>
      </c>
      <c r="CZ22" s="567" t="str">
        <f t="shared" si="53"/>
        <v/>
      </c>
      <c r="DA22" s="567" t="str">
        <f t="shared" si="54"/>
        <v/>
      </c>
      <c r="DB22" s="567" t="str">
        <f t="shared" si="55"/>
        <v/>
      </c>
      <c r="DC22" s="567" t="str">
        <f t="shared" si="56"/>
        <v/>
      </c>
      <c r="DD22" s="567" t="str">
        <f t="shared" si="57"/>
        <v/>
      </c>
      <c r="DE22" s="567" t="str">
        <f t="shared" si="58"/>
        <v/>
      </c>
      <c r="DF22" s="567" t="str">
        <f t="shared" si="59"/>
        <v/>
      </c>
      <c r="DG22" s="567" t="str">
        <f t="shared" si="60"/>
        <v/>
      </c>
      <c r="DH22" s="567" t="str">
        <f t="shared" si="61"/>
        <v/>
      </c>
      <c r="DI22" s="567" t="str">
        <f t="shared" si="62"/>
        <v/>
      </c>
      <c r="DJ22" s="567" t="str">
        <f t="shared" si="63"/>
        <v/>
      </c>
      <c r="DK22" s="567" t="str">
        <f t="shared" si="64"/>
        <v/>
      </c>
      <c r="DL22" s="567" t="str">
        <f t="shared" si="65"/>
        <v/>
      </c>
      <c r="DM22" s="567" t="str">
        <f t="shared" si="66"/>
        <v/>
      </c>
      <c r="DN22" s="567" t="str">
        <f t="shared" si="67"/>
        <v/>
      </c>
      <c r="DO22" s="567" t="str">
        <f t="shared" si="68"/>
        <v/>
      </c>
      <c r="DP22" s="567" t="str">
        <f t="shared" si="69"/>
        <v/>
      </c>
      <c r="DQ22" s="567" t="str">
        <f t="shared" si="70"/>
        <v/>
      </c>
      <c r="DR22" s="567" t="str">
        <f t="shared" si="71"/>
        <v/>
      </c>
      <c r="DS22" s="567" t="str">
        <f t="shared" si="72"/>
        <v/>
      </c>
      <c r="DT22" s="567" t="str">
        <f t="shared" si="73"/>
        <v/>
      </c>
      <c r="DU22" s="567" t="str">
        <f t="shared" si="74"/>
        <v/>
      </c>
      <c r="DV22" s="567" t="str">
        <f t="shared" si="75"/>
        <v/>
      </c>
      <c r="DW22" s="567" t="str">
        <f t="shared" si="76"/>
        <v/>
      </c>
      <c r="DX22" s="567" t="str">
        <f t="shared" si="77"/>
        <v/>
      </c>
      <c r="DY22" s="567" t="str">
        <f t="shared" si="78"/>
        <v/>
      </c>
      <c r="DZ22" s="567" t="str">
        <f t="shared" si="79"/>
        <v/>
      </c>
      <c r="EA22" s="567" t="str">
        <f t="shared" si="80"/>
        <v/>
      </c>
      <c r="EB22" s="567" t="str">
        <f t="shared" si="81"/>
        <v/>
      </c>
      <c r="EC22" s="567" t="str">
        <f t="shared" si="82"/>
        <v/>
      </c>
      <c r="ED22" s="567" t="str">
        <f t="shared" si="83"/>
        <v/>
      </c>
      <c r="EE22" s="567" t="str">
        <f t="shared" si="84"/>
        <v/>
      </c>
      <c r="EF22" s="567" t="str">
        <f t="shared" si="85"/>
        <v/>
      </c>
      <c r="EG22" s="567" t="str">
        <f t="shared" si="86"/>
        <v/>
      </c>
      <c r="EH22" s="567" t="str">
        <f t="shared" si="87"/>
        <v/>
      </c>
      <c r="EI22" s="567" t="str">
        <f t="shared" si="88"/>
        <v/>
      </c>
      <c r="EJ22" s="567" t="str">
        <f t="shared" si="89"/>
        <v/>
      </c>
      <c r="EK22" s="567" t="str">
        <f t="shared" si="90"/>
        <v/>
      </c>
      <c r="EL22" s="567" t="str">
        <f t="shared" si="91"/>
        <v/>
      </c>
      <c r="EM22" s="567" t="str">
        <f t="shared" si="92"/>
        <v/>
      </c>
      <c r="EN22" s="567" t="str">
        <f t="shared" si="93"/>
        <v/>
      </c>
      <c r="EO22" s="567" t="str">
        <f t="shared" si="94"/>
        <v/>
      </c>
      <c r="EP22" s="567" t="str">
        <f t="shared" si="95"/>
        <v/>
      </c>
      <c r="EQ22" s="567" t="str">
        <f t="shared" si="96"/>
        <v/>
      </c>
      <c r="ER22" s="567" t="str">
        <f t="shared" si="97"/>
        <v/>
      </c>
      <c r="ES22" s="567" t="str">
        <f t="shared" si="98"/>
        <v/>
      </c>
      <c r="ET22" s="567" t="str">
        <f t="shared" si="99"/>
        <v/>
      </c>
      <c r="EU22" s="567" t="str">
        <f t="shared" si="100"/>
        <v/>
      </c>
      <c r="EV22" s="577" t="str">
        <f t="shared" si="101"/>
        <v/>
      </c>
      <c r="EW22" s="577" t="str">
        <f t="shared" si="102"/>
        <v/>
      </c>
      <c r="EX22" s="577" t="str">
        <f t="shared" si="103"/>
        <v/>
      </c>
      <c r="EY22" s="577" t="str">
        <f t="shared" si="104"/>
        <v/>
      </c>
      <c r="EZ22" s="577" t="str">
        <f t="shared" si="105"/>
        <v/>
      </c>
      <c r="FA22" s="577" t="str">
        <f t="shared" si="106"/>
        <v/>
      </c>
      <c r="FB22" s="577" t="str">
        <f t="shared" si="107"/>
        <v/>
      </c>
      <c r="FC22" s="577" t="str">
        <f t="shared" si="108"/>
        <v/>
      </c>
      <c r="FD22" s="577" t="str">
        <f t="shared" si="109"/>
        <v/>
      </c>
      <c r="FE22" s="577" t="str">
        <f t="shared" si="110"/>
        <v/>
      </c>
      <c r="FF22" s="577" t="str">
        <f t="shared" si="111"/>
        <v/>
      </c>
      <c r="FG22" s="577" t="str">
        <f t="shared" si="112"/>
        <v/>
      </c>
      <c r="FH22" s="577" t="str">
        <f t="shared" si="113"/>
        <v/>
      </c>
      <c r="FI22" s="577" t="str">
        <f t="shared" si="114"/>
        <v/>
      </c>
      <c r="FJ22" s="577" t="str">
        <f t="shared" si="115"/>
        <v/>
      </c>
      <c r="FK22" s="577" t="str">
        <f t="shared" si="116"/>
        <v/>
      </c>
      <c r="FL22" s="577" t="str">
        <f t="shared" si="117"/>
        <v/>
      </c>
      <c r="FM22" s="577" t="str">
        <f t="shared" si="118"/>
        <v/>
      </c>
      <c r="FN22" s="577" t="str">
        <f t="shared" si="119"/>
        <v/>
      </c>
      <c r="FO22" s="577" t="str">
        <f t="shared" si="120"/>
        <v/>
      </c>
      <c r="FP22" s="577" t="str">
        <f t="shared" si="121"/>
        <v/>
      </c>
      <c r="FQ22" s="577" t="str">
        <f t="shared" si="122"/>
        <v/>
      </c>
      <c r="FR22" s="577" t="str">
        <f t="shared" si="123"/>
        <v/>
      </c>
      <c r="FS22" s="577" t="str">
        <f t="shared" si="124"/>
        <v/>
      </c>
      <c r="FT22" s="577" t="str">
        <f t="shared" si="125"/>
        <v/>
      </c>
      <c r="FU22" s="577" t="str">
        <f t="shared" si="126"/>
        <v/>
      </c>
      <c r="FV22" s="577" t="str">
        <f t="shared" si="127"/>
        <v/>
      </c>
      <c r="FW22" s="577" t="str">
        <f t="shared" si="128"/>
        <v/>
      </c>
      <c r="FX22" s="577" t="str">
        <f t="shared" si="129"/>
        <v/>
      </c>
      <c r="FY22" s="577" t="str">
        <f t="shared" si="130"/>
        <v/>
      </c>
      <c r="FZ22" s="577" t="str">
        <f t="shared" si="131"/>
        <v/>
      </c>
      <c r="GA22" s="577" t="str">
        <f t="shared" si="132"/>
        <v/>
      </c>
      <c r="GB22" s="577" t="str">
        <f t="shared" si="133"/>
        <v/>
      </c>
      <c r="GC22" s="577" t="str">
        <f t="shared" si="134"/>
        <v/>
      </c>
      <c r="GD22" s="577" t="str">
        <f t="shared" si="135"/>
        <v/>
      </c>
      <c r="GE22" s="577" t="str">
        <f t="shared" si="136"/>
        <v/>
      </c>
      <c r="GF22" s="577" t="str">
        <f t="shared" si="137"/>
        <v/>
      </c>
      <c r="GG22" s="577" t="str">
        <f t="shared" si="138"/>
        <v/>
      </c>
      <c r="GH22" s="577" t="str">
        <f t="shared" si="139"/>
        <v/>
      </c>
      <c r="GI22" s="577" t="str">
        <f t="shared" si="140"/>
        <v/>
      </c>
      <c r="GJ22" s="577" t="str">
        <f t="shared" si="141"/>
        <v/>
      </c>
      <c r="GK22" s="577" t="str">
        <f t="shared" si="142"/>
        <v/>
      </c>
      <c r="GL22" s="577" t="str">
        <f t="shared" si="143"/>
        <v/>
      </c>
      <c r="GM22" s="577" t="str">
        <f t="shared" si="144"/>
        <v/>
      </c>
      <c r="GN22" s="577" t="str">
        <f t="shared" si="145"/>
        <v/>
      </c>
      <c r="GO22" s="578" t="str">
        <f t="shared" si="146"/>
        <v/>
      </c>
      <c r="GP22" s="578" t="str">
        <f t="shared" si="147"/>
        <v/>
      </c>
      <c r="GQ22" s="578" t="str">
        <f t="shared" si="148"/>
        <v/>
      </c>
      <c r="GR22" s="578" t="str">
        <f t="shared" si="149"/>
        <v/>
      </c>
      <c r="GS22" s="578" t="str">
        <f t="shared" si="150"/>
        <v/>
      </c>
      <c r="GT22" s="567" t="str">
        <f t="shared" si="151"/>
        <v/>
      </c>
      <c r="GU22" s="567" t="str">
        <f t="shared" si="152"/>
        <v/>
      </c>
      <c r="GV22" s="567" t="str">
        <f t="shared" si="153"/>
        <v/>
      </c>
      <c r="GW22" s="567" t="str">
        <f t="shared" si="154"/>
        <v/>
      </c>
      <c r="GX22" s="567" t="str">
        <f t="shared" si="155"/>
        <v/>
      </c>
      <c r="GY22" s="567" t="str">
        <f t="shared" si="156"/>
        <v/>
      </c>
      <c r="GZ22" s="567" t="str">
        <f t="shared" si="157"/>
        <v/>
      </c>
      <c r="HA22" s="567" t="str">
        <f t="shared" si="158"/>
        <v/>
      </c>
      <c r="HB22" s="567" t="str">
        <f t="shared" si="159"/>
        <v/>
      </c>
      <c r="HC22" s="567" t="str">
        <f t="shared" si="160"/>
        <v/>
      </c>
      <c r="HD22" s="567" t="str">
        <f t="shared" si="161"/>
        <v/>
      </c>
      <c r="HE22" s="567" t="str">
        <f t="shared" si="162"/>
        <v/>
      </c>
      <c r="HF22" s="567" t="str">
        <f t="shared" si="163"/>
        <v/>
      </c>
      <c r="HG22" s="567" t="str">
        <f t="shared" si="164"/>
        <v/>
      </c>
      <c r="HH22" s="567" t="str">
        <f t="shared" si="165"/>
        <v/>
      </c>
      <c r="HI22" s="567" t="str">
        <f t="shared" si="166"/>
        <v/>
      </c>
      <c r="HJ22" s="567" t="str">
        <f t="shared" si="167"/>
        <v/>
      </c>
      <c r="HK22" s="567" t="str">
        <f t="shared" si="168"/>
        <v/>
      </c>
      <c r="HL22" s="567" t="str">
        <f t="shared" si="169"/>
        <v/>
      </c>
      <c r="HM22" s="567" t="str">
        <f t="shared" si="170"/>
        <v/>
      </c>
    </row>
    <row r="23" spans="1:221" ht="13.15" customHeight="1">
      <c r="A23" s="126" t="str">
        <f t="shared" si="171"/>
        <v/>
      </c>
      <c r="B23" s="1203" t="s">
        <v>1886</v>
      </c>
      <c r="C23" s="1204"/>
      <c r="D23" s="1205"/>
      <c r="E23" s="1206"/>
      <c r="F23" s="1206"/>
      <c r="G23" s="1206"/>
      <c r="H23" s="1206"/>
      <c r="I23" s="1206"/>
      <c r="J23" s="1207"/>
      <c r="K23" s="198">
        <f t="shared" si="172"/>
        <v>0</v>
      </c>
      <c r="L23" s="198">
        <f t="shared" si="0"/>
        <v>0</v>
      </c>
      <c r="M23" s="1099"/>
      <c r="N23" s="1099"/>
      <c r="O23" s="1099"/>
      <c r="P23" s="518" t="str">
        <f t="shared" si="203"/>
        <v/>
      </c>
      <c r="Q23" s="519" t="str">
        <f>IF(H23="","",P23/($P$6*VLOOKUP(C23,'DCA Underwriting Assumptions'!$J$82:$K$87,2,FALSE)))</f>
        <v/>
      </c>
      <c r="R23" s="607"/>
      <c r="S23" s="519"/>
      <c r="T23" s="1643"/>
      <c r="U23" s="1644"/>
      <c r="V23" s="567" t="str">
        <f t="shared" si="1"/>
        <v/>
      </c>
      <c r="W23" s="567" t="str">
        <f t="shared" si="2"/>
        <v/>
      </c>
      <c r="X23" s="567" t="str">
        <f t="shared" si="3"/>
        <v/>
      </c>
      <c r="Y23" s="567" t="str">
        <f t="shared" si="4"/>
        <v/>
      </c>
      <c r="Z23" s="567" t="str">
        <f t="shared" si="5"/>
        <v/>
      </c>
      <c r="AA23" s="567" t="str">
        <f t="shared" si="6"/>
        <v/>
      </c>
      <c r="AB23" s="567" t="str">
        <f t="shared" si="7"/>
        <v/>
      </c>
      <c r="AC23" s="567" t="str">
        <f t="shared" si="8"/>
        <v/>
      </c>
      <c r="AD23" s="567" t="str">
        <f t="shared" si="9"/>
        <v/>
      </c>
      <c r="AE23" s="567" t="str">
        <f t="shared" si="10"/>
        <v/>
      </c>
      <c r="AF23" s="567" t="str">
        <f t="shared" si="11"/>
        <v/>
      </c>
      <c r="AG23" s="567" t="str">
        <f t="shared" si="12"/>
        <v/>
      </c>
      <c r="AH23" s="567" t="str">
        <f t="shared" si="13"/>
        <v/>
      </c>
      <c r="AI23" s="567" t="str">
        <f t="shared" si="14"/>
        <v/>
      </c>
      <c r="AJ23" s="567" t="str">
        <f t="shared" si="15"/>
        <v/>
      </c>
      <c r="AK23" s="567" t="str">
        <f t="shared" si="16"/>
        <v/>
      </c>
      <c r="AL23" s="567" t="str">
        <f t="shared" si="17"/>
        <v/>
      </c>
      <c r="AM23" s="567" t="str">
        <f t="shared" si="18"/>
        <v/>
      </c>
      <c r="AN23" s="567" t="str">
        <f t="shared" si="19"/>
        <v/>
      </c>
      <c r="AO23" s="567" t="str">
        <f t="shared" si="20"/>
        <v/>
      </c>
      <c r="AP23" s="567" t="str">
        <f t="shared" si="173"/>
        <v/>
      </c>
      <c r="AQ23" s="567" t="str">
        <f t="shared" si="174"/>
        <v/>
      </c>
      <c r="AR23" s="567" t="str">
        <f t="shared" si="175"/>
        <v/>
      </c>
      <c r="AS23" s="567" t="str">
        <f t="shared" si="176"/>
        <v/>
      </c>
      <c r="AT23" s="567" t="str">
        <f t="shared" si="177"/>
        <v/>
      </c>
      <c r="AU23" s="567" t="str">
        <f t="shared" si="178"/>
        <v/>
      </c>
      <c r="AV23" s="567" t="str">
        <f t="shared" si="179"/>
        <v/>
      </c>
      <c r="AW23" s="567" t="str">
        <f t="shared" si="180"/>
        <v/>
      </c>
      <c r="AX23" s="567" t="str">
        <f t="shared" si="181"/>
        <v/>
      </c>
      <c r="AY23" s="567" t="str">
        <f t="shared" si="182"/>
        <v/>
      </c>
      <c r="AZ23" s="567" t="str">
        <f t="shared" si="183"/>
        <v/>
      </c>
      <c r="BA23" s="567" t="str">
        <f t="shared" si="184"/>
        <v/>
      </c>
      <c r="BB23" s="567" t="str">
        <f t="shared" si="185"/>
        <v/>
      </c>
      <c r="BC23" s="567" t="str">
        <f t="shared" si="186"/>
        <v/>
      </c>
      <c r="BD23" s="567" t="str">
        <f t="shared" si="187"/>
        <v/>
      </c>
      <c r="BE23" s="567" t="str">
        <f t="shared" si="188"/>
        <v/>
      </c>
      <c r="BF23" s="567" t="str">
        <f t="shared" si="189"/>
        <v/>
      </c>
      <c r="BG23" s="567" t="str">
        <f t="shared" si="190"/>
        <v/>
      </c>
      <c r="BH23" s="567" t="str">
        <f t="shared" si="191"/>
        <v/>
      </c>
      <c r="BI23" s="567" t="str">
        <f t="shared" si="192"/>
        <v/>
      </c>
      <c r="BJ23" s="567" t="str">
        <f t="shared" si="193"/>
        <v/>
      </c>
      <c r="BK23" s="567" t="str">
        <f t="shared" si="194"/>
        <v/>
      </c>
      <c r="BL23" s="567" t="str">
        <f t="shared" si="195"/>
        <v/>
      </c>
      <c r="BM23" s="567" t="str">
        <f t="shared" si="196"/>
        <v/>
      </c>
      <c r="BN23" s="567" t="str">
        <f t="shared" si="197"/>
        <v/>
      </c>
      <c r="BO23" s="567" t="str">
        <f t="shared" si="198"/>
        <v/>
      </c>
      <c r="BP23" s="567" t="str">
        <f t="shared" si="199"/>
        <v/>
      </c>
      <c r="BQ23" s="567" t="str">
        <f t="shared" si="200"/>
        <v/>
      </c>
      <c r="BR23" s="567" t="str">
        <f t="shared" si="201"/>
        <v/>
      </c>
      <c r="BS23" s="567" t="str">
        <f t="shared" si="202"/>
        <v/>
      </c>
      <c r="BT23" s="567" t="str">
        <f t="shared" si="21"/>
        <v/>
      </c>
      <c r="BU23" s="567" t="str">
        <f t="shared" si="22"/>
        <v/>
      </c>
      <c r="BV23" s="567" t="str">
        <f t="shared" si="23"/>
        <v/>
      </c>
      <c r="BW23" s="567" t="str">
        <f t="shared" si="24"/>
        <v/>
      </c>
      <c r="BX23" s="567" t="str">
        <f t="shared" si="25"/>
        <v/>
      </c>
      <c r="BY23" s="567" t="str">
        <f t="shared" si="26"/>
        <v/>
      </c>
      <c r="BZ23" s="567" t="str">
        <f t="shared" si="27"/>
        <v/>
      </c>
      <c r="CA23" s="567" t="str">
        <f t="shared" si="28"/>
        <v/>
      </c>
      <c r="CB23" s="567" t="str">
        <f t="shared" si="29"/>
        <v/>
      </c>
      <c r="CC23" s="567" t="str">
        <f t="shared" si="30"/>
        <v/>
      </c>
      <c r="CD23" s="567" t="str">
        <f t="shared" si="31"/>
        <v/>
      </c>
      <c r="CE23" s="567" t="str">
        <f t="shared" si="32"/>
        <v/>
      </c>
      <c r="CF23" s="567" t="str">
        <f t="shared" si="33"/>
        <v/>
      </c>
      <c r="CG23" s="567" t="str">
        <f t="shared" si="34"/>
        <v/>
      </c>
      <c r="CH23" s="567" t="str">
        <f t="shared" si="35"/>
        <v/>
      </c>
      <c r="CI23" s="567" t="str">
        <f t="shared" si="36"/>
        <v/>
      </c>
      <c r="CJ23" s="567" t="str">
        <f t="shared" si="37"/>
        <v/>
      </c>
      <c r="CK23" s="567" t="str">
        <f t="shared" si="38"/>
        <v/>
      </c>
      <c r="CL23" s="567" t="str">
        <f t="shared" si="39"/>
        <v/>
      </c>
      <c r="CM23" s="567" t="str">
        <f t="shared" si="40"/>
        <v/>
      </c>
      <c r="CN23" s="567" t="str">
        <f t="shared" si="41"/>
        <v/>
      </c>
      <c r="CO23" s="567" t="str">
        <f t="shared" si="42"/>
        <v/>
      </c>
      <c r="CP23" s="567" t="str">
        <f t="shared" si="43"/>
        <v/>
      </c>
      <c r="CQ23" s="567" t="str">
        <f t="shared" si="44"/>
        <v/>
      </c>
      <c r="CR23" s="567" t="str">
        <f t="shared" si="45"/>
        <v/>
      </c>
      <c r="CS23" s="567" t="str">
        <f t="shared" si="46"/>
        <v/>
      </c>
      <c r="CT23" s="567" t="str">
        <f t="shared" si="47"/>
        <v/>
      </c>
      <c r="CU23" s="567" t="str">
        <f t="shared" si="48"/>
        <v/>
      </c>
      <c r="CV23" s="567" t="str">
        <f t="shared" si="49"/>
        <v/>
      </c>
      <c r="CW23" s="567" t="str">
        <f t="shared" si="50"/>
        <v/>
      </c>
      <c r="CX23" s="567" t="str">
        <f t="shared" si="51"/>
        <v/>
      </c>
      <c r="CY23" s="567" t="str">
        <f t="shared" si="52"/>
        <v/>
      </c>
      <c r="CZ23" s="567" t="str">
        <f t="shared" si="53"/>
        <v/>
      </c>
      <c r="DA23" s="567" t="str">
        <f t="shared" si="54"/>
        <v/>
      </c>
      <c r="DB23" s="567" t="str">
        <f t="shared" si="55"/>
        <v/>
      </c>
      <c r="DC23" s="567" t="str">
        <f t="shared" si="56"/>
        <v/>
      </c>
      <c r="DD23" s="567" t="str">
        <f t="shared" si="57"/>
        <v/>
      </c>
      <c r="DE23" s="567" t="str">
        <f t="shared" si="58"/>
        <v/>
      </c>
      <c r="DF23" s="567" t="str">
        <f t="shared" si="59"/>
        <v/>
      </c>
      <c r="DG23" s="567" t="str">
        <f t="shared" si="60"/>
        <v/>
      </c>
      <c r="DH23" s="567" t="str">
        <f t="shared" si="61"/>
        <v/>
      </c>
      <c r="DI23" s="567" t="str">
        <f t="shared" si="62"/>
        <v/>
      </c>
      <c r="DJ23" s="567" t="str">
        <f t="shared" si="63"/>
        <v/>
      </c>
      <c r="DK23" s="567" t="str">
        <f t="shared" si="64"/>
        <v/>
      </c>
      <c r="DL23" s="567" t="str">
        <f t="shared" si="65"/>
        <v/>
      </c>
      <c r="DM23" s="567" t="str">
        <f t="shared" si="66"/>
        <v/>
      </c>
      <c r="DN23" s="567" t="str">
        <f t="shared" si="67"/>
        <v/>
      </c>
      <c r="DO23" s="567" t="str">
        <f t="shared" si="68"/>
        <v/>
      </c>
      <c r="DP23" s="567" t="str">
        <f t="shared" si="69"/>
        <v/>
      </c>
      <c r="DQ23" s="567" t="str">
        <f t="shared" si="70"/>
        <v/>
      </c>
      <c r="DR23" s="567" t="str">
        <f t="shared" si="71"/>
        <v/>
      </c>
      <c r="DS23" s="567" t="str">
        <f t="shared" si="72"/>
        <v/>
      </c>
      <c r="DT23" s="567" t="str">
        <f t="shared" si="73"/>
        <v/>
      </c>
      <c r="DU23" s="567" t="str">
        <f t="shared" si="74"/>
        <v/>
      </c>
      <c r="DV23" s="567" t="str">
        <f t="shared" si="75"/>
        <v/>
      </c>
      <c r="DW23" s="567" t="str">
        <f t="shared" si="76"/>
        <v/>
      </c>
      <c r="DX23" s="567" t="str">
        <f t="shared" si="77"/>
        <v/>
      </c>
      <c r="DY23" s="567" t="str">
        <f t="shared" si="78"/>
        <v/>
      </c>
      <c r="DZ23" s="567" t="str">
        <f t="shared" si="79"/>
        <v/>
      </c>
      <c r="EA23" s="567" t="str">
        <f t="shared" si="80"/>
        <v/>
      </c>
      <c r="EB23" s="567" t="str">
        <f t="shared" si="81"/>
        <v/>
      </c>
      <c r="EC23" s="567" t="str">
        <f t="shared" si="82"/>
        <v/>
      </c>
      <c r="ED23" s="567" t="str">
        <f t="shared" si="83"/>
        <v/>
      </c>
      <c r="EE23" s="567" t="str">
        <f t="shared" si="84"/>
        <v/>
      </c>
      <c r="EF23" s="567" t="str">
        <f t="shared" si="85"/>
        <v/>
      </c>
      <c r="EG23" s="567" t="str">
        <f t="shared" si="86"/>
        <v/>
      </c>
      <c r="EH23" s="567" t="str">
        <f t="shared" si="87"/>
        <v/>
      </c>
      <c r="EI23" s="567" t="str">
        <f t="shared" si="88"/>
        <v/>
      </c>
      <c r="EJ23" s="567" t="str">
        <f t="shared" si="89"/>
        <v/>
      </c>
      <c r="EK23" s="567" t="str">
        <f t="shared" si="90"/>
        <v/>
      </c>
      <c r="EL23" s="567" t="str">
        <f t="shared" si="91"/>
        <v/>
      </c>
      <c r="EM23" s="567" t="str">
        <f t="shared" si="92"/>
        <v/>
      </c>
      <c r="EN23" s="567" t="str">
        <f t="shared" si="93"/>
        <v/>
      </c>
      <c r="EO23" s="567" t="str">
        <f t="shared" si="94"/>
        <v/>
      </c>
      <c r="EP23" s="567" t="str">
        <f t="shared" si="95"/>
        <v/>
      </c>
      <c r="EQ23" s="567" t="str">
        <f t="shared" si="96"/>
        <v/>
      </c>
      <c r="ER23" s="567" t="str">
        <f t="shared" si="97"/>
        <v/>
      </c>
      <c r="ES23" s="567" t="str">
        <f t="shared" si="98"/>
        <v/>
      </c>
      <c r="ET23" s="567" t="str">
        <f t="shared" si="99"/>
        <v/>
      </c>
      <c r="EU23" s="567" t="str">
        <f t="shared" si="100"/>
        <v/>
      </c>
      <c r="EV23" s="577" t="str">
        <f t="shared" si="101"/>
        <v/>
      </c>
      <c r="EW23" s="577" t="str">
        <f t="shared" si="102"/>
        <v/>
      </c>
      <c r="EX23" s="577" t="str">
        <f t="shared" si="103"/>
        <v/>
      </c>
      <c r="EY23" s="577" t="str">
        <f t="shared" si="104"/>
        <v/>
      </c>
      <c r="EZ23" s="577" t="str">
        <f t="shared" si="105"/>
        <v/>
      </c>
      <c r="FA23" s="577" t="str">
        <f t="shared" si="106"/>
        <v/>
      </c>
      <c r="FB23" s="577" t="str">
        <f t="shared" si="107"/>
        <v/>
      </c>
      <c r="FC23" s="577" t="str">
        <f t="shared" si="108"/>
        <v/>
      </c>
      <c r="FD23" s="577" t="str">
        <f t="shared" si="109"/>
        <v/>
      </c>
      <c r="FE23" s="577" t="str">
        <f t="shared" si="110"/>
        <v/>
      </c>
      <c r="FF23" s="577" t="str">
        <f t="shared" si="111"/>
        <v/>
      </c>
      <c r="FG23" s="577" t="str">
        <f t="shared" si="112"/>
        <v/>
      </c>
      <c r="FH23" s="577" t="str">
        <f t="shared" si="113"/>
        <v/>
      </c>
      <c r="FI23" s="577" t="str">
        <f t="shared" si="114"/>
        <v/>
      </c>
      <c r="FJ23" s="577" t="str">
        <f t="shared" si="115"/>
        <v/>
      </c>
      <c r="FK23" s="577" t="str">
        <f t="shared" si="116"/>
        <v/>
      </c>
      <c r="FL23" s="577" t="str">
        <f t="shared" si="117"/>
        <v/>
      </c>
      <c r="FM23" s="577" t="str">
        <f t="shared" si="118"/>
        <v/>
      </c>
      <c r="FN23" s="577" t="str">
        <f t="shared" si="119"/>
        <v/>
      </c>
      <c r="FO23" s="577" t="str">
        <f t="shared" si="120"/>
        <v/>
      </c>
      <c r="FP23" s="577" t="str">
        <f t="shared" si="121"/>
        <v/>
      </c>
      <c r="FQ23" s="577" t="str">
        <f t="shared" si="122"/>
        <v/>
      </c>
      <c r="FR23" s="577" t="str">
        <f t="shared" si="123"/>
        <v/>
      </c>
      <c r="FS23" s="577" t="str">
        <f t="shared" si="124"/>
        <v/>
      </c>
      <c r="FT23" s="577" t="str">
        <f t="shared" si="125"/>
        <v/>
      </c>
      <c r="FU23" s="577" t="str">
        <f t="shared" si="126"/>
        <v/>
      </c>
      <c r="FV23" s="577" t="str">
        <f t="shared" si="127"/>
        <v/>
      </c>
      <c r="FW23" s="577" t="str">
        <f t="shared" si="128"/>
        <v/>
      </c>
      <c r="FX23" s="577" t="str">
        <f t="shared" si="129"/>
        <v/>
      </c>
      <c r="FY23" s="577" t="str">
        <f t="shared" si="130"/>
        <v/>
      </c>
      <c r="FZ23" s="577" t="str">
        <f t="shared" si="131"/>
        <v/>
      </c>
      <c r="GA23" s="577" t="str">
        <f t="shared" si="132"/>
        <v/>
      </c>
      <c r="GB23" s="577" t="str">
        <f t="shared" si="133"/>
        <v/>
      </c>
      <c r="GC23" s="577" t="str">
        <f t="shared" si="134"/>
        <v/>
      </c>
      <c r="GD23" s="577" t="str">
        <f t="shared" si="135"/>
        <v/>
      </c>
      <c r="GE23" s="577" t="str">
        <f t="shared" si="136"/>
        <v/>
      </c>
      <c r="GF23" s="577" t="str">
        <f t="shared" si="137"/>
        <v/>
      </c>
      <c r="GG23" s="577" t="str">
        <f t="shared" si="138"/>
        <v/>
      </c>
      <c r="GH23" s="577" t="str">
        <f t="shared" si="139"/>
        <v/>
      </c>
      <c r="GI23" s="577" t="str">
        <f t="shared" si="140"/>
        <v/>
      </c>
      <c r="GJ23" s="577" t="str">
        <f t="shared" si="141"/>
        <v/>
      </c>
      <c r="GK23" s="577" t="str">
        <f t="shared" si="142"/>
        <v/>
      </c>
      <c r="GL23" s="577" t="str">
        <f t="shared" si="143"/>
        <v/>
      </c>
      <c r="GM23" s="577" t="str">
        <f t="shared" si="144"/>
        <v/>
      </c>
      <c r="GN23" s="577" t="str">
        <f t="shared" si="145"/>
        <v/>
      </c>
      <c r="GO23" s="578" t="str">
        <f t="shared" si="146"/>
        <v/>
      </c>
      <c r="GP23" s="578" t="str">
        <f t="shared" si="147"/>
        <v/>
      </c>
      <c r="GQ23" s="578" t="str">
        <f t="shared" si="148"/>
        <v/>
      </c>
      <c r="GR23" s="578" t="str">
        <f t="shared" si="149"/>
        <v/>
      </c>
      <c r="GS23" s="578" t="str">
        <f t="shared" si="150"/>
        <v/>
      </c>
      <c r="GT23" s="567" t="str">
        <f t="shared" si="151"/>
        <v/>
      </c>
      <c r="GU23" s="567" t="str">
        <f t="shared" si="152"/>
        <v/>
      </c>
      <c r="GV23" s="567" t="str">
        <f t="shared" si="153"/>
        <v/>
      </c>
      <c r="GW23" s="567" t="str">
        <f t="shared" si="154"/>
        <v/>
      </c>
      <c r="GX23" s="567" t="str">
        <f t="shared" si="155"/>
        <v/>
      </c>
      <c r="GY23" s="567" t="str">
        <f t="shared" si="156"/>
        <v/>
      </c>
      <c r="GZ23" s="567" t="str">
        <f t="shared" si="157"/>
        <v/>
      </c>
      <c r="HA23" s="567" t="str">
        <f t="shared" si="158"/>
        <v/>
      </c>
      <c r="HB23" s="567" t="str">
        <f t="shared" si="159"/>
        <v/>
      </c>
      <c r="HC23" s="567" t="str">
        <f t="shared" si="160"/>
        <v/>
      </c>
      <c r="HD23" s="567" t="str">
        <f t="shared" si="161"/>
        <v/>
      </c>
      <c r="HE23" s="567" t="str">
        <f t="shared" si="162"/>
        <v/>
      </c>
      <c r="HF23" s="567" t="str">
        <f t="shared" si="163"/>
        <v/>
      </c>
      <c r="HG23" s="567" t="str">
        <f t="shared" si="164"/>
        <v/>
      </c>
      <c r="HH23" s="567" t="str">
        <f t="shared" si="165"/>
        <v/>
      </c>
      <c r="HI23" s="567" t="str">
        <f t="shared" si="166"/>
        <v/>
      </c>
      <c r="HJ23" s="567" t="str">
        <f t="shared" si="167"/>
        <v/>
      </c>
      <c r="HK23" s="567" t="str">
        <f t="shared" si="168"/>
        <v/>
      </c>
      <c r="HL23" s="567" t="str">
        <f t="shared" si="169"/>
        <v/>
      </c>
      <c r="HM23" s="567" t="str">
        <f t="shared" si="170"/>
        <v/>
      </c>
    </row>
    <row r="24" spans="1:221" ht="13.15" customHeight="1">
      <c r="A24" s="126" t="str">
        <f t="shared" si="171"/>
        <v/>
      </c>
      <c r="B24" s="1203" t="s">
        <v>1886</v>
      </c>
      <c r="C24" s="1204"/>
      <c r="D24" s="1205"/>
      <c r="E24" s="1206"/>
      <c r="F24" s="1206"/>
      <c r="G24" s="1206"/>
      <c r="H24" s="1206"/>
      <c r="I24" s="1206"/>
      <c r="J24" s="1207"/>
      <c r="K24" s="198">
        <f t="shared" si="172"/>
        <v>0</v>
      </c>
      <c r="L24" s="198">
        <f t="shared" si="0"/>
        <v>0</v>
      </c>
      <c r="M24" s="1099"/>
      <c r="N24" s="1099"/>
      <c r="O24" s="1099"/>
      <c r="P24" s="518" t="str">
        <f t="shared" si="203"/>
        <v/>
      </c>
      <c r="Q24" s="519" t="str">
        <f>IF(H24="","",P24/($P$6*VLOOKUP(C24,'DCA Underwriting Assumptions'!$J$82:$K$87,2,FALSE)))</f>
        <v/>
      </c>
      <c r="R24" s="607"/>
      <c r="S24" s="519"/>
      <c r="T24" s="1643"/>
      <c r="U24" s="1644"/>
      <c r="V24" s="567" t="str">
        <f t="shared" si="1"/>
        <v/>
      </c>
      <c r="W24" s="567" t="str">
        <f t="shared" si="2"/>
        <v/>
      </c>
      <c r="X24" s="567" t="str">
        <f t="shared" si="3"/>
        <v/>
      </c>
      <c r="Y24" s="567" t="str">
        <f t="shared" si="4"/>
        <v/>
      </c>
      <c r="Z24" s="567" t="str">
        <f t="shared" si="5"/>
        <v/>
      </c>
      <c r="AA24" s="567" t="str">
        <f t="shared" si="6"/>
        <v/>
      </c>
      <c r="AB24" s="567" t="str">
        <f t="shared" si="7"/>
        <v/>
      </c>
      <c r="AC24" s="567" t="str">
        <f t="shared" si="8"/>
        <v/>
      </c>
      <c r="AD24" s="567" t="str">
        <f t="shared" si="9"/>
        <v/>
      </c>
      <c r="AE24" s="567" t="str">
        <f t="shared" si="10"/>
        <v/>
      </c>
      <c r="AF24" s="567" t="str">
        <f t="shared" si="11"/>
        <v/>
      </c>
      <c r="AG24" s="567" t="str">
        <f t="shared" si="12"/>
        <v/>
      </c>
      <c r="AH24" s="567" t="str">
        <f t="shared" si="13"/>
        <v/>
      </c>
      <c r="AI24" s="567" t="str">
        <f t="shared" si="14"/>
        <v/>
      </c>
      <c r="AJ24" s="567" t="str">
        <f t="shared" si="15"/>
        <v/>
      </c>
      <c r="AK24" s="567" t="str">
        <f t="shared" si="16"/>
        <v/>
      </c>
      <c r="AL24" s="567" t="str">
        <f t="shared" si="17"/>
        <v/>
      </c>
      <c r="AM24" s="567" t="str">
        <f t="shared" si="18"/>
        <v/>
      </c>
      <c r="AN24" s="567" t="str">
        <f t="shared" si="19"/>
        <v/>
      </c>
      <c r="AO24" s="567" t="str">
        <f t="shared" si="20"/>
        <v/>
      </c>
      <c r="AP24" s="567" t="str">
        <f t="shared" si="173"/>
        <v/>
      </c>
      <c r="AQ24" s="567" t="str">
        <f t="shared" si="174"/>
        <v/>
      </c>
      <c r="AR24" s="567" t="str">
        <f t="shared" si="175"/>
        <v/>
      </c>
      <c r="AS24" s="567" t="str">
        <f t="shared" si="176"/>
        <v/>
      </c>
      <c r="AT24" s="567" t="str">
        <f t="shared" si="177"/>
        <v/>
      </c>
      <c r="AU24" s="567" t="str">
        <f t="shared" si="178"/>
        <v/>
      </c>
      <c r="AV24" s="567" t="str">
        <f t="shared" si="179"/>
        <v/>
      </c>
      <c r="AW24" s="567" t="str">
        <f t="shared" si="180"/>
        <v/>
      </c>
      <c r="AX24" s="567" t="str">
        <f t="shared" si="181"/>
        <v/>
      </c>
      <c r="AY24" s="567" t="str">
        <f t="shared" si="182"/>
        <v/>
      </c>
      <c r="AZ24" s="567" t="str">
        <f t="shared" si="183"/>
        <v/>
      </c>
      <c r="BA24" s="567" t="str">
        <f t="shared" si="184"/>
        <v/>
      </c>
      <c r="BB24" s="567" t="str">
        <f t="shared" si="185"/>
        <v/>
      </c>
      <c r="BC24" s="567" t="str">
        <f t="shared" si="186"/>
        <v/>
      </c>
      <c r="BD24" s="567" t="str">
        <f t="shared" si="187"/>
        <v/>
      </c>
      <c r="BE24" s="567" t="str">
        <f t="shared" si="188"/>
        <v/>
      </c>
      <c r="BF24" s="567" t="str">
        <f t="shared" si="189"/>
        <v/>
      </c>
      <c r="BG24" s="567" t="str">
        <f t="shared" si="190"/>
        <v/>
      </c>
      <c r="BH24" s="567" t="str">
        <f t="shared" si="191"/>
        <v/>
      </c>
      <c r="BI24" s="567" t="str">
        <f t="shared" si="192"/>
        <v/>
      </c>
      <c r="BJ24" s="567" t="str">
        <f t="shared" si="193"/>
        <v/>
      </c>
      <c r="BK24" s="567" t="str">
        <f t="shared" si="194"/>
        <v/>
      </c>
      <c r="BL24" s="567" t="str">
        <f t="shared" si="195"/>
        <v/>
      </c>
      <c r="BM24" s="567" t="str">
        <f t="shared" si="196"/>
        <v/>
      </c>
      <c r="BN24" s="567" t="str">
        <f t="shared" si="197"/>
        <v/>
      </c>
      <c r="BO24" s="567" t="str">
        <f t="shared" si="198"/>
        <v/>
      </c>
      <c r="BP24" s="567" t="str">
        <f t="shared" si="199"/>
        <v/>
      </c>
      <c r="BQ24" s="567" t="str">
        <f t="shared" si="200"/>
        <v/>
      </c>
      <c r="BR24" s="567" t="str">
        <f t="shared" si="201"/>
        <v/>
      </c>
      <c r="BS24" s="567" t="str">
        <f t="shared" si="202"/>
        <v/>
      </c>
      <c r="BT24" s="567" t="str">
        <f t="shared" si="21"/>
        <v/>
      </c>
      <c r="BU24" s="567" t="str">
        <f t="shared" si="22"/>
        <v/>
      </c>
      <c r="BV24" s="567" t="str">
        <f t="shared" si="23"/>
        <v/>
      </c>
      <c r="BW24" s="567" t="str">
        <f t="shared" si="24"/>
        <v/>
      </c>
      <c r="BX24" s="567" t="str">
        <f t="shared" si="25"/>
        <v/>
      </c>
      <c r="BY24" s="567" t="str">
        <f t="shared" si="26"/>
        <v/>
      </c>
      <c r="BZ24" s="567" t="str">
        <f t="shared" si="27"/>
        <v/>
      </c>
      <c r="CA24" s="567" t="str">
        <f t="shared" si="28"/>
        <v/>
      </c>
      <c r="CB24" s="567" t="str">
        <f t="shared" si="29"/>
        <v/>
      </c>
      <c r="CC24" s="567" t="str">
        <f t="shared" si="30"/>
        <v/>
      </c>
      <c r="CD24" s="567" t="str">
        <f t="shared" si="31"/>
        <v/>
      </c>
      <c r="CE24" s="567" t="str">
        <f t="shared" si="32"/>
        <v/>
      </c>
      <c r="CF24" s="567" t="str">
        <f t="shared" si="33"/>
        <v/>
      </c>
      <c r="CG24" s="567" t="str">
        <f t="shared" si="34"/>
        <v/>
      </c>
      <c r="CH24" s="567" t="str">
        <f t="shared" si="35"/>
        <v/>
      </c>
      <c r="CI24" s="567" t="str">
        <f t="shared" si="36"/>
        <v/>
      </c>
      <c r="CJ24" s="567" t="str">
        <f t="shared" si="37"/>
        <v/>
      </c>
      <c r="CK24" s="567" t="str">
        <f t="shared" si="38"/>
        <v/>
      </c>
      <c r="CL24" s="567" t="str">
        <f t="shared" si="39"/>
        <v/>
      </c>
      <c r="CM24" s="567" t="str">
        <f t="shared" si="40"/>
        <v/>
      </c>
      <c r="CN24" s="567" t="str">
        <f t="shared" si="41"/>
        <v/>
      </c>
      <c r="CO24" s="567" t="str">
        <f t="shared" si="42"/>
        <v/>
      </c>
      <c r="CP24" s="567" t="str">
        <f t="shared" si="43"/>
        <v/>
      </c>
      <c r="CQ24" s="567" t="str">
        <f t="shared" si="44"/>
        <v/>
      </c>
      <c r="CR24" s="567" t="str">
        <f t="shared" si="45"/>
        <v/>
      </c>
      <c r="CS24" s="567" t="str">
        <f t="shared" si="46"/>
        <v/>
      </c>
      <c r="CT24" s="567" t="str">
        <f t="shared" si="47"/>
        <v/>
      </c>
      <c r="CU24" s="567" t="str">
        <f t="shared" si="48"/>
        <v/>
      </c>
      <c r="CV24" s="567" t="str">
        <f t="shared" si="49"/>
        <v/>
      </c>
      <c r="CW24" s="567" t="str">
        <f t="shared" si="50"/>
        <v/>
      </c>
      <c r="CX24" s="567" t="str">
        <f t="shared" si="51"/>
        <v/>
      </c>
      <c r="CY24" s="567" t="str">
        <f t="shared" si="52"/>
        <v/>
      </c>
      <c r="CZ24" s="567" t="str">
        <f t="shared" si="53"/>
        <v/>
      </c>
      <c r="DA24" s="567" t="str">
        <f t="shared" si="54"/>
        <v/>
      </c>
      <c r="DB24" s="567" t="str">
        <f t="shared" si="55"/>
        <v/>
      </c>
      <c r="DC24" s="567" t="str">
        <f t="shared" si="56"/>
        <v/>
      </c>
      <c r="DD24" s="567" t="str">
        <f t="shared" si="57"/>
        <v/>
      </c>
      <c r="DE24" s="567" t="str">
        <f t="shared" si="58"/>
        <v/>
      </c>
      <c r="DF24" s="567" t="str">
        <f t="shared" si="59"/>
        <v/>
      </c>
      <c r="DG24" s="567" t="str">
        <f t="shared" si="60"/>
        <v/>
      </c>
      <c r="DH24" s="567" t="str">
        <f t="shared" si="61"/>
        <v/>
      </c>
      <c r="DI24" s="567" t="str">
        <f t="shared" si="62"/>
        <v/>
      </c>
      <c r="DJ24" s="567" t="str">
        <f t="shared" si="63"/>
        <v/>
      </c>
      <c r="DK24" s="567" t="str">
        <f t="shared" si="64"/>
        <v/>
      </c>
      <c r="DL24" s="567" t="str">
        <f t="shared" si="65"/>
        <v/>
      </c>
      <c r="DM24" s="567" t="str">
        <f t="shared" si="66"/>
        <v/>
      </c>
      <c r="DN24" s="567" t="str">
        <f t="shared" si="67"/>
        <v/>
      </c>
      <c r="DO24" s="567" t="str">
        <f t="shared" si="68"/>
        <v/>
      </c>
      <c r="DP24" s="567" t="str">
        <f t="shared" si="69"/>
        <v/>
      </c>
      <c r="DQ24" s="567" t="str">
        <f t="shared" si="70"/>
        <v/>
      </c>
      <c r="DR24" s="567" t="str">
        <f t="shared" si="71"/>
        <v/>
      </c>
      <c r="DS24" s="567" t="str">
        <f t="shared" si="72"/>
        <v/>
      </c>
      <c r="DT24" s="567" t="str">
        <f t="shared" si="73"/>
        <v/>
      </c>
      <c r="DU24" s="567" t="str">
        <f t="shared" si="74"/>
        <v/>
      </c>
      <c r="DV24" s="567" t="str">
        <f t="shared" si="75"/>
        <v/>
      </c>
      <c r="DW24" s="567" t="str">
        <f t="shared" si="76"/>
        <v/>
      </c>
      <c r="DX24" s="567" t="str">
        <f t="shared" si="77"/>
        <v/>
      </c>
      <c r="DY24" s="567" t="str">
        <f t="shared" si="78"/>
        <v/>
      </c>
      <c r="DZ24" s="567" t="str">
        <f t="shared" si="79"/>
        <v/>
      </c>
      <c r="EA24" s="567" t="str">
        <f t="shared" si="80"/>
        <v/>
      </c>
      <c r="EB24" s="567" t="str">
        <f t="shared" si="81"/>
        <v/>
      </c>
      <c r="EC24" s="567" t="str">
        <f t="shared" si="82"/>
        <v/>
      </c>
      <c r="ED24" s="567" t="str">
        <f t="shared" si="83"/>
        <v/>
      </c>
      <c r="EE24" s="567" t="str">
        <f t="shared" si="84"/>
        <v/>
      </c>
      <c r="EF24" s="567" t="str">
        <f t="shared" si="85"/>
        <v/>
      </c>
      <c r="EG24" s="567" t="str">
        <f t="shared" si="86"/>
        <v/>
      </c>
      <c r="EH24" s="567" t="str">
        <f t="shared" si="87"/>
        <v/>
      </c>
      <c r="EI24" s="567" t="str">
        <f t="shared" si="88"/>
        <v/>
      </c>
      <c r="EJ24" s="567" t="str">
        <f t="shared" si="89"/>
        <v/>
      </c>
      <c r="EK24" s="567" t="str">
        <f t="shared" si="90"/>
        <v/>
      </c>
      <c r="EL24" s="567" t="str">
        <f t="shared" si="91"/>
        <v/>
      </c>
      <c r="EM24" s="567" t="str">
        <f t="shared" si="92"/>
        <v/>
      </c>
      <c r="EN24" s="567" t="str">
        <f t="shared" si="93"/>
        <v/>
      </c>
      <c r="EO24" s="567" t="str">
        <f t="shared" si="94"/>
        <v/>
      </c>
      <c r="EP24" s="567" t="str">
        <f t="shared" si="95"/>
        <v/>
      </c>
      <c r="EQ24" s="567" t="str">
        <f t="shared" si="96"/>
        <v/>
      </c>
      <c r="ER24" s="567" t="str">
        <f t="shared" si="97"/>
        <v/>
      </c>
      <c r="ES24" s="567" t="str">
        <f t="shared" si="98"/>
        <v/>
      </c>
      <c r="ET24" s="567" t="str">
        <f t="shared" si="99"/>
        <v/>
      </c>
      <c r="EU24" s="567" t="str">
        <f t="shared" si="100"/>
        <v/>
      </c>
      <c r="EV24" s="577" t="str">
        <f t="shared" si="101"/>
        <v/>
      </c>
      <c r="EW24" s="577" t="str">
        <f t="shared" si="102"/>
        <v/>
      </c>
      <c r="EX24" s="577" t="str">
        <f t="shared" si="103"/>
        <v/>
      </c>
      <c r="EY24" s="577" t="str">
        <f t="shared" si="104"/>
        <v/>
      </c>
      <c r="EZ24" s="577" t="str">
        <f t="shared" si="105"/>
        <v/>
      </c>
      <c r="FA24" s="577" t="str">
        <f t="shared" si="106"/>
        <v/>
      </c>
      <c r="FB24" s="577" t="str">
        <f t="shared" si="107"/>
        <v/>
      </c>
      <c r="FC24" s="577" t="str">
        <f t="shared" si="108"/>
        <v/>
      </c>
      <c r="FD24" s="577" t="str">
        <f t="shared" si="109"/>
        <v/>
      </c>
      <c r="FE24" s="577" t="str">
        <f t="shared" si="110"/>
        <v/>
      </c>
      <c r="FF24" s="577" t="str">
        <f t="shared" si="111"/>
        <v/>
      </c>
      <c r="FG24" s="577" t="str">
        <f t="shared" si="112"/>
        <v/>
      </c>
      <c r="FH24" s="577" t="str">
        <f t="shared" si="113"/>
        <v/>
      </c>
      <c r="FI24" s="577" t="str">
        <f t="shared" si="114"/>
        <v/>
      </c>
      <c r="FJ24" s="577" t="str">
        <f t="shared" si="115"/>
        <v/>
      </c>
      <c r="FK24" s="577" t="str">
        <f t="shared" si="116"/>
        <v/>
      </c>
      <c r="FL24" s="577" t="str">
        <f t="shared" si="117"/>
        <v/>
      </c>
      <c r="FM24" s="577" t="str">
        <f t="shared" si="118"/>
        <v/>
      </c>
      <c r="FN24" s="577" t="str">
        <f t="shared" si="119"/>
        <v/>
      </c>
      <c r="FO24" s="577" t="str">
        <f t="shared" si="120"/>
        <v/>
      </c>
      <c r="FP24" s="577" t="str">
        <f t="shared" si="121"/>
        <v/>
      </c>
      <c r="FQ24" s="577" t="str">
        <f t="shared" si="122"/>
        <v/>
      </c>
      <c r="FR24" s="577" t="str">
        <f t="shared" si="123"/>
        <v/>
      </c>
      <c r="FS24" s="577" t="str">
        <f t="shared" si="124"/>
        <v/>
      </c>
      <c r="FT24" s="577" t="str">
        <f t="shared" si="125"/>
        <v/>
      </c>
      <c r="FU24" s="577" t="str">
        <f t="shared" si="126"/>
        <v/>
      </c>
      <c r="FV24" s="577" t="str">
        <f t="shared" si="127"/>
        <v/>
      </c>
      <c r="FW24" s="577" t="str">
        <f t="shared" si="128"/>
        <v/>
      </c>
      <c r="FX24" s="577" t="str">
        <f t="shared" si="129"/>
        <v/>
      </c>
      <c r="FY24" s="577" t="str">
        <f t="shared" si="130"/>
        <v/>
      </c>
      <c r="FZ24" s="577" t="str">
        <f t="shared" si="131"/>
        <v/>
      </c>
      <c r="GA24" s="577" t="str">
        <f t="shared" si="132"/>
        <v/>
      </c>
      <c r="GB24" s="577" t="str">
        <f t="shared" si="133"/>
        <v/>
      </c>
      <c r="GC24" s="577" t="str">
        <f t="shared" si="134"/>
        <v/>
      </c>
      <c r="GD24" s="577" t="str">
        <f t="shared" si="135"/>
        <v/>
      </c>
      <c r="GE24" s="577" t="str">
        <f t="shared" si="136"/>
        <v/>
      </c>
      <c r="GF24" s="577" t="str">
        <f t="shared" si="137"/>
        <v/>
      </c>
      <c r="GG24" s="577" t="str">
        <f t="shared" si="138"/>
        <v/>
      </c>
      <c r="GH24" s="577" t="str">
        <f t="shared" si="139"/>
        <v/>
      </c>
      <c r="GI24" s="577" t="str">
        <f t="shared" si="140"/>
        <v/>
      </c>
      <c r="GJ24" s="577" t="str">
        <f t="shared" si="141"/>
        <v/>
      </c>
      <c r="GK24" s="577" t="str">
        <f t="shared" si="142"/>
        <v/>
      </c>
      <c r="GL24" s="577" t="str">
        <f t="shared" si="143"/>
        <v/>
      </c>
      <c r="GM24" s="577" t="str">
        <f t="shared" si="144"/>
        <v/>
      </c>
      <c r="GN24" s="577" t="str">
        <f t="shared" si="145"/>
        <v/>
      </c>
      <c r="GO24" s="578" t="str">
        <f t="shared" si="146"/>
        <v/>
      </c>
      <c r="GP24" s="578" t="str">
        <f t="shared" si="147"/>
        <v/>
      </c>
      <c r="GQ24" s="578" t="str">
        <f t="shared" si="148"/>
        <v/>
      </c>
      <c r="GR24" s="578" t="str">
        <f t="shared" si="149"/>
        <v/>
      </c>
      <c r="GS24" s="578" t="str">
        <f t="shared" si="150"/>
        <v/>
      </c>
      <c r="GT24" s="567" t="str">
        <f t="shared" si="151"/>
        <v/>
      </c>
      <c r="GU24" s="567" t="str">
        <f t="shared" si="152"/>
        <v/>
      </c>
      <c r="GV24" s="567" t="str">
        <f t="shared" si="153"/>
        <v/>
      </c>
      <c r="GW24" s="567" t="str">
        <f t="shared" si="154"/>
        <v/>
      </c>
      <c r="GX24" s="567" t="str">
        <f t="shared" si="155"/>
        <v/>
      </c>
      <c r="GY24" s="567" t="str">
        <f t="shared" si="156"/>
        <v/>
      </c>
      <c r="GZ24" s="567" t="str">
        <f t="shared" si="157"/>
        <v/>
      </c>
      <c r="HA24" s="567" t="str">
        <f t="shared" si="158"/>
        <v/>
      </c>
      <c r="HB24" s="567" t="str">
        <f t="shared" si="159"/>
        <v/>
      </c>
      <c r="HC24" s="567" t="str">
        <f t="shared" si="160"/>
        <v/>
      </c>
      <c r="HD24" s="567" t="str">
        <f t="shared" si="161"/>
        <v/>
      </c>
      <c r="HE24" s="567" t="str">
        <f t="shared" si="162"/>
        <v/>
      </c>
      <c r="HF24" s="567" t="str">
        <f t="shared" si="163"/>
        <v/>
      </c>
      <c r="HG24" s="567" t="str">
        <f t="shared" si="164"/>
        <v/>
      </c>
      <c r="HH24" s="567" t="str">
        <f t="shared" si="165"/>
        <v/>
      </c>
      <c r="HI24" s="567" t="str">
        <f t="shared" si="166"/>
        <v/>
      </c>
      <c r="HJ24" s="567" t="str">
        <f t="shared" si="167"/>
        <v/>
      </c>
      <c r="HK24" s="567" t="str">
        <f t="shared" si="168"/>
        <v/>
      </c>
      <c r="HL24" s="567" t="str">
        <f t="shared" si="169"/>
        <v/>
      </c>
      <c r="HM24" s="567" t="str">
        <f t="shared" si="170"/>
        <v/>
      </c>
    </row>
    <row r="25" spans="1:221" ht="13.15" customHeight="1">
      <c r="A25" s="126" t="str">
        <f t="shared" si="171"/>
        <v/>
      </c>
      <c r="B25" s="1203" t="s">
        <v>1886</v>
      </c>
      <c r="C25" s="1204"/>
      <c r="D25" s="1205"/>
      <c r="E25" s="1206"/>
      <c r="F25" s="1206"/>
      <c r="G25" s="1206"/>
      <c r="H25" s="1206"/>
      <c r="I25" s="1206"/>
      <c r="J25" s="1207"/>
      <c r="K25" s="198">
        <f t="shared" si="172"/>
        <v>0</v>
      </c>
      <c r="L25" s="198">
        <f t="shared" si="0"/>
        <v>0</v>
      </c>
      <c r="M25" s="1099"/>
      <c r="N25" s="1099"/>
      <c r="O25" s="1099"/>
      <c r="P25" s="518" t="str">
        <f t="shared" si="203"/>
        <v/>
      </c>
      <c r="Q25" s="519" t="str">
        <f>IF(H25="","",P25/($P$6*VLOOKUP(C25,'DCA Underwriting Assumptions'!$J$82:$K$87,2,FALSE)))</f>
        <v/>
      </c>
      <c r="R25" s="607"/>
      <c r="S25" s="519"/>
      <c r="T25" s="1643"/>
      <c r="U25" s="1644"/>
      <c r="V25" s="567" t="str">
        <f t="shared" si="1"/>
        <v/>
      </c>
      <c r="W25" s="567" t="str">
        <f t="shared" si="2"/>
        <v/>
      </c>
      <c r="X25" s="567" t="str">
        <f t="shared" si="3"/>
        <v/>
      </c>
      <c r="Y25" s="567" t="str">
        <f t="shared" si="4"/>
        <v/>
      </c>
      <c r="Z25" s="567" t="str">
        <f t="shared" si="5"/>
        <v/>
      </c>
      <c r="AA25" s="567" t="str">
        <f t="shared" si="6"/>
        <v/>
      </c>
      <c r="AB25" s="567" t="str">
        <f t="shared" si="7"/>
        <v/>
      </c>
      <c r="AC25" s="567" t="str">
        <f t="shared" si="8"/>
        <v/>
      </c>
      <c r="AD25" s="567" t="str">
        <f t="shared" si="9"/>
        <v/>
      </c>
      <c r="AE25" s="567" t="str">
        <f t="shared" si="10"/>
        <v/>
      </c>
      <c r="AF25" s="567" t="str">
        <f t="shared" si="11"/>
        <v/>
      </c>
      <c r="AG25" s="567" t="str">
        <f t="shared" si="12"/>
        <v/>
      </c>
      <c r="AH25" s="567" t="str">
        <f t="shared" si="13"/>
        <v/>
      </c>
      <c r="AI25" s="567" t="str">
        <f t="shared" si="14"/>
        <v/>
      </c>
      <c r="AJ25" s="567" t="str">
        <f t="shared" si="15"/>
        <v/>
      </c>
      <c r="AK25" s="567" t="str">
        <f t="shared" si="16"/>
        <v/>
      </c>
      <c r="AL25" s="567" t="str">
        <f t="shared" si="17"/>
        <v/>
      </c>
      <c r="AM25" s="567" t="str">
        <f t="shared" si="18"/>
        <v/>
      </c>
      <c r="AN25" s="567" t="str">
        <f t="shared" si="19"/>
        <v/>
      </c>
      <c r="AO25" s="567" t="str">
        <f t="shared" si="20"/>
        <v/>
      </c>
      <c r="AP25" s="567" t="str">
        <f t="shared" si="173"/>
        <v/>
      </c>
      <c r="AQ25" s="567" t="str">
        <f t="shared" si="174"/>
        <v/>
      </c>
      <c r="AR25" s="567" t="str">
        <f t="shared" si="175"/>
        <v/>
      </c>
      <c r="AS25" s="567" t="str">
        <f t="shared" si="176"/>
        <v/>
      </c>
      <c r="AT25" s="567" t="str">
        <f t="shared" si="177"/>
        <v/>
      </c>
      <c r="AU25" s="567" t="str">
        <f t="shared" si="178"/>
        <v/>
      </c>
      <c r="AV25" s="567" t="str">
        <f t="shared" si="179"/>
        <v/>
      </c>
      <c r="AW25" s="567" t="str">
        <f t="shared" si="180"/>
        <v/>
      </c>
      <c r="AX25" s="567" t="str">
        <f t="shared" si="181"/>
        <v/>
      </c>
      <c r="AY25" s="567" t="str">
        <f t="shared" si="182"/>
        <v/>
      </c>
      <c r="AZ25" s="567" t="str">
        <f t="shared" si="183"/>
        <v/>
      </c>
      <c r="BA25" s="567" t="str">
        <f t="shared" si="184"/>
        <v/>
      </c>
      <c r="BB25" s="567" t="str">
        <f t="shared" si="185"/>
        <v/>
      </c>
      <c r="BC25" s="567" t="str">
        <f t="shared" si="186"/>
        <v/>
      </c>
      <c r="BD25" s="567" t="str">
        <f t="shared" si="187"/>
        <v/>
      </c>
      <c r="BE25" s="567" t="str">
        <f t="shared" si="188"/>
        <v/>
      </c>
      <c r="BF25" s="567" t="str">
        <f t="shared" si="189"/>
        <v/>
      </c>
      <c r="BG25" s="567" t="str">
        <f t="shared" si="190"/>
        <v/>
      </c>
      <c r="BH25" s="567" t="str">
        <f t="shared" si="191"/>
        <v/>
      </c>
      <c r="BI25" s="567" t="str">
        <f t="shared" si="192"/>
        <v/>
      </c>
      <c r="BJ25" s="567" t="str">
        <f t="shared" si="193"/>
        <v/>
      </c>
      <c r="BK25" s="567" t="str">
        <f t="shared" si="194"/>
        <v/>
      </c>
      <c r="BL25" s="567" t="str">
        <f t="shared" si="195"/>
        <v/>
      </c>
      <c r="BM25" s="567" t="str">
        <f t="shared" si="196"/>
        <v/>
      </c>
      <c r="BN25" s="567" t="str">
        <f t="shared" si="197"/>
        <v/>
      </c>
      <c r="BO25" s="567" t="str">
        <f t="shared" si="198"/>
        <v/>
      </c>
      <c r="BP25" s="567" t="str">
        <f t="shared" si="199"/>
        <v/>
      </c>
      <c r="BQ25" s="567" t="str">
        <f t="shared" si="200"/>
        <v/>
      </c>
      <c r="BR25" s="567" t="str">
        <f t="shared" si="201"/>
        <v/>
      </c>
      <c r="BS25" s="567" t="str">
        <f t="shared" si="202"/>
        <v/>
      </c>
      <c r="BT25" s="567" t="str">
        <f t="shared" si="21"/>
        <v/>
      </c>
      <c r="BU25" s="567" t="str">
        <f t="shared" si="22"/>
        <v/>
      </c>
      <c r="BV25" s="567" t="str">
        <f t="shared" si="23"/>
        <v/>
      </c>
      <c r="BW25" s="567" t="str">
        <f t="shared" si="24"/>
        <v/>
      </c>
      <c r="BX25" s="567" t="str">
        <f t="shared" si="25"/>
        <v/>
      </c>
      <c r="BY25" s="567" t="str">
        <f t="shared" si="26"/>
        <v/>
      </c>
      <c r="BZ25" s="567" t="str">
        <f t="shared" si="27"/>
        <v/>
      </c>
      <c r="CA25" s="567" t="str">
        <f t="shared" si="28"/>
        <v/>
      </c>
      <c r="CB25" s="567" t="str">
        <f t="shared" si="29"/>
        <v/>
      </c>
      <c r="CC25" s="567" t="str">
        <f t="shared" si="30"/>
        <v/>
      </c>
      <c r="CD25" s="567" t="str">
        <f t="shared" si="31"/>
        <v/>
      </c>
      <c r="CE25" s="567" t="str">
        <f t="shared" si="32"/>
        <v/>
      </c>
      <c r="CF25" s="567" t="str">
        <f t="shared" si="33"/>
        <v/>
      </c>
      <c r="CG25" s="567" t="str">
        <f t="shared" si="34"/>
        <v/>
      </c>
      <c r="CH25" s="567" t="str">
        <f t="shared" si="35"/>
        <v/>
      </c>
      <c r="CI25" s="567" t="str">
        <f t="shared" si="36"/>
        <v/>
      </c>
      <c r="CJ25" s="567" t="str">
        <f t="shared" si="37"/>
        <v/>
      </c>
      <c r="CK25" s="567" t="str">
        <f t="shared" si="38"/>
        <v/>
      </c>
      <c r="CL25" s="567" t="str">
        <f t="shared" si="39"/>
        <v/>
      </c>
      <c r="CM25" s="567" t="str">
        <f t="shared" si="40"/>
        <v/>
      </c>
      <c r="CN25" s="567" t="str">
        <f t="shared" si="41"/>
        <v/>
      </c>
      <c r="CO25" s="567" t="str">
        <f t="shared" si="42"/>
        <v/>
      </c>
      <c r="CP25" s="567" t="str">
        <f t="shared" si="43"/>
        <v/>
      </c>
      <c r="CQ25" s="567" t="str">
        <f t="shared" si="44"/>
        <v/>
      </c>
      <c r="CR25" s="567" t="str">
        <f t="shared" si="45"/>
        <v/>
      </c>
      <c r="CS25" s="567" t="str">
        <f t="shared" si="46"/>
        <v/>
      </c>
      <c r="CT25" s="567" t="str">
        <f t="shared" si="47"/>
        <v/>
      </c>
      <c r="CU25" s="567" t="str">
        <f t="shared" si="48"/>
        <v/>
      </c>
      <c r="CV25" s="567" t="str">
        <f t="shared" si="49"/>
        <v/>
      </c>
      <c r="CW25" s="567" t="str">
        <f t="shared" si="50"/>
        <v/>
      </c>
      <c r="CX25" s="567" t="str">
        <f t="shared" si="51"/>
        <v/>
      </c>
      <c r="CY25" s="567" t="str">
        <f t="shared" si="52"/>
        <v/>
      </c>
      <c r="CZ25" s="567" t="str">
        <f t="shared" si="53"/>
        <v/>
      </c>
      <c r="DA25" s="567" t="str">
        <f t="shared" si="54"/>
        <v/>
      </c>
      <c r="DB25" s="567" t="str">
        <f t="shared" si="55"/>
        <v/>
      </c>
      <c r="DC25" s="567" t="str">
        <f t="shared" si="56"/>
        <v/>
      </c>
      <c r="DD25" s="567" t="str">
        <f t="shared" si="57"/>
        <v/>
      </c>
      <c r="DE25" s="567" t="str">
        <f t="shared" si="58"/>
        <v/>
      </c>
      <c r="DF25" s="567" t="str">
        <f t="shared" si="59"/>
        <v/>
      </c>
      <c r="DG25" s="567" t="str">
        <f t="shared" si="60"/>
        <v/>
      </c>
      <c r="DH25" s="567" t="str">
        <f t="shared" si="61"/>
        <v/>
      </c>
      <c r="DI25" s="567" t="str">
        <f t="shared" si="62"/>
        <v/>
      </c>
      <c r="DJ25" s="567" t="str">
        <f t="shared" si="63"/>
        <v/>
      </c>
      <c r="DK25" s="567" t="str">
        <f t="shared" si="64"/>
        <v/>
      </c>
      <c r="DL25" s="567" t="str">
        <f t="shared" si="65"/>
        <v/>
      </c>
      <c r="DM25" s="567" t="str">
        <f t="shared" si="66"/>
        <v/>
      </c>
      <c r="DN25" s="567" t="str">
        <f t="shared" si="67"/>
        <v/>
      </c>
      <c r="DO25" s="567" t="str">
        <f t="shared" si="68"/>
        <v/>
      </c>
      <c r="DP25" s="567" t="str">
        <f t="shared" si="69"/>
        <v/>
      </c>
      <c r="DQ25" s="567" t="str">
        <f t="shared" si="70"/>
        <v/>
      </c>
      <c r="DR25" s="567" t="str">
        <f t="shared" si="71"/>
        <v/>
      </c>
      <c r="DS25" s="567" t="str">
        <f t="shared" si="72"/>
        <v/>
      </c>
      <c r="DT25" s="567" t="str">
        <f t="shared" si="73"/>
        <v/>
      </c>
      <c r="DU25" s="567" t="str">
        <f t="shared" si="74"/>
        <v/>
      </c>
      <c r="DV25" s="567" t="str">
        <f t="shared" si="75"/>
        <v/>
      </c>
      <c r="DW25" s="567" t="str">
        <f t="shared" si="76"/>
        <v/>
      </c>
      <c r="DX25" s="567" t="str">
        <f t="shared" si="77"/>
        <v/>
      </c>
      <c r="DY25" s="567" t="str">
        <f t="shared" si="78"/>
        <v/>
      </c>
      <c r="DZ25" s="567" t="str">
        <f t="shared" si="79"/>
        <v/>
      </c>
      <c r="EA25" s="567" t="str">
        <f t="shared" si="80"/>
        <v/>
      </c>
      <c r="EB25" s="567" t="str">
        <f t="shared" si="81"/>
        <v/>
      </c>
      <c r="EC25" s="567" t="str">
        <f t="shared" si="82"/>
        <v/>
      </c>
      <c r="ED25" s="567" t="str">
        <f t="shared" si="83"/>
        <v/>
      </c>
      <c r="EE25" s="567" t="str">
        <f t="shared" si="84"/>
        <v/>
      </c>
      <c r="EF25" s="567" t="str">
        <f t="shared" si="85"/>
        <v/>
      </c>
      <c r="EG25" s="567" t="str">
        <f t="shared" si="86"/>
        <v/>
      </c>
      <c r="EH25" s="567" t="str">
        <f t="shared" si="87"/>
        <v/>
      </c>
      <c r="EI25" s="567" t="str">
        <f t="shared" si="88"/>
        <v/>
      </c>
      <c r="EJ25" s="567" t="str">
        <f t="shared" si="89"/>
        <v/>
      </c>
      <c r="EK25" s="567" t="str">
        <f t="shared" si="90"/>
        <v/>
      </c>
      <c r="EL25" s="567" t="str">
        <f t="shared" si="91"/>
        <v/>
      </c>
      <c r="EM25" s="567" t="str">
        <f t="shared" si="92"/>
        <v/>
      </c>
      <c r="EN25" s="567" t="str">
        <f t="shared" si="93"/>
        <v/>
      </c>
      <c r="EO25" s="567" t="str">
        <f t="shared" si="94"/>
        <v/>
      </c>
      <c r="EP25" s="567" t="str">
        <f t="shared" si="95"/>
        <v/>
      </c>
      <c r="EQ25" s="567" t="str">
        <f t="shared" si="96"/>
        <v/>
      </c>
      <c r="ER25" s="567" t="str">
        <f t="shared" si="97"/>
        <v/>
      </c>
      <c r="ES25" s="567" t="str">
        <f t="shared" si="98"/>
        <v/>
      </c>
      <c r="ET25" s="567" t="str">
        <f t="shared" si="99"/>
        <v/>
      </c>
      <c r="EU25" s="567" t="str">
        <f t="shared" si="100"/>
        <v/>
      </c>
      <c r="EV25" s="577" t="str">
        <f t="shared" si="101"/>
        <v/>
      </c>
      <c r="EW25" s="577" t="str">
        <f t="shared" si="102"/>
        <v/>
      </c>
      <c r="EX25" s="577" t="str">
        <f t="shared" si="103"/>
        <v/>
      </c>
      <c r="EY25" s="577" t="str">
        <f t="shared" si="104"/>
        <v/>
      </c>
      <c r="EZ25" s="577" t="str">
        <f t="shared" si="105"/>
        <v/>
      </c>
      <c r="FA25" s="577" t="str">
        <f t="shared" si="106"/>
        <v/>
      </c>
      <c r="FB25" s="577" t="str">
        <f t="shared" si="107"/>
        <v/>
      </c>
      <c r="FC25" s="577" t="str">
        <f t="shared" si="108"/>
        <v/>
      </c>
      <c r="FD25" s="577" t="str">
        <f t="shared" si="109"/>
        <v/>
      </c>
      <c r="FE25" s="577" t="str">
        <f t="shared" si="110"/>
        <v/>
      </c>
      <c r="FF25" s="577" t="str">
        <f t="shared" si="111"/>
        <v/>
      </c>
      <c r="FG25" s="577" t="str">
        <f t="shared" si="112"/>
        <v/>
      </c>
      <c r="FH25" s="577" t="str">
        <f t="shared" si="113"/>
        <v/>
      </c>
      <c r="FI25" s="577" t="str">
        <f t="shared" si="114"/>
        <v/>
      </c>
      <c r="FJ25" s="577" t="str">
        <f t="shared" si="115"/>
        <v/>
      </c>
      <c r="FK25" s="577" t="str">
        <f t="shared" si="116"/>
        <v/>
      </c>
      <c r="FL25" s="577" t="str">
        <f t="shared" si="117"/>
        <v/>
      </c>
      <c r="FM25" s="577" t="str">
        <f t="shared" si="118"/>
        <v/>
      </c>
      <c r="FN25" s="577" t="str">
        <f t="shared" si="119"/>
        <v/>
      </c>
      <c r="FO25" s="577" t="str">
        <f t="shared" si="120"/>
        <v/>
      </c>
      <c r="FP25" s="577" t="str">
        <f t="shared" si="121"/>
        <v/>
      </c>
      <c r="FQ25" s="577" t="str">
        <f t="shared" si="122"/>
        <v/>
      </c>
      <c r="FR25" s="577" t="str">
        <f t="shared" si="123"/>
        <v/>
      </c>
      <c r="FS25" s="577" t="str">
        <f t="shared" si="124"/>
        <v/>
      </c>
      <c r="FT25" s="577" t="str">
        <f t="shared" si="125"/>
        <v/>
      </c>
      <c r="FU25" s="577" t="str">
        <f t="shared" si="126"/>
        <v/>
      </c>
      <c r="FV25" s="577" t="str">
        <f t="shared" si="127"/>
        <v/>
      </c>
      <c r="FW25" s="577" t="str">
        <f t="shared" si="128"/>
        <v/>
      </c>
      <c r="FX25" s="577" t="str">
        <f t="shared" si="129"/>
        <v/>
      </c>
      <c r="FY25" s="577" t="str">
        <f t="shared" si="130"/>
        <v/>
      </c>
      <c r="FZ25" s="577" t="str">
        <f t="shared" si="131"/>
        <v/>
      </c>
      <c r="GA25" s="577" t="str">
        <f t="shared" si="132"/>
        <v/>
      </c>
      <c r="GB25" s="577" t="str">
        <f t="shared" si="133"/>
        <v/>
      </c>
      <c r="GC25" s="577" t="str">
        <f t="shared" si="134"/>
        <v/>
      </c>
      <c r="GD25" s="577" t="str">
        <f t="shared" si="135"/>
        <v/>
      </c>
      <c r="GE25" s="577" t="str">
        <f t="shared" si="136"/>
        <v/>
      </c>
      <c r="GF25" s="577" t="str">
        <f t="shared" si="137"/>
        <v/>
      </c>
      <c r="GG25" s="577" t="str">
        <f t="shared" si="138"/>
        <v/>
      </c>
      <c r="GH25" s="577" t="str">
        <f t="shared" si="139"/>
        <v/>
      </c>
      <c r="GI25" s="577" t="str">
        <f t="shared" si="140"/>
        <v/>
      </c>
      <c r="GJ25" s="577" t="str">
        <f t="shared" si="141"/>
        <v/>
      </c>
      <c r="GK25" s="577" t="str">
        <f t="shared" si="142"/>
        <v/>
      </c>
      <c r="GL25" s="577" t="str">
        <f t="shared" si="143"/>
        <v/>
      </c>
      <c r="GM25" s="577" t="str">
        <f t="shared" si="144"/>
        <v/>
      </c>
      <c r="GN25" s="577" t="str">
        <f t="shared" si="145"/>
        <v/>
      </c>
      <c r="GO25" s="578" t="str">
        <f t="shared" si="146"/>
        <v/>
      </c>
      <c r="GP25" s="578" t="str">
        <f t="shared" si="147"/>
        <v/>
      </c>
      <c r="GQ25" s="578" t="str">
        <f t="shared" si="148"/>
        <v/>
      </c>
      <c r="GR25" s="578" t="str">
        <f t="shared" si="149"/>
        <v/>
      </c>
      <c r="GS25" s="578" t="str">
        <f t="shared" si="150"/>
        <v/>
      </c>
      <c r="GT25" s="567" t="str">
        <f t="shared" si="151"/>
        <v/>
      </c>
      <c r="GU25" s="567" t="str">
        <f t="shared" si="152"/>
        <v/>
      </c>
      <c r="GV25" s="567" t="str">
        <f t="shared" si="153"/>
        <v/>
      </c>
      <c r="GW25" s="567" t="str">
        <f t="shared" si="154"/>
        <v/>
      </c>
      <c r="GX25" s="567" t="str">
        <f t="shared" si="155"/>
        <v/>
      </c>
      <c r="GY25" s="567" t="str">
        <f t="shared" si="156"/>
        <v/>
      </c>
      <c r="GZ25" s="567" t="str">
        <f t="shared" si="157"/>
        <v/>
      </c>
      <c r="HA25" s="567" t="str">
        <f t="shared" si="158"/>
        <v/>
      </c>
      <c r="HB25" s="567" t="str">
        <f t="shared" si="159"/>
        <v/>
      </c>
      <c r="HC25" s="567" t="str">
        <f t="shared" si="160"/>
        <v/>
      </c>
      <c r="HD25" s="567" t="str">
        <f t="shared" si="161"/>
        <v/>
      </c>
      <c r="HE25" s="567" t="str">
        <f t="shared" si="162"/>
        <v/>
      </c>
      <c r="HF25" s="567" t="str">
        <f t="shared" si="163"/>
        <v/>
      </c>
      <c r="HG25" s="567" t="str">
        <f t="shared" si="164"/>
        <v/>
      </c>
      <c r="HH25" s="567" t="str">
        <f t="shared" si="165"/>
        <v/>
      </c>
      <c r="HI25" s="567" t="str">
        <f t="shared" si="166"/>
        <v/>
      </c>
      <c r="HJ25" s="567" t="str">
        <f t="shared" si="167"/>
        <v/>
      </c>
      <c r="HK25" s="567" t="str">
        <f t="shared" si="168"/>
        <v/>
      </c>
      <c r="HL25" s="567" t="str">
        <f t="shared" si="169"/>
        <v/>
      </c>
      <c r="HM25" s="567" t="str">
        <f t="shared" si="170"/>
        <v/>
      </c>
    </row>
    <row r="26" spans="1:221" ht="13.15" customHeight="1">
      <c r="A26" s="126" t="str">
        <f t="shared" si="171"/>
        <v/>
      </c>
      <c r="B26" s="1203" t="s">
        <v>1886</v>
      </c>
      <c r="C26" s="1204"/>
      <c r="D26" s="1205"/>
      <c r="E26" s="1206"/>
      <c r="F26" s="1206"/>
      <c r="G26" s="1206"/>
      <c r="H26" s="1206"/>
      <c r="I26" s="1206"/>
      <c r="J26" s="1207"/>
      <c r="K26" s="198">
        <f t="shared" si="172"/>
        <v>0</v>
      </c>
      <c r="L26" s="198">
        <f t="shared" si="0"/>
        <v>0</v>
      </c>
      <c r="M26" s="1099"/>
      <c r="N26" s="1099"/>
      <c r="O26" s="1099"/>
      <c r="P26" s="518" t="str">
        <f t="shared" si="203"/>
        <v/>
      </c>
      <c r="Q26" s="519" t="str">
        <f>IF(H26="","",P26/($P$6*VLOOKUP(C26,'DCA Underwriting Assumptions'!$J$82:$K$87,2,FALSE)))</f>
        <v/>
      </c>
      <c r="R26" s="607"/>
      <c r="S26" s="519"/>
      <c r="T26" s="1643"/>
      <c r="U26" s="1644"/>
      <c r="V26" s="567" t="str">
        <f t="shared" si="1"/>
        <v/>
      </c>
      <c r="W26" s="567" t="str">
        <f t="shared" si="2"/>
        <v/>
      </c>
      <c r="X26" s="567" t="str">
        <f t="shared" si="3"/>
        <v/>
      </c>
      <c r="Y26" s="567" t="str">
        <f t="shared" si="4"/>
        <v/>
      </c>
      <c r="Z26" s="567" t="str">
        <f t="shared" si="5"/>
        <v/>
      </c>
      <c r="AA26" s="567" t="str">
        <f t="shared" si="6"/>
        <v/>
      </c>
      <c r="AB26" s="567" t="str">
        <f t="shared" si="7"/>
        <v/>
      </c>
      <c r="AC26" s="567" t="str">
        <f t="shared" si="8"/>
        <v/>
      </c>
      <c r="AD26" s="567" t="str">
        <f t="shared" si="9"/>
        <v/>
      </c>
      <c r="AE26" s="567" t="str">
        <f t="shared" si="10"/>
        <v/>
      </c>
      <c r="AF26" s="567" t="str">
        <f t="shared" si="11"/>
        <v/>
      </c>
      <c r="AG26" s="567" t="str">
        <f t="shared" si="12"/>
        <v/>
      </c>
      <c r="AH26" s="567" t="str">
        <f t="shared" si="13"/>
        <v/>
      </c>
      <c r="AI26" s="567" t="str">
        <f t="shared" si="14"/>
        <v/>
      </c>
      <c r="AJ26" s="567" t="str">
        <f t="shared" si="15"/>
        <v/>
      </c>
      <c r="AK26" s="567" t="str">
        <f t="shared" si="16"/>
        <v/>
      </c>
      <c r="AL26" s="567" t="str">
        <f t="shared" si="17"/>
        <v/>
      </c>
      <c r="AM26" s="567" t="str">
        <f t="shared" si="18"/>
        <v/>
      </c>
      <c r="AN26" s="567" t="str">
        <f t="shared" si="19"/>
        <v/>
      </c>
      <c r="AO26" s="567" t="str">
        <f t="shared" si="20"/>
        <v/>
      </c>
      <c r="AP26" s="567" t="str">
        <f t="shared" si="173"/>
        <v/>
      </c>
      <c r="AQ26" s="567" t="str">
        <f t="shared" si="174"/>
        <v/>
      </c>
      <c r="AR26" s="567" t="str">
        <f t="shared" si="175"/>
        <v/>
      </c>
      <c r="AS26" s="567" t="str">
        <f t="shared" si="176"/>
        <v/>
      </c>
      <c r="AT26" s="567" t="str">
        <f t="shared" si="177"/>
        <v/>
      </c>
      <c r="AU26" s="567" t="str">
        <f t="shared" si="178"/>
        <v/>
      </c>
      <c r="AV26" s="567" t="str">
        <f t="shared" si="179"/>
        <v/>
      </c>
      <c r="AW26" s="567" t="str">
        <f t="shared" si="180"/>
        <v/>
      </c>
      <c r="AX26" s="567" t="str">
        <f t="shared" si="181"/>
        <v/>
      </c>
      <c r="AY26" s="567" t="str">
        <f t="shared" si="182"/>
        <v/>
      </c>
      <c r="AZ26" s="567" t="str">
        <f t="shared" si="183"/>
        <v/>
      </c>
      <c r="BA26" s="567" t="str">
        <f t="shared" si="184"/>
        <v/>
      </c>
      <c r="BB26" s="567" t="str">
        <f t="shared" si="185"/>
        <v/>
      </c>
      <c r="BC26" s="567" t="str">
        <f t="shared" si="186"/>
        <v/>
      </c>
      <c r="BD26" s="567" t="str">
        <f t="shared" si="187"/>
        <v/>
      </c>
      <c r="BE26" s="567" t="str">
        <f t="shared" si="188"/>
        <v/>
      </c>
      <c r="BF26" s="567" t="str">
        <f t="shared" si="189"/>
        <v/>
      </c>
      <c r="BG26" s="567" t="str">
        <f t="shared" si="190"/>
        <v/>
      </c>
      <c r="BH26" s="567" t="str">
        <f t="shared" si="191"/>
        <v/>
      </c>
      <c r="BI26" s="567" t="str">
        <f t="shared" si="192"/>
        <v/>
      </c>
      <c r="BJ26" s="567" t="str">
        <f t="shared" si="193"/>
        <v/>
      </c>
      <c r="BK26" s="567" t="str">
        <f t="shared" si="194"/>
        <v/>
      </c>
      <c r="BL26" s="567" t="str">
        <f t="shared" si="195"/>
        <v/>
      </c>
      <c r="BM26" s="567" t="str">
        <f t="shared" si="196"/>
        <v/>
      </c>
      <c r="BN26" s="567" t="str">
        <f t="shared" si="197"/>
        <v/>
      </c>
      <c r="BO26" s="567" t="str">
        <f t="shared" si="198"/>
        <v/>
      </c>
      <c r="BP26" s="567" t="str">
        <f t="shared" si="199"/>
        <v/>
      </c>
      <c r="BQ26" s="567" t="str">
        <f t="shared" si="200"/>
        <v/>
      </c>
      <c r="BR26" s="567" t="str">
        <f t="shared" si="201"/>
        <v/>
      </c>
      <c r="BS26" s="567" t="str">
        <f t="shared" si="202"/>
        <v/>
      </c>
      <c r="BT26" s="567" t="str">
        <f t="shared" si="21"/>
        <v/>
      </c>
      <c r="BU26" s="567" t="str">
        <f t="shared" si="22"/>
        <v/>
      </c>
      <c r="BV26" s="567" t="str">
        <f t="shared" si="23"/>
        <v/>
      </c>
      <c r="BW26" s="567" t="str">
        <f t="shared" si="24"/>
        <v/>
      </c>
      <c r="BX26" s="567" t="str">
        <f t="shared" si="25"/>
        <v/>
      </c>
      <c r="BY26" s="567" t="str">
        <f t="shared" si="26"/>
        <v/>
      </c>
      <c r="BZ26" s="567" t="str">
        <f t="shared" si="27"/>
        <v/>
      </c>
      <c r="CA26" s="567" t="str">
        <f t="shared" si="28"/>
        <v/>
      </c>
      <c r="CB26" s="567" t="str">
        <f t="shared" si="29"/>
        <v/>
      </c>
      <c r="CC26" s="567" t="str">
        <f t="shared" si="30"/>
        <v/>
      </c>
      <c r="CD26" s="567" t="str">
        <f t="shared" si="31"/>
        <v/>
      </c>
      <c r="CE26" s="567" t="str">
        <f t="shared" si="32"/>
        <v/>
      </c>
      <c r="CF26" s="567" t="str">
        <f t="shared" si="33"/>
        <v/>
      </c>
      <c r="CG26" s="567" t="str">
        <f t="shared" si="34"/>
        <v/>
      </c>
      <c r="CH26" s="567" t="str">
        <f t="shared" si="35"/>
        <v/>
      </c>
      <c r="CI26" s="567" t="str">
        <f t="shared" si="36"/>
        <v/>
      </c>
      <c r="CJ26" s="567" t="str">
        <f t="shared" si="37"/>
        <v/>
      </c>
      <c r="CK26" s="567" t="str">
        <f t="shared" si="38"/>
        <v/>
      </c>
      <c r="CL26" s="567" t="str">
        <f t="shared" si="39"/>
        <v/>
      </c>
      <c r="CM26" s="567" t="str">
        <f t="shared" si="40"/>
        <v/>
      </c>
      <c r="CN26" s="567" t="str">
        <f t="shared" si="41"/>
        <v/>
      </c>
      <c r="CO26" s="567" t="str">
        <f t="shared" si="42"/>
        <v/>
      </c>
      <c r="CP26" s="567" t="str">
        <f t="shared" si="43"/>
        <v/>
      </c>
      <c r="CQ26" s="567" t="str">
        <f t="shared" si="44"/>
        <v/>
      </c>
      <c r="CR26" s="567" t="str">
        <f t="shared" si="45"/>
        <v/>
      </c>
      <c r="CS26" s="567" t="str">
        <f t="shared" si="46"/>
        <v/>
      </c>
      <c r="CT26" s="567" t="str">
        <f t="shared" si="47"/>
        <v/>
      </c>
      <c r="CU26" s="567" t="str">
        <f t="shared" si="48"/>
        <v/>
      </c>
      <c r="CV26" s="567" t="str">
        <f t="shared" si="49"/>
        <v/>
      </c>
      <c r="CW26" s="567" t="str">
        <f t="shared" si="50"/>
        <v/>
      </c>
      <c r="CX26" s="567" t="str">
        <f t="shared" si="51"/>
        <v/>
      </c>
      <c r="CY26" s="567" t="str">
        <f t="shared" si="52"/>
        <v/>
      </c>
      <c r="CZ26" s="567" t="str">
        <f t="shared" si="53"/>
        <v/>
      </c>
      <c r="DA26" s="567" t="str">
        <f t="shared" si="54"/>
        <v/>
      </c>
      <c r="DB26" s="567" t="str">
        <f t="shared" si="55"/>
        <v/>
      </c>
      <c r="DC26" s="567" t="str">
        <f t="shared" si="56"/>
        <v/>
      </c>
      <c r="DD26" s="567" t="str">
        <f t="shared" si="57"/>
        <v/>
      </c>
      <c r="DE26" s="567" t="str">
        <f t="shared" si="58"/>
        <v/>
      </c>
      <c r="DF26" s="567" t="str">
        <f t="shared" si="59"/>
        <v/>
      </c>
      <c r="DG26" s="567" t="str">
        <f t="shared" si="60"/>
        <v/>
      </c>
      <c r="DH26" s="567" t="str">
        <f t="shared" si="61"/>
        <v/>
      </c>
      <c r="DI26" s="567" t="str">
        <f t="shared" si="62"/>
        <v/>
      </c>
      <c r="DJ26" s="567" t="str">
        <f t="shared" si="63"/>
        <v/>
      </c>
      <c r="DK26" s="567" t="str">
        <f t="shared" si="64"/>
        <v/>
      </c>
      <c r="DL26" s="567" t="str">
        <f t="shared" si="65"/>
        <v/>
      </c>
      <c r="DM26" s="567" t="str">
        <f t="shared" si="66"/>
        <v/>
      </c>
      <c r="DN26" s="567" t="str">
        <f t="shared" si="67"/>
        <v/>
      </c>
      <c r="DO26" s="567" t="str">
        <f t="shared" si="68"/>
        <v/>
      </c>
      <c r="DP26" s="567" t="str">
        <f t="shared" si="69"/>
        <v/>
      </c>
      <c r="DQ26" s="567" t="str">
        <f t="shared" si="70"/>
        <v/>
      </c>
      <c r="DR26" s="567" t="str">
        <f t="shared" si="71"/>
        <v/>
      </c>
      <c r="DS26" s="567" t="str">
        <f t="shared" si="72"/>
        <v/>
      </c>
      <c r="DT26" s="567" t="str">
        <f t="shared" si="73"/>
        <v/>
      </c>
      <c r="DU26" s="567" t="str">
        <f t="shared" si="74"/>
        <v/>
      </c>
      <c r="DV26" s="567" t="str">
        <f t="shared" si="75"/>
        <v/>
      </c>
      <c r="DW26" s="567" t="str">
        <f t="shared" si="76"/>
        <v/>
      </c>
      <c r="DX26" s="567" t="str">
        <f t="shared" si="77"/>
        <v/>
      </c>
      <c r="DY26" s="567" t="str">
        <f t="shared" si="78"/>
        <v/>
      </c>
      <c r="DZ26" s="567" t="str">
        <f t="shared" si="79"/>
        <v/>
      </c>
      <c r="EA26" s="567" t="str">
        <f t="shared" si="80"/>
        <v/>
      </c>
      <c r="EB26" s="567" t="str">
        <f t="shared" si="81"/>
        <v/>
      </c>
      <c r="EC26" s="567" t="str">
        <f t="shared" si="82"/>
        <v/>
      </c>
      <c r="ED26" s="567" t="str">
        <f t="shared" si="83"/>
        <v/>
      </c>
      <c r="EE26" s="567" t="str">
        <f t="shared" si="84"/>
        <v/>
      </c>
      <c r="EF26" s="567" t="str">
        <f t="shared" si="85"/>
        <v/>
      </c>
      <c r="EG26" s="567" t="str">
        <f t="shared" si="86"/>
        <v/>
      </c>
      <c r="EH26" s="567" t="str">
        <f t="shared" si="87"/>
        <v/>
      </c>
      <c r="EI26" s="567" t="str">
        <f t="shared" si="88"/>
        <v/>
      </c>
      <c r="EJ26" s="567" t="str">
        <f t="shared" si="89"/>
        <v/>
      </c>
      <c r="EK26" s="567" t="str">
        <f t="shared" si="90"/>
        <v/>
      </c>
      <c r="EL26" s="567" t="str">
        <f t="shared" si="91"/>
        <v/>
      </c>
      <c r="EM26" s="567" t="str">
        <f t="shared" si="92"/>
        <v/>
      </c>
      <c r="EN26" s="567" t="str">
        <f t="shared" si="93"/>
        <v/>
      </c>
      <c r="EO26" s="567" t="str">
        <f t="shared" si="94"/>
        <v/>
      </c>
      <c r="EP26" s="567" t="str">
        <f t="shared" si="95"/>
        <v/>
      </c>
      <c r="EQ26" s="567" t="str">
        <f t="shared" si="96"/>
        <v/>
      </c>
      <c r="ER26" s="567" t="str">
        <f t="shared" si="97"/>
        <v/>
      </c>
      <c r="ES26" s="567" t="str">
        <f t="shared" si="98"/>
        <v/>
      </c>
      <c r="ET26" s="567" t="str">
        <f t="shared" si="99"/>
        <v/>
      </c>
      <c r="EU26" s="567" t="str">
        <f t="shared" si="100"/>
        <v/>
      </c>
      <c r="EV26" s="577" t="str">
        <f t="shared" si="101"/>
        <v/>
      </c>
      <c r="EW26" s="577" t="str">
        <f t="shared" si="102"/>
        <v/>
      </c>
      <c r="EX26" s="577" t="str">
        <f t="shared" si="103"/>
        <v/>
      </c>
      <c r="EY26" s="577" t="str">
        <f t="shared" si="104"/>
        <v/>
      </c>
      <c r="EZ26" s="577" t="str">
        <f t="shared" si="105"/>
        <v/>
      </c>
      <c r="FA26" s="577" t="str">
        <f t="shared" si="106"/>
        <v/>
      </c>
      <c r="FB26" s="577" t="str">
        <f t="shared" si="107"/>
        <v/>
      </c>
      <c r="FC26" s="577" t="str">
        <f t="shared" si="108"/>
        <v/>
      </c>
      <c r="FD26" s="577" t="str">
        <f t="shared" si="109"/>
        <v/>
      </c>
      <c r="FE26" s="577" t="str">
        <f t="shared" si="110"/>
        <v/>
      </c>
      <c r="FF26" s="577" t="str">
        <f t="shared" si="111"/>
        <v/>
      </c>
      <c r="FG26" s="577" t="str">
        <f t="shared" si="112"/>
        <v/>
      </c>
      <c r="FH26" s="577" t="str">
        <f t="shared" si="113"/>
        <v/>
      </c>
      <c r="FI26" s="577" t="str">
        <f t="shared" si="114"/>
        <v/>
      </c>
      <c r="FJ26" s="577" t="str">
        <f t="shared" si="115"/>
        <v/>
      </c>
      <c r="FK26" s="577" t="str">
        <f t="shared" si="116"/>
        <v/>
      </c>
      <c r="FL26" s="577" t="str">
        <f t="shared" si="117"/>
        <v/>
      </c>
      <c r="FM26" s="577" t="str">
        <f t="shared" si="118"/>
        <v/>
      </c>
      <c r="FN26" s="577" t="str">
        <f t="shared" si="119"/>
        <v/>
      </c>
      <c r="FO26" s="577" t="str">
        <f t="shared" si="120"/>
        <v/>
      </c>
      <c r="FP26" s="577" t="str">
        <f t="shared" si="121"/>
        <v/>
      </c>
      <c r="FQ26" s="577" t="str">
        <f t="shared" si="122"/>
        <v/>
      </c>
      <c r="FR26" s="577" t="str">
        <f t="shared" si="123"/>
        <v/>
      </c>
      <c r="FS26" s="577" t="str">
        <f t="shared" si="124"/>
        <v/>
      </c>
      <c r="FT26" s="577" t="str">
        <f t="shared" si="125"/>
        <v/>
      </c>
      <c r="FU26" s="577" t="str">
        <f t="shared" si="126"/>
        <v/>
      </c>
      <c r="FV26" s="577" t="str">
        <f t="shared" si="127"/>
        <v/>
      </c>
      <c r="FW26" s="577" t="str">
        <f t="shared" si="128"/>
        <v/>
      </c>
      <c r="FX26" s="577" t="str">
        <f t="shared" si="129"/>
        <v/>
      </c>
      <c r="FY26" s="577" t="str">
        <f t="shared" si="130"/>
        <v/>
      </c>
      <c r="FZ26" s="577" t="str">
        <f t="shared" si="131"/>
        <v/>
      </c>
      <c r="GA26" s="577" t="str">
        <f t="shared" si="132"/>
        <v/>
      </c>
      <c r="GB26" s="577" t="str">
        <f t="shared" si="133"/>
        <v/>
      </c>
      <c r="GC26" s="577" t="str">
        <f t="shared" si="134"/>
        <v/>
      </c>
      <c r="GD26" s="577" t="str">
        <f t="shared" si="135"/>
        <v/>
      </c>
      <c r="GE26" s="577" t="str">
        <f t="shared" si="136"/>
        <v/>
      </c>
      <c r="GF26" s="577" t="str">
        <f t="shared" si="137"/>
        <v/>
      </c>
      <c r="GG26" s="577" t="str">
        <f t="shared" si="138"/>
        <v/>
      </c>
      <c r="GH26" s="577" t="str">
        <f t="shared" si="139"/>
        <v/>
      </c>
      <c r="GI26" s="577" t="str">
        <f t="shared" si="140"/>
        <v/>
      </c>
      <c r="GJ26" s="577" t="str">
        <f t="shared" si="141"/>
        <v/>
      </c>
      <c r="GK26" s="577" t="str">
        <f t="shared" si="142"/>
        <v/>
      </c>
      <c r="GL26" s="577" t="str">
        <f t="shared" si="143"/>
        <v/>
      </c>
      <c r="GM26" s="577" t="str">
        <f t="shared" si="144"/>
        <v/>
      </c>
      <c r="GN26" s="577" t="str">
        <f t="shared" si="145"/>
        <v/>
      </c>
      <c r="GO26" s="578" t="str">
        <f t="shared" si="146"/>
        <v/>
      </c>
      <c r="GP26" s="578" t="str">
        <f t="shared" si="147"/>
        <v/>
      </c>
      <c r="GQ26" s="578" t="str">
        <f t="shared" si="148"/>
        <v/>
      </c>
      <c r="GR26" s="578" t="str">
        <f t="shared" si="149"/>
        <v/>
      </c>
      <c r="GS26" s="578" t="str">
        <f t="shared" si="150"/>
        <v/>
      </c>
      <c r="GT26" s="567" t="str">
        <f t="shared" si="151"/>
        <v/>
      </c>
      <c r="GU26" s="567" t="str">
        <f t="shared" si="152"/>
        <v/>
      </c>
      <c r="GV26" s="567" t="str">
        <f t="shared" si="153"/>
        <v/>
      </c>
      <c r="GW26" s="567" t="str">
        <f t="shared" si="154"/>
        <v/>
      </c>
      <c r="GX26" s="567" t="str">
        <f t="shared" si="155"/>
        <v/>
      </c>
      <c r="GY26" s="567" t="str">
        <f t="shared" si="156"/>
        <v/>
      </c>
      <c r="GZ26" s="567" t="str">
        <f t="shared" si="157"/>
        <v/>
      </c>
      <c r="HA26" s="567" t="str">
        <f t="shared" si="158"/>
        <v/>
      </c>
      <c r="HB26" s="567" t="str">
        <f t="shared" si="159"/>
        <v/>
      </c>
      <c r="HC26" s="567" t="str">
        <f t="shared" si="160"/>
        <v/>
      </c>
      <c r="HD26" s="567" t="str">
        <f t="shared" si="161"/>
        <v/>
      </c>
      <c r="HE26" s="567" t="str">
        <f t="shared" si="162"/>
        <v/>
      </c>
      <c r="HF26" s="567" t="str">
        <f t="shared" si="163"/>
        <v/>
      </c>
      <c r="HG26" s="567" t="str">
        <f t="shared" si="164"/>
        <v/>
      </c>
      <c r="HH26" s="567" t="str">
        <f t="shared" si="165"/>
        <v/>
      </c>
      <c r="HI26" s="567" t="str">
        <f t="shared" si="166"/>
        <v/>
      </c>
      <c r="HJ26" s="567" t="str">
        <f t="shared" si="167"/>
        <v/>
      </c>
      <c r="HK26" s="567" t="str">
        <f t="shared" si="168"/>
        <v/>
      </c>
      <c r="HL26" s="567" t="str">
        <f t="shared" si="169"/>
        <v/>
      </c>
      <c r="HM26" s="567" t="str">
        <f t="shared" si="170"/>
        <v/>
      </c>
    </row>
    <row r="27" spans="1:221" ht="13.15" customHeight="1">
      <c r="A27" s="126" t="str">
        <f t="shared" si="171"/>
        <v/>
      </c>
      <c r="B27" s="1203" t="s">
        <v>1886</v>
      </c>
      <c r="C27" s="1204"/>
      <c r="D27" s="1205"/>
      <c r="E27" s="1206"/>
      <c r="F27" s="1206"/>
      <c r="G27" s="1206"/>
      <c r="H27" s="1206"/>
      <c r="I27" s="1206"/>
      <c r="J27" s="1207"/>
      <c r="K27" s="198">
        <f t="shared" si="172"/>
        <v>0</v>
      </c>
      <c r="L27" s="198">
        <f t="shared" si="0"/>
        <v>0</v>
      </c>
      <c r="M27" s="1099"/>
      <c r="N27" s="1099"/>
      <c r="O27" s="1099"/>
      <c r="P27" s="518" t="str">
        <f t="shared" si="203"/>
        <v/>
      </c>
      <c r="Q27" s="519" t="str">
        <f>IF(H27="","",P27/($P$6*VLOOKUP(C27,'DCA Underwriting Assumptions'!$J$82:$K$87,2,FALSE)))</f>
        <v/>
      </c>
      <c r="R27" s="607"/>
      <c r="S27" s="519"/>
      <c r="T27" s="1643"/>
      <c r="U27" s="1644"/>
      <c r="V27" s="567" t="str">
        <f t="shared" si="1"/>
        <v/>
      </c>
      <c r="W27" s="567" t="str">
        <f t="shared" si="2"/>
        <v/>
      </c>
      <c r="X27" s="567" t="str">
        <f t="shared" si="3"/>
        <v/>
      </c>
      <c r="Y27" s="567" t="str">
        <f t="shared" si="4"/>
        <v/>
      </c>
      <c r="Z27" s="567" t="str">
        <f t="shared" si="5"/>
        <v/>
      </c>
      <c r="AA27" s="567" t="str">
        <f t="shared" si="6"/>
        <v/>
      </c>
      <c r="AB27" s="567" t="str">
        <f t="shared" si="7"/>
        <v/>
      </c>
      <c r="AC27" s="567" t="str">
        <f t="shared" si="8"/>
        <v/>
      </c>
      <c r="AD27" s="567" t="str">
        <f t="shared" si="9"/>
        <v/>
      </c>
      <c r="AE27" s="567" t="str">
        <f t="shared" si="10"/>
        <v/>
      </c>
      <c r="AF27" s="567" t="str">
        <f t="shared" si="11"/>
        <v/>
      </c>
      <c r="AG27" s="567" t="str">
        <f t="shared" si="12"/>
        <v/>
      </c>
      <c r="AH27" s="567" t="str">
        <f t="shared" si="13"/>
        <v/>
      </c>
      <c r="AI27" s="567" t="str">
        <f t="shared" si="14"/>
        <v/>
      </c>
      <c r="AJ27" s="567" t="str">
        <f t="shared" si="15"/>
        <v/>
      </c>
      <c r="AK27" s="567" t="str">
        <f t="shared" si="16"/>
        <v/>
      </c>
      <c r="AL27" s="567" t="str">
        <f t="shared" si="17"/>
        <v/>
      </c>
      <c r="AM27" s="567" t="str">
        <f t="shared" si="18"/>
        <v/>
      </c>
      <c r="AN27" s="567" t="str">
        <f t="shared" si="19"/>
        <v/>
      </c>
      <c r="AO27" s="567" t="str">
        <f t="shared" si="20"/>
        <v/>
      </c>
      <c r="AP27" s="567" t="str">
        <f t="shared" si="173"/>
        <v/>
      </c>
      <c r="AQ27" s="567" t="str">
        <f t="shared" si="174"/>
        <v/>
      </c>
      <c r="AR27" s="567" t="str">
        <f t="shared" si="175"/>
        <v/>
      </c>
      <c r="AS27" s="567" t="str">
        <f t="shared" si="176"/>
        <v/>
      </c>
      <c r="AT27" s="567" t="str">
        <f t="shared" si="177"/>
        <v/>
      </c>
      <c r="AU27" s="567" t="str">
        <f t="shared" si="178"/>
        <v/>
      </c>
      <c r="AV27" s="567" t="str">
        <f t="shared" si="179"/>
        <v/>
      </c>
      <c r="AW27" s="567" t="str">
        <f t="shared" si="180"/>
        <v/>
      </c>
      <c r="AX27" s="567" t="str">
        <f t="shared" si="181"/>
        <v/>
      </c>
      <c r="AY27" s="567" t="str">
        <f t="shared" si="182"/>
        <v/>
      </c>
      <c r="AZ27" s="567" t="str">
        <f t="shared" si="183"/>
        <v/>
      </c>
      <c r="BA27" s="567" t="str">
        <f t="shared" si="184"/>
        <v/>
      </c>
      <c r="BB27" s="567" t="str">
        <f t="shared" si="185"/>
        <v/>
      </c>
      <c r="BC27" s="567" t="str">
        <f t="shared" si="186"/>
        <v/>
      </c>
      <c r="BD27" s="567" t="str">
        <f t="shared" si="187"/>
        <v/>
      </c>
      <c r="BE27" s="567" t="str">
        <f t="shared" si="188"/>
        <v/>
      </c>
      <c r="BF27" s="567" t="str">
        <f t="shared" si="189"/>
        <v/>
      </c>
      <c r="BG27" s="567" t="str">
        <f t="shared" si="190"/>
        <v/>
      </c>
      <c r="BH27" s="567" t="str">
        <f t="shared" si="191"/>
        <v/>
      </c>
      <c r="BI27" s="567" t="str">
        <f t="shared" si="192"/>
        <v/>
      </c>
      <c r="BJ27" s="567" t="str">
        <f t="shared" si="193"/>
        <v/>
      </c>
      <c r="BK27" s="567" t="str">
        <f t="shared" si="194"/>
        <v/>
      </c>
      <c r="BL27" s="567" t="str">
        <f t="shared" si="195"/>
        <v/>
      </c>
      <c r="BM27" s="567" t="str">
        <f t="shared" si="196"/>
        <v/>
      </c>
      <c r="BN27" s="567" t="str">
        <f t="shared" si="197"/>
        <v/>
      </c>
      <c r="BO27" s="567" t="str">
        <f t="shared" si="198"/>
        <v/>
      </c>
      <c r="BP27" s="567" t="str">
        <f t="shared" si="199"/>
        <v/>
      </c>
      <c r="BQ27" s="567" t="str">
        <f t="shared" si="200"/>
        <v/>
      </c>
      <c r="BR27" s="567" t="str">
        <f t="shared" si="201"/>
        <v/>
      </c>
      <c r="BS27" s="567" t="str">
        <f t="shared" si="202"/>
        <v/>
      </c>
      <c r="BT27" s="567" t="str">
        <f t="shared" si="21"/>
        <v/>
      </c>
      <c r="BU27" s="567" t="str">
        <f t="shared" si="22"/>
        <v/>
      </c>
      <c r="BV27" s="567" t="str">
        <f t="shared" si="23"/>
        <v/>
      </c>
      <c r="BW27" s="567" t="str">
        <f t="shared" si="24"/>
        <v/>
      </c>
      <c r="BX27" s="567" t="str">
        <f t="shared" si="25"/>
        <v/>
      </c>
      <c r="BY27" s="567" t="str">
        <f t="shared" si="26"/>
        <v/>
      </c>
      <c r="BZ27" s="567" t="str">
        <f t="shared" si="27"/>
        <v/>
      </c>
      <c r="CA27" s="567" t="str">
        <f t="shared" si="28"/>
        <v/>
      </c>
      <c r="CB27" s="567" t="str">
        <f t="shared" si="29"/>
        <v/>
      </c>
      <c r="CC27" s="567" t="str">
        <f t="shared" si="30"/>
        <v/>
      </c>
      <c r="CD27" s="567" t="str">
        <f t="shared" si="31"/>
        <v/>
      </c>
      <c r="CE27" s="567" t="str">
        <f t="shared" si="32"/>
        <v/>
      </c>
      <c r="CF27" s="567" t="str">
        <f t="shared" si="33"/>
        <v/>
      </c>
      <c r="CG27" s="567" t="str">
        <f t="shared" si="34"/>
        <v/>
      </c>
      <c r="CH27" s="567" t="str">
        <f t="shared" si="35"/>
        <v/>
      </c>
      <c r="CI27" s="567" t="str">
        <f t="shared" si="36"/>
        <v/>
      </c>
      <c r="CJ27" s="567" t="str">
        <f t="shared" si="37"/>
        <v/>
      </c>
      <c r="CK27" s="567" t="str">
        <f t="shared" si="38"/>
        <v/>
      </c>
      <c r="CL27" s="567" t="str">
        <f t="shared" si="39"/>
        <v/>
      </c>
      <c r="CM27" s="567" t="str">
        <f t="shared" si="40"/>
        <v/>
      </c>
      <c r="CN27" s="567" t="str">
        <f t="shared" si="41"/>
        <v/>
      </c>
      <c r="CO27" s="567" t="str">
        <f t="shared" si="42"/>
        <v/>
      </c>
      <c r="CP27" s="567" t="str">
        <f t="shared" si="43"/>
        <v/>
      </c>
      <c r="CQ27" s="567" t="str">
        <f t="shared" si="44"/>
        <v/>
      </c>
      <c r="CR27" s="567" t="str">
        <f t="shared" si="45"/>
        <v/>
      </c>
      <c r="CS27" s="567" t="str">
        <f t="shared" si="46"/>
        <v/>
      </c>
      <c r="CT27" s="567" t="str">
        <f t="shared" si="47"/>
        <v/>
      </c>
      <c r="CU27" s="567" t="str">
        <f t="shared" si="48"/>
        <v/>
      </c>
      <c r="CV27" s="567" t="str">
        <f t="shared" si="49"/>
        <v/>
      </c>
      <c r="CW27" s="567" t="str">
        <f t="shared" si="50"/>
        <v/>
      </c>
      <c r="CX27" s="567" t="str">
        <f t="shared" si="51"/>
        <v/>
      </c>
      <c r="CY27" s="567" t="str">
        <f t="shared" si="52"/>
        <v/>
      </c>
      <c r="CZ27" s="567" t="str">
        <f t="shared" si="53"/>
        <v/>
      </c>
      <c r="DA27" s="567" t="str">
        <f t="shared" si="54"/>
        <v/>
      </c>
      <c r="DB27" s="567" t="str">
        <f t="shared" si="55"/>
        <v/>
      </c>
      <c r="DC27" s="567" t="str">
        <f t="shared" si="56"/>
        <v/>
      </c>
      <c r="DD27" s="567" t="str">
        <f t="shared" si="57"/>
        <v/>
      </c>
      <c r="DE27" s="567" t="str">
        <f t="shared" si="58"/>
        <v/>
      </c>
      <c r="DF27" s="567" t="str">
        <f t="shared" si="59"/>
        <v/>
      </c>
      <c r="DG27" s="567" t="str">
        <f t="shared" si="60"/>
        <v/>
      </c>
      <c r="DH27" s="567" t="str">
        <f t="shared" si="61"/>
        <v/>
      </c>
      <c r="DI27" s="567" t="str">
        <f t="shared" si="62"/>
        <v/>
      </c>
      <c r="DJ27" s="567" t="str">
        <f t="shared" si="63"/>
        <v/>
      </c>
      <c r="DK27" s="567" t="str">
        <f t="shared" si="64"/>
        <v/>
      </c>
      <c r="DL27" s="567" t="str">
        <f t="shared" si="65"/>
        <v/>
      </c>
      <c r="DM27" s="567" t="str">
        <f t="shared" si="66"/>
        <v/>
      </c>
      <c r="DN27" s="567" t="str">
        <f t="shared" si="67"/>
        <v/>
      </c>
      <c r="DO27" s="567" t="str">
        <f t="shared" si="68"/>
        <v/>
      </c>
      <c r="DP27" s="567" t="str">
        <f t="shared" si="69"/>
        <v/>
      </c>
      <c r="DQ27" s="567" t="str">
        <f t="shared" si="70"/>
        <v/>
      </c>
      <c r="DR27" s="567" t="str">
        <f t="shared" si="71"/>
        <v/>
      </c>
      <c r="DS27" s="567" t="str">
        <f t="shared" si="72"/>
        <v/>
      </c>
      <c r="DT27" s="567" t="str">
        <f t="shared" si="73"/>
        <v/>
      </c>
      <c r="DU27" s="567" t="str">
        <f t="shared" si="74"/>
        <v/>
      </c>
      <c r="DV27" s="567" t="str">
        <f t="shared" si="75"/>
        <v/>
      </c>
      <c r="DW27" s="567" t="str">
        <f t="shared" si="76"/>
        <v/>
      </c>
      <c r="DX27" s="567" t="str">
        <f t="shared" si="77"/>
        <v/>
      </c>
      <c r="DY27" s="567" t="str">
        <f t="shared" si="78"/>
        <v/>
      </c>
      <c r="DZ27" s="567" t="str">
        <f t="shared" si="79"/>
        <v/>
      </c>
      <c r="EA27" s="567" t="str">
        <f t="shared" si="80"/>
        <v/>
      </c>
      <c r="EB27" s="567" t="str">
        <f t="shared" si="81"/>
        <v/>
      </c>
      <c r="EC27" s="567" t="str">
        <f t="shared" si="82"/>
        <v/>
      </c>
      <c r="ED27" s="567" t="str">
        <f t="shared" si="83"/>
        <v/>
      </c>
      <c r="EE27" s="567" t="str">
        <f t="shared" si="84"/>
        <v/>
      </c>
      <c r="EF27" s="567" t="str">
        <f t="shared" si="85"/>
        <v/>
      </c>
      <c r="EG27" s="567" t="str">
        <f t="shared" si="86"/>
        <v/>
      </c>
      <c r="EH27" s="567" t="str">
        <f t="shared" si="87"/>
        <v/>
      </c>
      <c r="EI27" s="567" t="str">
        <f t="shared" si="88"/>
        <v/>
      </c>
      <c r="EJ27" s="567" t="str">
        <f t="shared" si="89"/>
        <v/>
      </c>
      <c r="EK27" s="567" t="str">
        <f t="shared" si="90"/>
        <v/>
      </c>
      <c r="EL27" s="567" t="str">
        <f t="shared" si="91"/>
        <v/>
      </c>
      <c r="EM27" s="567" t="str">
        <f t="shared" si="92"/>
        <v/>
      </c>
      <c r="EN27" s="567" t="str">
        <f t="shared" si="93"/>
        <v/>
      </c>
      <c r="EO27" s="567" t="str">
        <f t="shared" si="94"/>
        <v/>
      </c>
      <c r="EP27" s="567" t="str">
        <f t="shared" si="95"/>
        <v/>
      </c>
      <c r="EQ27" s="567" t="str">
        <f t="shared" si="96"/>
        <v/>
      </c>
      <c r="ER27" s="567" t="str">
        <f t="shared" si="97"/>
        <v/>
      </c>
      <c r="ES27" s="567" t="str">
        <f t="shared" si="98"/>
        <v/>
      </c>
      <c r="ET27" s="567" t="str">
        <f t="shared" si="99"/>
        <v/>
      </c>
      <c r="EU27" s="567" t="str">
        <f t="shared" si="100"/>
        <v/>
      </c>
      <c r="EV27" s="577" t="str">
        <f t="shared" si="101"/>
        <v/>
      </c>
      <c r="EW27" s="577" t="str">
        <f t="shared" si="102"/>
        <v/>
      </c>
      <c r="EX27" s="577" t="str">
        <f t="shared" si="103"/>
        <v/>
      </c>
      <c r="EY27" s="577" t="str">
        <f t="shared" si="104"/>
        <v/>
      </c>
      <c r="EZ27" s="577" t="str">
        <f t="shared" si="105"/>
        <v/>
      </c>
      <c r="FA27" s="577" t="str">
        <f t="shared" si="106"/>
        <v/>
      </c>
      <c r="FB27" s="577" t="str">
        <f t="shared" si="107"/>
        <v/>
      </c>
      <c r="FC27" s="577" t="str">
        <f t="shared" si="108"/>
        <v/>
      </c>
      <c r="FD27" s="577" t="str">
        <f t="shared" si="109"/>
        <v/>
      </c>
      <c r="FE27" s="577" t="str">
        <f t="shared" si="110"/>
        <v/>
      </c>
      <c r="FF27" s="577" t="str">
        <f t="shared" si="111"/>
        <v/>
      </c>
      <c r="FG27" s="577" t="str">
        <f t="shared" si="112"/>
        <v/>
      </c>
      <c r="FH27" s="577" t="str">
        <f t="shared" si="113"/>
        <v/>
      </c>
      <c r="FI27" s="577" t="str">
        <f t="shared" si="114"/>
        <v/>
      </c>
      <c r="FJ27" s="577" t="str">
        <f t="shared" si="115"/>
        <v/>
      </c>
      <c r="FK27" s="577" t="str">
        <f t="shared" si="116"/>
        <v/>
      </c>
      <c r="FL27" s="577" t="str">
        <f t="shared" si="117"/>
        <v/>
      </c>
      <c r="FM27" s="577" t="str">
        <f t="shared" si="118"/>
        <v/>
      </c>
      <c r="FN27" s="577" t="str">
        <f t="shared" si="119"/>
        <v/>
      </c>
      <c r="FO27" s="577" t="str">
        <f t="shared" si="120"/>
        <v/>
      </c>
      <c r="FP27" s="577" t="str">
        <f t="shared" si="121"/>
        <v/>
      </c>
      <c r="FQ27" s="577" t="str">
        <f t="shared" si="122"/>
        <v/>
      </c>
      <c r="FR27" s="577" t="str">
        <f t="shared" si="123"/>
        <v/>
      </c>
      <c r="FS27" s="577" t="str">
        <f t="shared" si="124"/>
        <v/>
      </c>
      <c r="FT27" s="577" t="str">
        <f t="shared" si="125"/>
        <v/>
      </c>
      <c r="FU27" s="577" t="str">
        <f t="shared" si="126"/>
        <v/>
      </c>
      <c r="FV27" s="577" t="str">
        <f t="shared" si="127"/>
        <v/>
      </c>
      <c r="FW27" s="577" t="str">
        <f t="shared" si="128"/>
        <v/>
      </c>
      <c r="FX27" s="577" t="str">
        <f t="shared" si="129"/>
        <v/>
      </c>
      <c r="FY27" s="577" t="str">
        <f t="shared" si="130"/>
        <v/>
      </c>
      <c r="FZ27" s="577" t="str">
        <f t="shared" si="131"/>
        <v/>
      </c>
      <c r="GA27" s="577" t="str">
        <f t="shared" si="132"/>
        <v/>
      </c>
      <c r="GB27" s="577" t="str">
        <f t="shared" si="133"/>
        <v/>
      </c>
      <c r="GC27" s="577" t="str">
        <f t="shared" si="134"/>
        <v/>
      </c>
      <c r="GD27" s="577" t="str">
        <f t="shared" si="135"/>
        <v/>
      </c>
      <c r="GE27" s="577" t="str">
        <f t="shared" si="136"/>
        <v/>
      </c>
      <c r="GF27" s="577" t="str">
        <f t="shared" si="137"/>
        <v/>
      </c>
      <c r="GG27" s="577" t="str">
        <f t="shared" si="138"/>
        <v/>
      </c>
      <c r="GH27" s="577" t="str">
        <f t="shared" si="139"/>
        <v/>
      </c>
      <c r="GI27" s="577" t="str">
        <f t="shared" si="140"/>
        <v/>
      </c>
      <c r="GJ27" s="577" t="str">
        <f t="shared" si="141"/>
        <v/>
      </c>
      <c r="GK27" s="577" t="str">
        <f t="shared" si="142"/>
        <v/>
      </c>
      <c r="GL27" s="577" t="str">
        <f t="shared" si="143"/>
        <v/>
      </c>
      <c r="GM27" s="577" t="str">
        <f t="shared" si="144"/>
        <v/>
      </c>
      <c r="GN27" s="577" t="str">
        <f t="shared" si="145"/>
        <v/>
      </c>
      <c r="GO27" s="578" t="str">
        <f t="shared" si="146"/>
        <v/>
      </c>
      <c r="GP27" s="578" t="str">
        <f t="shared" si="147"/>
        <v/>
      </c>
      <c r="GQ27" s="578" t="str">
        <f t="shared" si="148"/>
        <v/>
      </c>
      <c r="GR27" s="578" t="str">
        <f t="shared" si="149"/>
        <v/>
      </c>
      <c r="GS27" s="578" t="str">
        <f t="shared" si="150"/>
        <v/>
      </c>
      <c r="GT27" s="567" t="str">
        <f t="shared" si="151"/>
        <v/>
      </c>
      <c r="GU27" s="567" t="str">
        <f t="shared" si="152"/>
        <v/>
      </c>
      <c r="GV27" s="567" t="str">
        <f t="shared" si="153"/>
        <v/>
      </c>
      <c r="GW27" s="567" t="str">
        <f t="shared" si="154"/>
        <v/>
      </c>
      <c r="GX27" s="567" t="str">
        <f t="shared" si="155"/>
        <v/>
      </c>
      <c r="GY27" s="567" t="str">
        <f t="shared" si="156"/>
        <v/>
      </c>
      <c r="GZ27" s="567" t="str">
        <f t="shared" si="157"/>
        <v/>
      </c>
      <c r="HA27" s="567" t="str">
        <f t="shared" si="158"/>
        <v/>
      </c>
      <c r="HB27" s="567" t="str">
        <f t="shared" si="159"/>
        <v/>
      </c>
      <c r="HC27" s="567" t="str">
        <f t="shared" si="160"/>
        <v/>
      </c>
      <c r="HD27" s="567" t="str">
        <f t="shared" si="161"/>
        <v/>
      </c>
      <c r="HE27" s="567" t="str">
        <f t="shared" si="162"/>
        <v/>
      </c>
      <c r="HF27" s="567" t="str">
        <f t="shared" si="163"/>
        <v/>
      </c>
      <c r="HG27" s="567" t="str">
        <f t="shared" si="164"/>
        <v/>
      </c>
      <c r="HH27" s="567" t="str">
        <f t="shared" si="165"/>
        <v/>
      </c>
      <c r="HI27" s="567" t="str">
        <f t="shared" si="166"/>
        <v/>
      </c>
      <c r="HJ27" s="567" t="str">
        <f t="shared" si="167"/>
        <v/>
      </c>
      <c r="HK27" s="567" t="str">
        <f t="shared" si="168"/>
        <v/>
      </c>
      <c r="HL27" s="567" t="str">
        <f t="shared" si="169"/>
        <v/>
      </c>
      <c r="HM27" s="567" t="str">
        <f t="shared" si="170"/>
        <v/>
      </c>
    </row>
    <row r="28" spans="1:221" ht="13.15" customHeight="1">
      <c r="A28" s="126" t="str">
        <f t="shared" si="171"/>
        <v/>
      </c>
      <c r="B28" s="1203" t="s">
        <v>1886</v>
      </c>
      <c r="C28" s="1204"/>
      <c r="D28" s="1205"/>
      <c r="E28" s="1206"/>
      <c r="F28" s="1206"/>
      <c r="G28" s="1206"/>
      <c r="H28" s="1206"/>
      <c r="I28" s="1206"/>
      <c r="J28" s="1207"/>
      <c r="K28" s="198">
        <f>MAX(0,H28-I28)</f>
        <v>0</v>
      </c>
      <c r="L28" s="198">
        <f t="shared" si="0"/>
        <v>0</v>
      </c>
      <c r="M28" s="1099"/>
      <c r="N28" s="1099"/>
      <c r="O28" s="1099"/>
      <c r="P28" s="518" t="str">
        <f t="shared" si="203"/>
        <v/>
      </c>
      <c r="Q28" s="519" t="str">
        <f>IF(H28="","",P28/($P$6*VLOOKUP(C28,'DCA Underwriting Assumptions'!$J$82:$K$87,2,FALSE)))</f>
        <v/>
      </c>
      <c r="R28" s="607"/>
      <c r="S28" s="519"/>
      <c r="T28" s="1643"/>
      <c r="U28" s="1644"/>
      <c r="V28" s="567" t="str">
        <f t="shared" si="1"/>
        <v/>
      </c>
      <c r="W28" s="567" t="str">
        <f t="shared" si="2"/>
        <v/>
      </c>
      <c r="X28" s="567" t="str">
        <f t="shared" si="3"/>
        <v/>
      </c>
      <c r="Y28" s="567" t="str">
        <f t="shared" si="4"/>
        <v/>
      </c>
      <c r="Z28" s="567" t="str">
        <f t="shared" si="5"/>
        <v/>
      </c>
      <c r="AA28" s="567" t="str">
        <f t="shared" si="6"/>
        <v/>
      </c>
      <c r="AB28" s="567" t="str">
        <f t="shared" si="7"/>
        <v/>
      </c>
      <c r="AC28" s="567" t="str">
        <f t="shared" si="8"/>
        <v/>
      </c>
      <c r="AD28" s="567" t="str">
        <f t="shared" si="9"/>
        <v/>
      </c>
      <c r="AE28" s="567" t="str">
        <f t="shared" si="10"/>
        <v/>
      </c>
      <c r="AF28" s="567" t="str">
        <f t="shared" si="11"/>
        <v/>
      </c>
      <c r="AG28" s="567" t="str">
        <f t="shared" si="12"/>
        <v/>
      </c>
      <c r="AH28" s="567" t="str">
        <f t="shared" si="13"/>
        <v/>
      </c>
      <c r="AI28" s="567" t="str">
        <f t="shared" si="14"/>
        <v/>
      </c>
      <c r="AJ28" s="567" t="str">
        <f t="shared" si="15"/>
        <v/>
      </c>
      <c r="AK28" s="567" t="str">
        <f t="shared" si="16"/>
        <v/>
      </c>
      <c r="AL28" s="567" t="str">
        <f t="shared" si="17"/>
        <v/>
      </c>
      <c r="AM28" s="567" t="str">
        <f t="shared" si="18"/>
        <v/>
      </c>
      <c r="AN28" s="567" t="str">
        <f t="shared" si="19"/>
        <v/>
      </c>
      <c r="AO28" s="567" t="str">
        <f t="shared" si="20"/>
        <v/>
      </c>
      <c r="AP28" s="567" t="str">
        <f t="shared" si="173"/>
        <v/>
      </c>
      <c r="AQ28" s="567" t="str">
        <f t="shared" si="174"/>
        <v/>
      </c>
      <c r="AR28" s="567" t="str">
        <f t="shared" si="175"/>
        <v/>
      </c>
      <c r="AS28" s="567" t="str">
        <f t="shared" si="176"/>
        <v/>
      </c>
      <c r="AT28" s="567" t="str">
        <f t="shared" si="177"/>
        <v/>
      </c>
      <c r="AU28" s="567" t="str">
        <f t="shared" si="178"/>
        <v/>
      </c>
      <c r="AV28" s="567" t="str">
        <f t="shared" si="179"/>
        <v/>
      </c>
      <c r="AW28" s="567" t="str">
        <f t="shared" si="180"/>
        <v/>
      </c>
      <c r="AX28" s="567" t="str">
        <f t="shared" si="181"/>
        <v/>
      </c>
      <c r="AY28" s="567" t="str">
        <f t="shared" si="182"/>
        <v/>
      </c>
      <c r="AZ28" s="567" t="str">
        <f t="shared" si="183"/>
        <v/>
      </c>
      <c r="BA28" s="567" t="str">
        <f t="shared" si="184"/>
        <v/>
      </c>
      <c r="BB28" s="567" t="str">
        <f t="shared" si="185"/>
        <v/>
      </c>
      <c r="BC28" s="567" t="str">
        <f t="shared" si="186"/>
        <v/>
      </c>
      <c r="BD28" s="567" t="str">
        <f t="shared" si="187"/>
        <v/>
      </c>
      <c r="BE28" s="567" t="str">
        <f t="shared" si="188"/>
        <v/>
      </c>
      <c r="BF28" s="567" t="str">
        <f t="shared" si="189"/>
        <v/>
      </c>
      <c r="BG28" s="567" t="str">
        <f t="shared" si="190"/>
        <v/>
      </c>
      <c r="BH28" s="567" t="str">
        <f t="shared" si="191"/>
        <v/>
      </c>
      <c r="BI28" s="567" t="str">
        <f t="shared" si="192"/>
        <v/>
      </c>
      <c r="BJ28" s="567" t="str">
        <f t="shared" si="193"/>
        <v/>
      </c>
      <c r="BK28" s="567" t="str">
        <f t="shared" si="194"/>
        <v/>
      </c>
      <c r="BL28" s="567" t="str">
        <f t="shared" si="195"/>
        <v/>
      </c>
      <c r="BM28" s="567" t="str">
        <f t="shared" si="196"/>
        <v/>
      </c>
      <c r="BN28" s="567" t="str">
        <f t="shared" si="197"/>
        <v/>
      </c>
      <c r="BO28" s="567" t="str">
        <f t="shared" si="198"/>
        <v/>
      </c>
      <c r="BP28" s="567" t="str">
        <f t="shared" si="199"/>
        <v/>
      </c>
      <c r="BQ28" s="567" t="str">
        <f t="shared" si="200"/>
        <v/>
      </c>
      <c r="BR28" s="567" t="str">
        <f t="shared" si="201"/>
        <v/>
      </c>
      <c r="BS28" s="567" t="str">
        <f t="shared" si="202"/>
        <v/>
      </c>
      <c r="BT28" s="567" t="str">
        <f t="shared" si="21"/>
        <v/>
      </c>
      <c r="BU28" s="567" t="str">
        <f t="shared" si="22"/>
        <v/>
      </c>
      <c r="BV28" s="567" t="str">
        <f t="shared" si="23"/>
        <v/>
      </c>
      <c r="BW28" s="567" t="str">
        <f t="shared" si="24"/>
        <v/>
      </c>
      <c r="BX28" s="567" t="str">
        <f t="shared" si="25"/>
        <v/>
      </c>
      <c r="BY28" s="567" t="str">
        <f t="shared" si="26"/>
        <v/>
      </c>
      <c r="BZ28" s="567" t="str">
        <f t="shared" si="27"/>
        <v/>
      </c>
      <c r="CA28" s="567" t="str">
        <f t="shared" si="28"/>
        <v/>
      </c>
      <c r="CB28" s="567" t="str">
        <f t="shared" si="29"/>
        <v/>
      </c>
      <c r="CC28" s="567" t="str">
        <f t="shared" si="30"/>
        <v/>
      </c>
      <c r="CD28" s="567" t="str">
        <f t="shared" si="31"/>
        <v/>
      </c>
      <c r="CE28" s="567" t="str">
        <f t="shared" si="32"/>
        <v/>
      </c>
      <c r="CF28" s="567" t="str">
        <f t="shared" si="33"/>
        <v/>
      </c>
      <c r="CG28" s="567" t="str">
        <f t="shared" si="34"/>
        <v/>
      </c>
      <c r="CH28" s="567" t="str">
        <f t="shared" si="35"/>
        <v/>
      </c>
      <c r="CI28" s="567" t="str">
        <f t="shared" si="36"/>
        <v/>
      </c>
      <c r="CJ28" s="567" t="str">
        <f t="shared" si="37"/>
        <v/>
      </c>
      <c r="CK28" s="567" t="str">
        <f t="shared" si="38"/>
        <v/>
      </c>
      <c r="CL28" s="567" t="str">
        <f t="shared" si="39"/>
        <v/>
      </c>
      <c r="CM28" s="567" t="str">
        <f t="shared" si="40"/>
        <v/>
      </c>
      <c r="CN28" s="567" t="str">
        <f t="shared" si="41"/>
        <v/>
      </c>
      <c r="CO28" s="567" t="str">
        <f t="shared" si="42"/>
        <v/>
      </c>
      <c r="CP28" s="567" t="str">
        <f t="shared" si="43"/>
        <v/>
      </c>
      <c r="CQ28" s="567" t="str">
        <f t="shared" si="44"/>
        <v/>
      </c>
      <c r="CR28" s="567" t="str">
        <f t="shared" si="45"/>
        <v/>
      </c>
      <c r="CS28" s="567" t="str">
        <f t="shared" si="46"/>
        <v/>
      </c>
      <c r="CT28" s="567" t="str">
        <f t="shared" si="47"/>
        <v/>
      </c>
      <c r="CU28" s="567" t="str">
        <f t="shared" si="48"/>
        <v/>
      </c>
      <c r="CV28" s="567" t="str">
        <f t="shared" si="49"/>
        <v/>
      </c>
      <c r="CW28" s="567" t="str">
        <f t="shared" si="50"/>
        <v/>
      </c>
      <c r="CX28" s="567" t="str">
        <f t="shared" si="51"/>
        <v/>
      </c>
      <c r="CY28" s="567" t="str">
        <f t="shared" si="52"/>
        <v/>
      </c>
      <c r="CZ28" s="567" t="str">
        <f t="shared" si="53"/>
        <v/>
      </c>
      <c r="DA28" s="567" t="str">
        <f t="shared" si="54"/>
        <v/>
      </c>
      <c r="DB28" s="567" t="str">
        <f t="shared" si="55"/>
        <v/>
      </c>
      <c r="DC28" s="567" t="str">
        <f t="shared" si="56"/>
        <v/>
      </c>
      <c r="DD28" s="567" t="str">
        <f t="shared" si="57"/>
        <v/>
      </c>
      <c r="DE28" s="567" t="str">
        <f t="shared" si="58"/>
        <v/>
      </c>
      <c r="DF28" s="567" t="str">
        <f t="shared" si="59"/>
        <v/>
      </c>
      <c r="DG28" s="567" t="str">
        <f t="shared" si="60"/>
        <v/>
      </c>
      <c r="DH28" s="567" t="str">
        <f t="shared" si="61"/>
        <v/>
      </c>
      <c r="DI28" s="567" t="str">
        <f t="shared" si="62"/>
        <v/>
      </c>
      <c r="DJ28" s="567" t="str">
        <f t="shared" si="63"/>
        <v/>
      </c>
      <c r="DK28" s="567" t="str">
        <f t="shared" si="64"/>
        <v/>
      </c>
      <c r="DL28" s="567" t="str">
        <f t="shared" si="65"/>
        <v/>
      </c>
      <c r="DM28" s="567" t="str">
        <f t="shared" si="66"/>
        <v/>
      </c>
      <c r="DN28" s="567" t="str">
        <f t="shared" si="67"/>
        <v/>
      </c>
      <c r="DO28" s="567" t="str">
        <f t="shared" si="68"/>
        <v/>
      </c>
      <c r="DP28" s="567" t="str">
        <f t="shared" si="69"/>
        <v/>
      </c>
      <c r="DQ28" s="567" t="str">
        <f t="shared" si="70"/>
        <v/>
      </c>
      <c r="DR28" s="567" t="str">
        <f t="shared" si="71"/>
        <v/>
      </c>
      <c r="DS28" s="567" t="str">
        <f t="shared" si="72"/>
        <v/>
      </c>
      <c r="DT28" s="567" t="str">
        <f t="shared" si="73"/>
        <v/>
      </c>
      <c r="DU28" s="567" t="str">
        <f t="shared" si="74"/>
        <v/>
      </c>
      <c r="DV28" s="567" t="str">
        <f t="shared" si="75"/>
        <v/>
      </c>
      <c r="DW28" s="567" t="str">
        <f t="shared" si="76"/>
        <v/>
      </c>
      <c r="DX28" s="567" t="str">
        <f t="shared" si="77"/>
        <v/>
      </c>
      <c r="DY28" s="567" t="str">
        <f t="shared" si="78"/>
        <v/>
      </c>
      <c r="DZ28" s="567" t="str">
        <f t="shared" si="79"/>
        <v/>
      </c>
      <c r="EA28" s="567" t="str">
        <f t="shared" si="80"/>
        <v/>
      </c>
      <c r="EB28" s="567" t="str">
        <f t="shared" si="81"/>
        <v/>
      </c>
      <c r="EC28" s="567" t="str">
        <f t="shared" si="82"/>
        <v/>
      </c>
      <c r="ED28" s="567" t="str">
        <f t="shared" si="83"/>
        <v/>
      </c>
      <c r="EE28" s="567" t="str">
        <f t="shared" si="84"/>
        <v/>
      </c>
      <c r="EF28" s="567" t="str">
        <f t="shared" si="85"/>
        <v/>
      </c>
      <c r="EG28" s="567" t="str">
        <f t="shared" si="86"/>
        <v/>
      </c>
      <c r="EH28" s="567" t="str">
        <f t="shared" si="87"/>
        <v/>
      </c>
      <c r="EI28" s="567" t="str">
        <f t="shared" si="88"/>
        <v/>
      </c>
      <c r="EJ28" s="567" t="str">
        <f t="shared" si="89"/>
        <v/>
      </c>
      <c r="EK28" s="567" t="str">
        <f t="shared" si="90"/>
        <v/>
      </c>
      <c r="EL28" s="567" t="str">
        <f t="shared" si="91"/>
        <v/>
      </c>
      <c r="EM28" s="567" t="str">
        <f t="shared" si="92"/>
        <v/>
      </c>
      <c r="EN28" s="567" t="str">
        <f t="shared" si="93"/>
        <v/>
      </c>
      <c r="EO28" s="567" t="str">
        <f t="shared" si="94"/>
        <v/>
      </c>
      <c r="EP28" s="567" t="str">
        <f t="shared" si="95"/>
        <v/>
      </c>
      <c r="EQ28" s="567" t="str">
        <f t="shared" si="96"/>
        <v/>
      </c>
      <c r="ER28" s="567" t="str">
        <f t="shared" si="97"/>
        <v/>
      </c>
      <c r="ES28" s="567" t="str">
        <f t="shared" si="98"/>
        <v/>
      </c>
      <c r="ET28" s="567" t="str">
        <f t="shared" si="99"/>
        <v/>
      </c>
      <c r="EU28" s="567" t="str">
        <f t="shared" si="100"/>
        <v/>
      </c>
      <c r="EV28" s="577" t="str">
        <f t="shared" si="101"/>
        <v/>
      </c>
      <c r="EW28" s="577" t="str">
        <f t="shared" si="102"/>
        <v/>
      </c>
      <c r="EX28" s="577" t="str">
        <f t="shared" si="103"/>
        <v/>
      </c>
      <c r="EY28" s="577" t="str">
        <f t="shared" si="104"/>
        <v/>
      </c>
      <c r="EZ28" s="577" t="str">
        <f t="shared" si="105"/>
        <v/>
      </c>
      <c r="FA28" s="577" t="str">
        <f t="shared" si="106"/>
        <v/>
      </c>
      <c r="FB28" s="577" t="str">
        <f t="shared" si="107"/>
        <v/>
      </c>
      <c r="FC28" s="577" t="str">
        <f t="shared" si="108"/>
        <v/>
      </c>
      <c r="FD28" s="577" t="str">
        <f t="shared" si="109"/>
        <v/>
      </c>
      <c r="FE28" s="577" t="str">
        <f t="shared" si="110"/>
        <v/>
      </c>
      <c r="FF28" s="577" t="str">
        <f t="shared" si="111"/>
        <v/>
      </c>
      <c r="FG28" s="577" t="str">
        <f t="shared" si="112"/>
        <v/>
      </c>
      <c r="FH28" s="577" t="str">
        <f t="shared" si="113"/>
        <v/>
      </c>
      <c r="FI28" s="577" t="str">
        <f t="shared" si="114"/>
        <v/>
      </c>
      <c r="FJ28" s="577" t="str">
        <f t="shared" si="115"/>
        <v/>
      </c>
      <c r="FK28" s="577" t="str">
        <f t="shared" si="116"/>
        <v/>
      </c>
      <c r="FL28" s="577" t="str">
        <f t="shared" si="117"/>
        <v/>
      </c>
      <c r="FM28" s="577" t="str">
        <f t="shared" si="118"/>
        <v/>
      </c>
      <c r="FN28" s="577" t="str">
        <f t="shared" si="119"/>
        <v/>
      </c>
      <c r="FO28" s="577" t="str">
        <f t="shared" si="120"/>
        <v/>
      </c>
      <c r="FP28" s="577" t="str">
        <f t="shared" si="121"/>
        <v/>
      </c>
      <c r="FQ28" s="577" t="str">
        <f t="shared" si="122"/>
        <v/>
      </c>
      <c r="FR28" s="577" t="str">
        <f t="shared" si="123"/>
        <v/>
      </c>
      <c r="FS28" s="577" t="str">
        <f t="shared" si="124"/>
        <v/>
      </c>
      <c r="FT28" s="577" t="str">
        <f t="shared" si="125"/>
        <v/>
      </c>
      <c r="FU28" s="577" t="str">
        <f t="shared" si="126"/>
        <v/>
      </c>
      <c r="FV28" s="577" t="str">
        <f t="shared" si="127"/>
        <v/>
      </c>
      <c r="FW28" s="577" t="str">
        <f t="shared" si="128"/>
        <v/>
      </c>
      <c r="FX28" s="577" t="str">
        <f t="shared" si="129"/>
        <v/>
      </c>
      <c r="FY28" s="577" t="str">
        <f t="shared" si="130"/>
        <v/>
      </c>
      <c r="FZ28" s="577" t="str">
        <f t="shared" si="131"/>
        <v/>
      </c>
      <c r="GA28" s="577" t="str">
        <f t="shared" si="132"/>
        <v/>
      </c>
      <c r="GB28" s="577" t="str">
        <f t="shared" si="133"/>
        <v/>
      </c>
      <c r="GC28" s="577" t="str">
        <f t="shared" si="134"/>
        <v/>
      </c>
      <c r="GD28" s="577" t="str">
        <f t="shared" si="135"/>
        <v/>
      </c>
      <c r="GE28" s="577" t="str">
        <f t="shared" si="136"/>
        <v/>
      </c>
      <c r="GF28" s="577" t="str">
        <f t="shared" si="137"/>
        <v/>
      </c>
      <c r="GG28" s="577" t="str">
        <f t="shared" si="138"/>
        <v/>
      </c>
      <c r="GH28" s="577" t="str">
        <f t="shared" si="139"/>
        <v/>
      </c>
      <c r="GI28" s="577" t="str">
        <f t="shared" si="140"/>
        <v/>
      </c>
      <c r="GJ28" s="577" t="str">
        <f t="shared" si="141"/>
        <v/>
      </c>
      <c r="GK28" s="577" t="str">
        <f t="shared" si="142"/>
        <v/>
      </c>
      <c r="GL28" s="577" t="str">
        <f t="shared" si="143"/>
        <v/>
      </c>
      <c r="GM28" s="577" t="str">
        <f t="shared" si="144"/>
        <v/>
      </c>
      <c r="GN28" s="577" t="str">
        <f t="shared" si="145"/>
        <v/>
      </c>
      <c r="GO28" s="578" t="str">
        <f t="shared" si="146"/>
        <v/>
      </c>
      <c r="GP28" s="578" t="str">
        <f t="shared" si="147"/>
        <v/>
      </c>
      <c r="GQ28" s="578" t="str">
        <f t="shared" si="148"/>
        <v/>
      </c>
      <c r="GR28" s="578" t="str">
        <f t="shared" si="149"/>
        <v/>
      </c>
      <c r="GS28" s="578" t="str">
        <f t="shared" si="150"/>
        <v/>
      </c>
      <c r="GT28" s="567" t="str">
        <f t="shared" si="151"/>
        <v/>
      </c>
      <c r="GU28" s="567" t="str">
        <f t="shared" si="152"/>
        <v/>
      </c>
      <c r="GV28" s="567" t="str">
        <f t="shared" si="153"/>
        <v/>
      </c>
      <c r="GW28" s="567" t="str">
        <f t="shared" si="154"/>
        <v/>
      </c>
      <c r="GX28" s="567" t="str">
        <f t="shared" si="155"/>
        <v/>
      </c>
      <c r="GY28" s="567" t="str">
        <f t="shared" si="156"/>
        <v/>
      </c>
      <c r="GZ28" s="567" t="str">
        <f t="shared" si="157"/>
        <v/>
      </c>
      <c r="HA28" s="567" t="str">
        <f t="shared" si="158"/>
        <v/>
      </c>
      <c r="HB28" s="567" t="str">
        <f t="shared" si="159"/>
        <v/>
      </c>
      <c r="HC28" s="567" t="str">
        <f t="shared" si="160"/>
        <v/>
      </c>
      <c r="HD28" s="567" t="str">
        <f t="shared" si="161"/>
        <v/>
      </c>
      <c r="HE28" s="567" t="str">
        <f t="shared" si="162"/>
        <v/>
      </c>
      <c r="HF28" s="567" t="str">
        <f t="shared" si="163"/>
        <v/>
      </c>
      <c r="HG28" s="567" t="str">
        <f t="shared" si="164"/>
        <v/>
      </c>
      <c r="HH28" s="567" t="str">
        <f t="shared" si="165"/>
        <v/>
      </c>
      <c r="HI28" s="567" t="str">
        <f t="shared" si="166"/>
        <v/>
      </c>
      <c r="HJ28" s="567" t="str">
        <f t="shared" si="167"/>
        <v/>
      </c>
      <c r="HK28" s="567" t="str">
        <f t="shared" si="168"/>
        <v/>
      </c>
      <c r="HL28" s="567" t="str">
        <f t="shared" si="169"/>
        <v/>
      </c>
      <c r="HM28" s="567" t="str">
        <f t="shared" si="170"/>
        <v/>
      </c>
    </row>
    <row r="29" spans="1:221" ht="13.15" customHeight="1">
      <c r="A29" s="126" t="str">
        <f t="shared" si="171"/>
        <v/>
      </c>
      <c r="B29" s="1203" t="s">
        <v>1886</v>
      </c>
      <c r="C29" s="1204"/>
      <c r="D29" s="1205"/>
      <c r="E29" s="1206"/>
      <c r="F29" s="1206"/>
      <c r="G29" s="1206"/>
      <c r="H29" s="1206"/>
      <c r="I29" s="1206"/>
      <c r="J29" s="1207"/>
      <c r="K29" s="198">
        <f t="shared" ref="K29:K47" si="204">MAX(0,H29-I29)</f>
        <v>0</v>
      </c>
      <c r="L29" s="198">
        <f t="shared" si="0"/>
        <v>0</v>
      </c>
      <c r="M29" s="1099"/>
      <c r="N29" s="1099"/>
      <c r="O29" s="1099"/>
      <c r="P29" s="518" t="str">
        <f t="shared" si="203"/>
        <v/>
      </c>
      <c r="Q29" s="519" t="str">
        <f>IF(H29="","",P29/($P$6*VLOOKUP(C29,'DCA Underwriting Assumptions'!$J$82:$K$87,2,FALSE)))</f>
        <v/>
      </c>
      <c r="R29" s="607"/>
      <c r="S29" s="519"/>
      <c r="T29" s="1643"/>
      <c r="U29" s="1644"/>
      <c r="V29" s="567" t="str">
        <f t="shared" si="1"/>
        <v/>
      </c>
      <c r="W29" s="567" t="str">
        <f t="shared" si="2"/>
        <v/>
      </c>
      <c r="X29" s="567" t="str">
        <f t="shared" si="3"/>
        <v/>
      </c>
      <c r="Y29" s="567" t="str">
        <f t="shared" si="4"/>
        <v/>
      </c>
      <c r="Z29" s="567" t="str">
        <f t="shared" si="5"/>
        <v/>
      </c>
      <c r="AA29" s="567" t="str">
        <f t="shared" si="6"/>
        <v/>
      </c>
      <c r="AB29" s="567" t="str">
        <f t="shared" si="7"/>
        <v/>
      </c>
      <c r="AC29" s="567" t="str">
        <f t="shared" si="8"/>
        <v/>
      </c>
      <c r="AD29" s="567" t="str">
        <f t="shared" si="9"/>
        <v/>
      </c>
      <c r="AE29" s="567" t="str">
        <f t="shared" si="10"/>
        <v/>
      </c>
      <c r="AF29" s="567" t="str">
        <f t="shared" si="11"/>
        <v/>
      </c>
      <c r="AG29" s="567" t="str">
        <f t="shared" si="12"/>
        <v/>
      </c>
      <c r="AH29" s="567" t="str">
        <f t="shared" si="13"/>
        <v/>
      </c>
      <c r="AI29" s="567" t="str">
        <f t="shared" si="14"/>
        <v/>
      </c>
      <c r="AJ29" s="567" t="str">
        <f t="shared" si="15"/>
        <v/>
      </c>
      <c r="AK29" s="567" t="str">
        <f t="shared" si="16"/>
        <v/>
      </c>
      <c r="AL29" s="567" t="str">
        <f t="shared" si="17"/>
        <v/>
      </c>
      <c r="AM29" s="567" t="str">
        <f t="shared" si="18"/>
        <v/>
      </c>
      <c r="AN29" s="567" t="str">
        <f t="shared" si="19"/>
        <v/>
      </c>
      <c r="AO29" s="567" t="str">
        <f t="shared" si="20"/>
        <v/>
      </c>
      <c r="AP29" s="567" t="str">
        <f t="shared" si="173"/>
        <v/>
      </c>
      <c r="AQ29" s="567" t="str">
        <f t="shared" si="174"/>
        <v/>
      </c>
      <c r="AR29" s="567" t="str">
        <f t="shared" si="175"/>
        <v/>
      </c>
      <c r="AS29" s="567" t="str">
        <f t="shared" si="176"/>
        <v/>
      </c>
      <c r="AT29" s="567" t="str">
        <f t="shared" si="177"/>
        <v/>
      </c>
      <c r="AU29" s="567" t="str">
        <f t="shared" si="178"/>
        <v/>
      </c>
      <c r="AV29" s="567" t="str">
        <f t="shared" si="179"/>
        <v/>
      </c>
      <c r="AW29" s="567" t="str">
        <f t="shared" si="180"/>
        <v/>
      </c>
      <c r="AX29" s="567" t="str">
        <f t="shared" si="181"/>
        <v/>
      </c>
      <c r="AY29" s="567" t="str">
        <f t="shared" si="182"/>
        <v/>
      </c>
      <c r="AZ29" s="567" t="str">
        <f t="shared" si="183"/>
        <v/>
      </c>
      <c r="BA29" s="567" t="str">
        <f t="shared" si="184"/>
        <v/>
      </c>
      <c r="BB29" s="567" t="str">
        <f t="shared" si="185"/>
        <v/>
      </c>
      <c r="BC29" s="567" t="str">
        <f t="shared" si="186"/>
        <v/>
      </c>
      <c r="BD29" s="567" t="str">
        <f t="shared" si="187"/>
        <v/>
      </c>
      <c r="BE29" s="567" t="str">
        <f t="shared" si="188"/>
        <v/>
      </c>
      <c r="BF29" s="567" t="str">
        <f t="shared" si="189"/>
        <v/>
      </c>
      <c r="BG29" s="567" t="str">
        <f t="shared" si="190"/>
        <v/>
      </c>
      <c r="BH29" s="567" t="str">
        <f t="shared" si="191"/>
        <v/>
      </c>
      <c r="BI29" s="567" t="str">
        <f t="shared" si="192"/>
        <v/>
      </c>
      <c r="BJ29" s="567" t="str">
        <f t="shared" si="193"/>
        <v/>
      </c>
      <c r="BK29" s="567" t="str">
        <f t="shared" si="194"/>
        <v/>
      </c>
      <c r="BL29" s="567" t="str">
        <f t="shared" si="195"/>
        <v/>
      </c>
      <c r="BM29" s="567" t="str">
        <f t="shared" si="196"/>
        <v/>
      </c>
      <c r="BN29" s="567" t="str">
        <f t="shared" si="197"/>
        <v/>
      </c>
      <c r="BO29" s="567" t="str">
        <f t="shared" si="198"/>
        <v/>
      </c>
      <c r="BP29" s="567" t="str">
        <f t="shared" si="199"/>
        <v/>
      </c>
      <c r="BQ29" s="567" t="str">
        <f t="shared" si="200"/>
        <v/>
      </c>
      <c r="BR29" s="567" t="str">
        <f t="shared" si="201"/>
        <v/>
      </c>
      <c r="BS29" s="567" t="str">
        <f t="shared" si="202"/>
        <v/>
      </c>
      <c r="BT29" s="567" t="str">
        <f t="shared" si="21"/>
        <v/>
      </c>
      <c r="BU29" s="567" t="str">
        <f t="shared" si="22"/>
        <v/>
      </c>
      <c r="BV29" s="567" t="str">
        <f t="shared" si="23"/>
        <v/>
      </c>
      <c r="BW29" s="567" t="str">
        <f t="shared" si="24"/>
        <v/>
      </c>
      <c r="BX29" s="567" t="str">
        <f t="shared" si="25"/>
        <v/>
      </c>
      <c r="BY29" s="567" t="str">
        <f t="shared" si="26"/>
        <v/>
      </c>
      <c r="BZ29" s="567" t="str">
        <f t="shared" si="27"/>
        <v/>
      </c>
      <c r="CA29" s="567" t="str">
        <f t="shared" si="28"/>
        <v/>
      </c>
      <c r="CB29" s="567" t="str">
        <f t="shared" si="29"/>
        <v/>
      </c>
      <c r="CC29" s="567" t="str">
        <f t="shared" si="30"/>
        <v/>
      </c>
      <c r="CD29" s="567" t="str">
        <f t="shared" si="31"/>
        <v/>
      </c>
      <c r="CE29" s="567" t="str">
        <f t="shared" si="32"/>
        <v/>
      </c>
      <c r="CF29" s="567" t="str">
        <f t="shared" si="33"/>
        <v/>
      </c>
      <c r="CG29" s="567" t="str">
        <f t="shared" si="34"/>
        <v/>
      </c>
      <c r="CH29" s="567" t="str">
        <f t="shared" si="35"/>
        <v/>
      </c>
      <c r="CI29" s="567" t="str">
        <f t="shared" si="36"/>
        <v/>
      </c>
      <c r="CJ29" s="567" t="str">
        <f t="shared" si="37"/>
        <v/>
      </c>
      <c r="CK29" s="567" t="str">
        <f t="shared" si="38"/>
        <v/>
      </c>
      <c r="CL29" s="567" t="str">
        <f t="shared" si="39"/>
        <v/>
      </c>
      <c r="CM29" s="567" t="str">
        <f t="shared" si="40"/>
        <v/>
      </c>
      <c r="CN29" s="567" t="str">
        <f t="shared" si="41"/>
        <v/>
      </c>
      <c r="CO29" s="567" t="str">
        <f t="shared" si="42"/>
        <v/>
      </c>
      <c r="CP29" s="567" t="str">
        <f t="shared" si="43"/>
        <v/>
      </c>
      <c r="CQ29" s="567" t="str">
        <f t="shared" si="44"/>
        <v/>
      </c>
      <c r="CR29" s="567" t="str">
        <f t="shared" si="45"/>
        <v/>
      </c>
      <c r="CS29" s="567" t="str">
        <f t="shared" si="46"/>
        <v/>
      </c>
      <c r="CT29" s="567" t="str">
        <f t="shared" si="47"/>
        <v/>
      </c>
      <c r="CU29" s="567" t="str">
        <f t="shared" si="48"/>
        <v/>
      </c>
      <c r="CV29" s="567" t="str">
        <f t="shared" si="49"/>
        <v/>
      </c>
      <c r="CW29" s="567" t="str">
        <f t="shared" si="50"/>
        <v/>
      </c>
      <c r="CX29" s="567" t="str">
        <f t="shared" si="51"/>
        <v/>
      </c>
      <c r="CY29" s="567" t="str">
        <f t="shared" si="52"/>
        <v/>
      </c>
      <c r="CZ29" s="567" t="str">
        <f t="shared" si="53"/>
        <v/>
      </c>
      <c r="DA29" s="567" t="str">
        <f t="shared" si="54"/>
        <v/>
      </c>
      <c r="DB29" s="567" t="str">
        <f t="shared" si="55"/>
        <v/>
      </c>
      <c r="DC29" s="567" t="str">
        <f t="shared" si="56"/>
        <v/>
      </c>
      <c r="DD29" s="567" t="str">
        <f t="shared" si="57"/>
        <v/>
      </c>
      <c r="DE29" s="567" t="str">
        <f t="shared" si="58"/>
        <v/>
      </c>
      <c r="DF29" s="567" t="str">
        <f t="shared" si="59"/>
        <v/>
      </c>
      <c r="DG29" s="567" t="str">
        <f t="shared" si="60"/>
        <v/>
      </c>
      <c r="DH29" s="567" t="str">
        <f t="shared" si="61"/>
        <v/>
      </c>
      <c r="DI29" s="567" t="str">
        <f t="shared" si="62"/>
        <v/>
      </c>
      <c r="DJ29" s="567" t="str">
        <f t="shared" si="63"/>
        <v/>
      </c>
      <c r="DK29" s="567" t="str">
        <f t="shared" si="64"/>
        <v/>
      </c>
      <c r="DL29" s="567" t="str">
        <f t="shared" si="65"/>
        <v/>
      </c>
      <c r="DM29" s="567" t="str">
        <f t="shared" si="66"/>
        <v/>
      </c>
      <c r="DN29" s="567" t="str">
        <f t="shared" si="67"/>
        <v/>
      </c>
      <c r="DO29" s="567" t="str">
        <f t="shared" si="68"/>
        <v/>
      </c>
      <c r="DP29" s="567" t="str">
        <f t="shared" si="69"/>
        <v/>
      </c>
      <c r="DQ29" s="567" t="str">
        <f t="shared" si="70"/>
        <v/>
      </c>
      <c r="DR29" s="567" t="str">
        <f t="shared" si="71"/>
        <v/>
      </c>
      <c r="DS29" s="567" t="str">
        <f t="shared" si="72"/>
        <v/>
      </c>
      <c r="DT29" s="567" t="str">
        <f t="shared" si="73"/>
        <v/>
      </c>
      <c r="DU29" s="567" t="str">
        <f t="shared" si="74"/>
        <v/>
      </c>
      <c r="DV29" s="567" t="str">
        <f t="shared" si="75"/>
        <v/>
      </c>
      <c r="DW29" s="567" t="str">
        <f t="shared" si="76"/>
        <v/>
      </c>
      <c r="DX29" s="567" t="str">
        <f t="shared" si="77"/>
        <v/>
      </c>
      <c r="DY29" s="567" t="str">
        <f t="shared" si="78"/>
        <v/>
      </c>
      <c r="DZ29" s="567" t="str">
        <f t="shared" si="79"/>
        <v/>
      </c>
      <c r="EA29" s="567" t="str">
        <f t="shared" si="80"/>
        <v/>
      </c>
      <c r="EB29" s="567" t="str">
        <f t="shared" si="81"/>
        <v/>
      </c>
      <c r="EC29" s="567" t="str">
        <f t="shared" si="82"/>
        <v/>
      </c>
      <c r="ED29" s="567" t="str">
        <f t="shared" si="83"/>
        <v/>
      </c>
      <c r="EE29" s="567" t="str">
        <f t="shared" si="84"/>
        <v/>
      </c>
      <c r="EF29" s="567" t="str">
        <f t="shared" si="85"/>
        <v/>
      </c>
      <c r="EG29" s="567" t="str">
        <f t="shared" si="86"/>
        <v/>
      </c>
      <c r="EH29" s="567" t="str">
        <f t="shared" si="87"/>
        <v/>
      </c>
      <c r="EI29" s="567" t="str">
        <f t="shared" si="88"/>
        <v/>
      </c>
      <c r="EJ29" s="567" t="str">
        <f t="shared" si="89"/>
        <v/>
      </c>
      <c r="EK29" s="567" t="str">
        <f t="shared" si="90"/>
        <v/>
      </c>
      <c r="EL29" s="567" t="str">
        <f t="shared" si="91"/>
        <v/>
      </c>
      <c r="EM29" s="567" t="str">
        <f t="shared" si="92"/>
        <v/>
      </c>
      <c r="EN29" s="567" t="str">
        <f t="shared" si="93"/>
        <v/>
      </c>
      <c r="EO29" s="567" t="str">
        <f t="shared" si="94"/>
        <v/>
      </c>
      <c r="EP29" s="567" t="str">
        <f t="shared" si="95"/>
        <v/>
      </c>
      <c r="EQ29" s="567" t="str">
        <f t="shared" si="96"/>
        <v/>
      </c>
      <c r="ER29" s="567" t="str">
        <f t="shared" si="97"/>
        <v/>
      </c>
      <c r="ES29" s="567" t="str">
        <f t="shared" si="98"/>
        <v/>
      </c>
      <c r="ET29" s="567" t="str">
        <f t="shared" si="99"/>
        <v/>
      </c>
      <c r="EU29" s="567" t="str">
        <f t="shared" si="100"/>
        <v/>
      </c>
      <c r="EV29" s="577" t="str">
        <f t="shared" si="101"/>
        <v/>
      </c>
      <c r="EW29" s="577" t="str">
        <f t="shared" si="102"/>
        <v/>
      </c>
      <c r="EX29" s="577" t="str">
        <f t="shared" si="103"/>
        <v/>
      </c>
      <c r="EY29" s="577" t="str">
        <f t="shared" si="104"/>
        <v/>
      </c>
      <c r="EZ29" s="577" t="str">
        <f t="shared" si="105"/>
        <v/>
      </c>
      <c r="FA29" s="577" t="str">
        <f t="shared" si="106"/>
        <v/>
      </c>
      <c r="FB29" s="577" t="str">
        <f t="shared" si="107"/>
        <v/>
      </c>
      <c r="FC29" s="577" t="str">
        <f t="shared" si="108"/>
        <v/>
      </c>
      <c r="FD29" s="577" t="str">
        <f t="shared" si="109"/>
        <v/>
      </c>
      <c r="FE29" s="577" t="str">
        <f t="shared" si="110"/>
        <v/>
      </c>
      <c r="FF29" s="577" t="str">
        <f t="shared" si="111"/>
        <v/>
      </c>
      <c r="FG29" s="577" t="str">
        <f t="shared" si="112"/>
        <v/>
      </c>
      <c r="FH29" s="577" t="str">
        <f t="shared" si="113"/>
        <v/>
      </c>
      <c r="FI29" s="577" t="str">
        <f t="shared" si="114"/>
        <v/>
      </c>
      <c r="FJ29" s="577" t="str">
        <f t="shared" si="115"/>
        <v/>
      </c>
      <c r="FK29" s="577" t="str">
        <f t="shared" si="116"/>
        <v/>
      </c>
      <c r="FL29" s="577" t="str">
        <f t="shared" si="117"/>
        <v/>
      </c>
      <c r="FM29" s="577" t="str">
        <f t="shared" si="118"/>
        <v/>
      </c>
      <c r="FN29" s="577" t="str">
        <f t="shared" si="119"/>
        <v/>
      </c>
      <c r="FO29" s="577" t="str">
        <f t="shared" si="120"/>
        <v/>
      </c>
      <c r="FP29" s="577" t="str">
        <f t="shared" si="121"/>
        <v/>
      </c>
      <c r="FQ29" s="577" t="str">
        <f t="shared" si="122"/>
        <v/>
      </c>
      <c r="FR29" s="577" t="str">
        <f t="shared" si="123"/>
        <v/>
      </c>
      <c r="FS29" s="577" t="str">
        <f t="shared" si="124"/>
        <v/>
      </c>
      <c r="FT29" s="577" t="str">
        <f t="shared" si="125"/>
        <v/>
      </c>
      <c r="FU29" s="577" t="str">
        <f t="shared" si="126"/>
        <v/>
      </c>
      <c r="FV29" s="577" t="str">
        <f t="shared" si="127"/>
        <v/>
      </c>
      <c r="FW29" s="577" t="str">
        <f t="shared" si="128"/>
        <v/>
      </c>
      <c r="FX29" s="577" t="str">
        <f t="shared" si="129"/>
        <v/>
      </c>
      <c r="FY29" s="577" t="str">
        <f t="shared" si="130"/>
        <v/>
      </c>
      <c r="FZ29" s="577" t="str">
        <f t="shared" si="131"/>
        <v/>
      </c>
      <c r="GA29" s="577" t="str">
        <f t="shared" si="132"/>
        <v/>
      </c>
      <c r="GB29" s="577" t="str">
        <f t="shared" si="133"/>
        <v/>
      </c>
      <c r="GC29" s="577" t="str">
        <f t="shared" si="134"/>
        <v/>
      </c>
      <c r="GD29" s="577" t="str">
        <f t="shared" si="135"/>
        <v/>
      </c>
      <c r="GE29" s="577" t="str">
        <f t="shared" si="136"/>
        <v/>
      </c>
      <c r="GF29" s="577" t="str">
        <f t="shared" si="137"/>
        <v/>
      </c>
      <c r="GG29" s="577" t="str">
        <f t="shared" si="138"/>
        <v/>
      </c>
      <c r="GH29" s="577" t="str">
        <f t="shared" si="139"/>
        <v/>
      </c>
      <c r="GI29" s="577" t="str">
        <f t="shared" si="140"/>
        <v/>
      </c>
      <c r="GJ29" s="577" t="str">
        <f t="shared" si="141"/>
        <v/>
      </c>
      <c r="GK29" s="577" t="str">
        <f t="shared" si="142"/>
        <v/>
      </c>
      <c r="GL29" s="577" t="str">
        <f t="shared" si="143"/>
        <v/>
      </c>
      <c r="GM29" s="577" t="str">
        <f t="shared" si="144"/>
        <v/>
      </c>
      <c r="GN29" s="577" t="str">
        <f t="shared" si="145"/>
        <v/>
      </c>
      <c r="GO29" s="578" t="str">
        <f t="shared" si="146"/>
        <v/>
      </c>
      <c r="GP29" s="578" t="str">
        <f t="shared" si="147"/>
        <v/>
      </c>
      <c r="GQ29" s="578" t="str">
        <f t="shared" si="148"/>
        <v/>
      </c>
      <c r="GR29" s="578" t="str">
        <f t="shared" si="149"/>
        <v/>
      </c>
      <c r="GS29" s="578" t="str">
        <f t="shared" si="150"/>
        <v/>
      </c>
      <c r="GT29" s="567" t="str">
        <f t="shared" si="151"/>
        <v/>
      </c>
      <c r="GU29" s="567" t="str">
        <f t="shared" si="152"/>
        <v/>
      </c>
      <c r="GV29" s="567" t="str">
        <f t="shared" si="153"/>
        <v/>
      </c>
      <c r="GW29" s="567" t="str">
        <f t="shared" si="154"/>
        <v/>
      </c>
      <c r="GX29" s="567" t="str">
        <f t="shared" si="155"/>
        <v/>
      </c>
      <c r="GY29" s="567" t="str">
        <f t="shared" si="156"/>
        <v/>
      </c>
      <c r="GZ29" s="567" t="str">
        <f t="shared" si="157"/>
        <v/>
      </c>
      <c r="HA29" s="567" t="str">
        <f t="shared" si="158"/>
        <v/>
      </c>
      <c r="HB29" s="567" t="str">
        <f t="shared" si="159"/>
        <v/>
      </c>
      <c r="HC29" s="567" t="str">
        <f t="shared" si="160"/>
        <v/>
      </c>
      <c r="HD29" s="567" t="str">
        <f t="shared" si="161"/>
        <v/>
      </c>
      <c r="HE29" s="567" t="str">
        <f t="shared" si="162"/>
        <v/>
      </c>
      <c r="HF29" s="567" t="str">
        <f t="shared" si="163"/>
        <v/>
      </c>
      <c r="HG29" s="567" t="str">
        <f t="shared" si="164"/>
        <v/>
      </c>
      <c r="HH29" s="567" t="str">
        <f t="shared" si="165"/>
        <v/>
      </c>
      <c r="HI29" s="567" t="str">
        <f t="shared" si="166"/>
        <v/>
      </c>
      <c r="HJ29" s="567" t="str">
        <f t="shared" si="167"/>
        <v/>
      </c>
      <c r="HK29" s="567" t="str">
        <f t="shared" si="168"/>
        <v/>
      </c>
      <c r="HL29" s="567" t="str">
        <f t="shared" si="169"/>
        <v/>
      </c>
      <c r="HM29" s="567" t="str">
        <f t="shared" si="170"/>
        <v/>
      </c>
    </row>
    <row r="30" spans="1:221" ht="13.15" customHeight="1">
      <c r="A30" s="126" t="str">
        <f t="shared" si="171"/>
        <v/>
      </c>
      <c r="B30" s="1203" t="s">
        <v>1886</v>
      </c>
      <c r="C30" s="1204"/>
      <c r="D30" s="1205"/>
      <c r="E30" s="1206"/>
      <c r="F30" s="1206"/>
      <c r="G30" s="1206"/>
      <c r="H30" s="1206"/>
      <c r="I30" s="1206"/>
      <c r="J30" s="1207"/>
      <c r="K30" s="198">
        <f t="shared" si="204"/>
        <v>0</v>
      </c>
      <c r="L30" s="198">
        <f t="shared" si="0"/>
        <v>0</v>
      </c>
      <c r="M30" s="1099"/>
      <c r="N30" s="1099"/>
      <c r="O30" s="1099"/>
      <c r="P30" s="518" t="str">
        <f t="shared" si="203"/>
        <v/>
      </c>
      <c r="Q30" s="519" t="str">
        <f>IF(H30="","",P30/($P$6*VLOOKUP(C30,'DCA Underwriting Assumptions'!$J$82:$K$87,2,FALSE)))</f>
        <v/>
      </c>
      <c r="R30" s="607"/>
      <c r="S30" s="519"/>
      <c r="T30" s="1643"/>
      <c r="U30" s="1644"/>
      <c r="V30" s="567" t="str">
        <f t="shared" si="1"/>
        <v/>
      </c>
      <c r="W30" s="567" t="str">
        <f t="shared" si="2"/>
        <v/>
      </c>
      <c r="X30" s="567" t="str">
        <f t="shared" si="3"/>
        <v/>
      </c>
      <c r="Y30" s="567" t="str">
        <f t="shared" si="4"/>
        <v/>
      </c>
      <c r="Z30" s="567" t="str">
        <f t="shared" si="5"/>
        <v/>
      </c>
      <c r="AA30" s="567" t="str">
        <f t="shared" si="6"/>
        <v/>
      </c>
      <c r="AB30" s="567" t="str">
        <f t="shared" si="7"/>
        <v/>
      </c>
      <c r="AC30" s="567" t="str">
        <f t="shared" si="8"/>
        <v/>
      </c>
      <c r="AD30" s="567" t="str">
        <f t="shared" si="9"/>
        <v/>
      </c>
      <c r="AE30" s="567" t="str">
        <f t="shared" si="10"/>
        <v/>
      </c>
      <c r="AF30" s="567" t="str">
        <f t="shared" si="11"/>
        <v/>
      </c>
      <c r="AG30" s="567" t="str">
        <f t="shared" si="12"/>
        <v/>
      </c>
      <c r="AH30" s="567" t="str">
        <f t="shared" si="13"/>
        <v/>
      </c>
      <c r="AI30" s="567" t="str">
        <f t="shared" si="14"/>
        <v/>
      </c>
      <c r="AJ30" s="567" t="str">
        <f t="shared" si="15"/>
        <v/>
      </c>
      <c r="AK30" s="567" t="str">
        <f t="shared" si="16"/>
        <v/>
      </c>
      <c r="AL30" s="567" t="str">
        <f t="shared" si="17"/>
        <v/>
      </c>
      <c r="AM30" s="567" t="str">
        <f t="shared" si="18"/>
        <v/>
      </c>
      <c r="AN30" s="567" t="str">
        <f t="shared" si="19"/>
        <v/>
      </c>
      <c r="AO30" s="567" t="str">
        <f t="shared" si="20"/>
        <v/>
      </c>
      <c r="AP30" s="567" t="str">
        <f t="shared" si="173"/>
        <v/>
      </c>
      <c r="AQ30" s="567" t="str">
        <f t="shared" si="174"/>
        <v/>
      </c>
      <c r="AR30" s="567" t="str">
        <f t="shared" si="175"/>
        <v/>
      </c>
      <c r="AS30" s="567" t="str">
        <f t="shared" si="176"/>
        <v/>
      </c>
      <c r="AT30" s="567" t="str">
        <f t="shared" si="177"/>
        <v/>
      </c>
      <c r="AU30" s="567" t="str">
        <f t="shared" si="178"/>
        <v/>
      </c>
      <c r="AV30" s="567" t="str">
        <f t="shared" si="179"/>
        <v/>
      </c>
      <c r="AW30" s="567" t="str">
        <f t="shared" si="180"/>
        <v/>
      </c>
      <c r="AX30" s="567" t="str">
        <f t="shared" si="181"/>
        <v/>
      </c>
      <c r="AY30" s="567" t="str">
        <f t="shared" si="182"/>
        <v/>
      </c>
      <c r="AZ30" s="567" t="str">
        <f t="shared" si="183"/>
        <v/>
      </c>
      <c r="BA30" s="567" t="str">
        <f t="shared" si="184"/>
        <v/>
      </c>
      <c r="BB30" s="567" t="str">
        <f t="shared" si="185"/>
        <v/>
      </c>
      <c r="BC30" s="567" t="str">
        <f t="shared" si="186"/>
        <v/>
      </c>
      <c r="BD30" s="567" t="str">
        <f t="shared" si="187"/>
        <v/>
      </c>
      <c r="BE30" s="567" t="str">
        <f t="shared" si="188"/>
        <v/>
      </c>
      <c r="BF30" s="567" t="str">
        <f t="shared" si="189"/>
        <v/>
      </c>
      <c r="BG30" s="567" t="str">
        <f t="shared" si="190"/>
        <v/>
      </c>
      <c r="BH30" s="567" t="str">
        <f t="shared" si="191"/>
        <v/>
      </c>
      <c r="BI30" s="567" t="str">
        <f t="shared" si="192"/>
        <v/>
      </c>
      <c r="BJ30" s="567" t="str">
        <f t="shared" si="193"/>
        <v/>
      </c>
      <c r="BK30" s="567" t="str">
        <f t="shared" si="194"/>
        <v/>
      </c>
      <c r="BL30" s="567" t="str">
        <f t="shared" si="195"/>
        <v/>
      </c>
      <c r="BM30" s="567" t="str">
        <f t="shared" si="196"/>
        <v/>
      </c>
      <c r="BN30" s="567" t="str">
        <f t="shared" si="197"/>
        <v/>
      </c>
      <c r="BO30" s="567" t="str">
        <f t="shared" si="198"/>
        <v/>
      </c>
      <c r="BP30" s="567" t="str">
        <f t="shared" si="199"/>
        <v/>
      </c>
      <c r="BQ30" s="567" t="str">
        <f t="shared" si="200"/>
        <v/>
      </c>
      <c r="BR30" s="567" t="str">
        <f t="shared" si="201"/>
        <v/>
      </c>
      <c r="BS30" s="567" t="str">
        <f t="shared" si="202"/>
        <v/>
      </c>
      <c r="BT30" s="567" t="str">
        <f t="shared" si="21"/>
        <v/>
      </c>
      <c r="BU30" s="567" t="str">
        <f t="shared" si="22"/>
        <v/>
      </c>
      <c r="BV30" s="567" t="str">
        <f t="shared" si="23"/>
        <v/>
      </c>
      <c r="BW30" s="567" t="str">
        <f t="shared" si="24"/>
        <v/>
      </c>
      <c r="BX30" s="567" t="str">
        <f t="shared" si="25"/>
        <v/>
      </c>
      <c r="BY30" s="567" t="str">
        <f t="shared" si="26"/>
        <v/>
      </c>
      <c r="BZ30" s="567" t="str">
        <f t="shared" si="27"/>
        <v/>
      </c>
      <c r="CA30" s="567" t="str">
        <f t="shared" si="28"/>
        <v/>
      </c>
      <c r="CB30" s="567" t="str">
        <f t="shared" si="29"/>
        <v/>
      </c>
      <c r="CC30" s="567" t="str">
        <f t="shared" si="30"/>
        <v/>
      </c>
      <c r="CD30" s="567" t="str">
        <f t="shared" si="31"/>
        <v/>
      </c>
      <c r="CE30" s="567" t="str">
        <f t="shared" si="32"/>
        <v/>
      </c>
      <c r="CF30" s="567" t="str">
        <f t="shared" si="33"/>
        <v/>
      </c>
      <c r="CG30" s="567" t="str">
        <f t="shared" si="34"/>
        <v/>
      </c>
      <c r="CH30" s="567" t="str">
        <f t="shared" si="35"/>
        <v/>
      </c>
      <c r="CI30" s="567" t="str">
        <f t="shared" si="36"/>
        <v/>
      </c>
      <c r="CJ30" s="567" t="str">
        <f t="shared" si="37"/>
        <v/>
      </c>
      <c r="CK30" s="567" t="str">
        <f t="shared" si="38"/>
        <v/>
      </c>
      <c r="CL30" s="567" t="str">
        <f t="shared" si="39"/>
        <v/>
      </c>
      <c r="CM30" s="567" t="str">
        <f t="shared" si="40"/>
        <v/>
      </c>
      <c r="CN30" s="567" t="str">
        <f t="shared" si="41"/>
        <v/>
      </c>
      <c r="CO30" s="567" t="str">
        <f t="shared" si="42"/>
        <v/>
      </c>
      <c r="CP30" s="567" t="str">
        <f t="shared" si="43"/>
        <v/>
      </c>
      <c r="CQ30" s="567" t="str">
        <f t="shared" si="44"/>
        <v/>
      </c>
      <c r="CR30" s="567" t="str">
        <f t="shared" si="45"/>
        <v/>
      </c>
      <c r="CS30" s="567" t="str">
        <f t="shared" si="46"/>
        <v/>
      </c>
      <c r="CT30" s="567" t="str">
        <f t="shared" si="47"/>
        <v/>
      </c>
      <c r="CU30" s="567" t="str">
        <f t="shared" si="48"/>
        <v/>
      </c>
      <c r="CV30" s="567" t="str">
        <f t="shared" si="49"/>
        <v/>
      </c>
      <c r="CW30" s="567" t="str">
        <f t="shared" si="50"/>
        <v/>
      </c>
      <c r="CX30" s="567" t="str">
        <f t="shared" si="51"/>
        <v/>
      </c>
      <c r="CY30" s="567" t="str">
        <f t="shared" si="52"/>
        <v/>
      </c>
      <c r="CZ30" s="567" t="str">
        <f t="shared" si="53"/>
        <v/>
      </c>
      <c r="DA30" s="567" t="str">
        <f t="shared" si="54"/>
        <v/>
      </c>
      <c r="DB30" s="567" t="str">
        <f t="shared" si="55"/>
        <v/>
      </c>
      <c r="DC30" s="567" t="str">
        <f t="shared" si="56"/>
        <v/>
      </c>
      <c r="DD30" s="567" t="str">
        <f t="shared" si="57"/>
        <v/>
      </c>
      <c r="DE30" s="567" t="str">
        <f t="shared" si="58"/>
        <v/>
      </c>
      <c r="DF30" s="567" t="str">
        <f t="shared" si="59"/>
        <v/>
      </c>
      <c r="DG30" s="567" t="str">
        <f t="shared" si="60"/>
        <v/>
      </c>
      <c r="DH30" s="567" t="str">
        <f t="shared" si="61"/>
        <v/>
      </c>
      <c r="DI30" s="567" t="str">
        <f t="shared" si="62"/>
        <v/>
      </c>
      <c r="DJ30" s="567" t="str">
        <f t="shared" si="63"/>
        <v/>
      </c>
      <c r="DK30" s="567" t="str">
        <f t="shared" si="64"/>
        <v/>
      </c>
      <c r="DL30" s="567" t="str">
        <f t="shared" si="65"/>
        <v/>
      </c>
      <c r="DM30" s="567" t="str">
        <f t="shared" si="66"/>
        <v/>
      </c>
      <c r="DN30" s="567" t="str">
        <f t="shared" si="67"/>
        <v/>
      </c>
      <c r="DO30" s="567" t="str">
        <f t="shared" si="68"/>
        <v/>
      </c>
      <c r="DP30" s="567" t="str">
        <f t="shared" si="69"/>
        <v/>
      </c>
      <c r="DQ30" s="567" t="str">
        <f t="shared" si="70"/>
        <v/>
      </c>
      <c r="DR30" s="567" t="str">
        <f t="shared" si="71"/>
        <v/>
      </c>
      <c r="DS30" s="567" t="str">
        <f t="shared" si="72"/>
        <v/>
      </c>
      <c r="DT30" s="567" t="str">
        <f t="shared" si="73"/>
        <v/>
      </c>
      <c r="DU30" s="567" t="str">
        <f t="shared" si="74"/>
        <v/>
      </c>
      <c r="DV30" s="567" t="str">
        <f t="shared" si="75"/>
        <v/>
      </c>
      <c r="DW30" s="567" t="str">
        <f t="shared" si="76"/>
        <v/>
      </c>
      <c r="DX30" s="567" t="str">
        <f t="shared" si="77"/>
        <v/>
      </c>
      <c r="DY30" s="567" t="str">
        <f t="shared" si="78"/>
        <v/>
      </c>
      <c r="DZ30" s="567" t="str">
        <f t="shared" si="79"/>
        <v/>
      </c>
      <c r="EA30" s="567" t="str">
        <f t="shared" si="80"/>
        <v/>
      </c>
      <c r="EB30" s="567" t="str">
        <f t="shared" si="81"/>
        <v/>
      </c>
      <c r="EC30" s="567" t="str">
        <f t="shared" si="82"/>
        <v/>
      </c>
      <c r="ED30" s="567" t="str">
        <f t="shared" si="83"/>
        <v/>
      </c>
      <c r="EE30" s="567" t="str">
        <f t="shared" si="84"/>
        <v/>
      </c>
      <c r="EF30" s="567" t="str">
        <f t="shared" si="85"/>
        <v/>
      </c>
      <c r="EG30" s="567" t="str">
        <f t="shared" si="86"/>
        <v/>
      </c>
      <c r="EH30" s="567" t="str">
        <f t="shared" si="87"/>
        <v/>
      </c>
      <c r="EI30" s="567" t="str">
        <f t="shared" si="88"/>
        <v/>
      </c>
      <c r="EJ30" s="567" t="str">
        <f t="shared" si="89"/>
        <v/>
      </c>
      <c r="EK30" s="567" t="str">
        <f t="shared" si="90"/>
        <v/>
      </c>
      <c r="EL30" s="567" t="str">
        <f t="shared" si="91"/>
        <v/>
      </c>
      <c r="EM30" s="567" t="str">
        <f t="shared" si="92"/>
        <v/>
      </c>
      <c r="EN30" s="567" t="str">
        <f t="shared" si="93"/>
        <v/>
      </c>
      <c r="EO30" s="567" t="str">
        <f t="shared" si="94"/>
        <v/>
      </c>
      <c r="EP30" s="567" t="str">
        <f t="shared" si="95"/>
        <v/>
      </c>
      <c r="EQ30" s="567" t="str">
        <f t="shared" si="96"/>
        <v/>
      </c>
      <c r="ER30" s="567" t="str">
        <f t="shared" si="97"/>
        <v/>
      </c>
      <c r="ES30" s="567" t="str">
        <f t="shared" si="98"/>
        <v/>
      </c>
      <c r="ET30" s="567" t="str">
        <f t="shared" si="99"/>
        <v/>
      </c>
      <c r="EU30" s="567" t="str">
        <f t="shared" si="100"/>
        <v/>
      </c>
      <c r="EV30" s="577" t="str">
        <f t="shared" si="101"/>
        <v/>
      </c>
      <c r="EW30" s="577" t="str">
        <f t="shared" si="102"/>
        <v/>
      </c>
      <c r="EX30" s="577" t="str">
        <f t="shared" si="103"/>
        <v/>
      </c>
      <c r="EY30" s="577" t="str">
        <f t="shared" si="104"/>
        <v/>
      </c>
      <c r="EZ30" s="577" t="str">
        <f t="shared" si="105"/>
        <v/>
      </c>
      <c r="FA30" s="577" t="str">
        <f t="shared" si="106"/>
        <v/>
      </c>
      <c r="FB30" s="577" t="str">
        <f t="shared" si="107"/>
        <v/>
      </c>
      <c r="FC30" s="577" t="str">
        <f t="shared" si="108"/>
        <v/>
      </c>
      <c r="FD30" s="577" t="str">
        <f t="shared" si="109"/>
        <v/>
      </c>
      <c r="FE30" s="577" t="str">
        <f t="shared" si="110"/>
        <v/>
      </c>
      <c r="FF30" s="577" t="str">
        <f t="shared" si="111"/>
        <v/>
      </c>
      <c r="FG30" s="577" t="str">
        <f t="shared" si="112"/>
        <v/>
      </c>
      <c r="FH30" s="577" t="str">
        <f t="shared" si="113"/>
        <v/>
      </c>
      <c r="FI30" s="577" t="str">
        <f t="shared" si="114"/>
        <v/>
      </c>
      <c r="FJ30" s="577" t="str">
        <f t="shared" si="115"/>
        <v/>
      </c>
      <c r="FK30" s="577" t="str">
        <f t="shared" si="116"/>
        <v/>
      </c>
      <c r="FL30" s="577" t="str">
        <f t="shared" si="117"/>
        <v/>
      </c>
      <c r="FM30" s="577" t="str">
        <f t="shared" si="118"/>
        <v/>
      </c>
      <c r="FN30" s="577" t="str">
        <f t="shared" si="119"/>
        <v/>
      </c>
      <c r="FO30" s="577" t="str">
        <f t="shared" si="120"/>
        <v/>
      </c>
      <c r="FP30" s="577" t="str">
        <f t="shared" si="121"/>
        <v/>
      </c>
      <c r="FQ30" s="577" t="str">
        <f t="shared" si="122"/>
        <v/>
      </c>
      <c r="FR30" s="577" t="str">
        <f t="shared" si="123"/>
        <v/>
      </c>
      <c r="FS30" s="577" t="str">
        <f t="shared" si="124"/>
        <v/>
      </c>
      <c r="FT30" s="577" t="str">
        <f t="shared" si="125"/>
        <v/>
      </c>
      <c r="FU30" s="577" t="str">
        <f t="shared" si="126"/>
        <v/>
      </c>
      <c r="FV30" s="577" t="str">
        <f t="shared" si="127"/>
        <v/>
      </c>
      <c r="FW30" s="577" t="str">
        <f t="shared" si="128"/>
        <v/>
      </c>
      <c r="FX30" s="577" t="str">
        <f t="shared" si="129"/>
        <v/>
      </c>
      <c r="FY30" s="577" t="str">
        <f t="shared" si="130"/>
        <v/>
      </c>
      <c r="FZ30" s="577" t="str">
        <f t="shared" si="131"/>
        <v/>
      </c>
      <c r="GA30" s="577" t="str">
        <f t="shared" si="132"/>
        <v/>
      </c>
      <c r="GB30" s="577" t="str">
        <f t="shared" si="133"/>
        <v/>
      </c>
      <c r="GC30" s="577" t="str">
        <f t="shared" si="134"/>
        <v/>
      </c>
      <c r="GD30" s="577" t="str">
        <f t="shared" si="135"/>
        <v/>
      </c>
      <c r="GE30" s="577" t="str">
        <f t="shared" si="136"/>
        <v/>
      </c>
      <c r="GF30" s="577" t="str">
        <f t="shared" si="137"/>
        <v/>
      </c>
      <c r="GG30" s="577" t="str">
        <f t="shared" si="138"/>
        <v/>
      </c>
      <c r="GH30" s="577" t="str">
        <f t="shared" si="139"/>
        <v/>
      </c>
      <c r="GI30" s="577" t="str">
        <f t="shared" si="140"/>
        <v/>
      </c>
      <c r="GJ30" s="577" t="str">
        <f t="shared" si="141"/>
        <v/>
      </c>
      <c r="GK30" s="577" t="str">
        <f t="shared" si="142"/>
        <v/>
      </c>
      <c r="GL30" s="577" t="str">
        <f t="shared" si="143"/>
        <v/>
      </c>
      <c r="GM30" s="577" t="str">
        <f t="shared" si="144"/>
        <v/>
      </c>
      <c r="GN30" s="577" t="str">
        <f t="shared" si="145"/>
        <v/>
      </c>
      <c r="GO30" s="578" t="str">
        <f t="shared" si="146"/>
        <v/>
      </c>
      <c r="GP30" s="578" t="str">
        <f t="shared" si="147"/>
        <v/>
      </c>
      <c r="GQ30" s="578" t="str">
        <f t="shared" si="148"/>
        <v/>
      </c>
      <c r="GR30" s="578" t="str">
        <f t="shared" si="149"/>
        <v/>
      </c>
      <c r="GS30" s="578" t="str">
        <f t="shared" si="150"/>
        <v/>
      </c>
      <c r="GT30" s="567" t="str">
        <f t="shared" si="151"/>
        <v/>
      </c>
      <c r="GU30" s="567" t="str">
        <f t="shared" si="152"/>
        <v/>
      </c>
      <c r="GV30" s="567" t="str">
        <f t="shared" si="153"/>
        <v/>
      </c>
      <c r="GW30" s="567" t="str">
        <f t="shared" si="154"/>
        <v/>
      </c>
      <c r="GX30" s="567" t="str">
        <f t="shared" si="155"/>
        <v/>
      </c>
      <c r="GY30" s="567" t="str">
        <f t="shared" si="156"/>
        <v/>
      </c>
      <c r="GZ30" s="567" t="str">
        <f t="shared" si="157"/>
        <v/>
      </c>
      <c r="HA30" s="567" t="str">
        <f t="shared" si="158"/>
        <v/>
      </c>
      <c r="HB30" s="567" t="str">
        <f t="shared" si="159"/>
        <v/>
      </c>
      <c r="HC30" s="567" t="str">
        <f t="shared" si="160"/>
        <v/>
      </c>
      <c r="HD30" s="567" t="str">
        <f t="shared" si="161"/>
        <v/>
      </c>
      <c r="HE30" s="567" t="str">
        <f t="shared" si="162"/>
        <v/>
      </c>
      <c r="HF30" s="567" t="str">
        <f t="shared" si="163"/>
        <v/>
      </c>
      <c r="HG30" s="567" t="str">
        <f t="shared" si="164"/>
        <v/>
      </c>
      <c r="HH30" s="567" t="str">
        <f t="shared" si="165"/>
        <v/>
      </c>
      <c r="HI30" s="567" t="str">
        <f t="shared" si="166"/>
        <v/>
      </c>
      <c r="HJ30" s="567" t="str">
        <f t="shared" si="167"/>
        <v/>
      </c>
      <c r="HK30" s="567" t="str">
        <f t="shared" si="168"/>
        <v/>
      </c>
      <c r="HL30" s="567" t="str">
        <f t="shared" si="169"/>
        <v/>
      </c>
      <c r="HM30" s="567" t="str">
        <f t="shared" si="170"/>
        <v/>
      </c>
    </row>
    <row r="31" spans="1:221" ht="13.15" customHeight="1">
      <c r="A31" s="126" t="str">
        <f t="shared" si="171"/>
        <v/>
      </c>
      <c r="B31" s="1203" t="s">
        <v>1886</v>
      </c>
      <c r="C31" s="1204"/>
      <c r="D31" s="1205"/>
      <c r="E31" s="1206"/>
      <c r="F31" s="1206"/>
      <c r="G31" s="1206"/>
      <c r="H31" s="1206"/>
      <c r="I31" s="1206"/>
      <c r="J31" s="1207"/>
      <c r="K31" s="198">
        <f t="shared" si="204"/>
        <v>0</v>
      </c>
      <c r="L31" s="198">
        <f t="shared" si="0"/>
        <v>0</v>
      </c>
      <c r="M31" s="1099"/>
      <c r="N31" s="1099"/>
      <c r="O31" s="1099"/>
      <c r="P31" s="518" t="str">
        <f t="shared" si="203"/>
        <v/>
      </c>
      <c r="Q31" s="519" t="str">
        <f>IF(H31="","",P31/($P$6*VLOOKUP(C31,'DCA Underwriting Assumptions'!$J$82:$K$87,2,FALSE)))</f>
        <v/>
      </c>
      <c r="R31" s="607"/>
      <c r="S31" s="519"/>
      <c r="T31" s="1643"/>
      <c r="U31" s="1644"/>
      <c r="V31" s="567" t="str">
        <f t="shared" si="1"/>
        <v/>
      </c>
      <c r="W31" s="567" t="str">
        <f t="shared" si="2"/>
        <v/>
      </c>
      <c r="X31" s="567" t="str">
        <f t="shared" si="3"/>
        <v/>
      </c>
      <c r="Y31" s="567" t="str">
        <f t="shared" si="4"/>
        <v/>
      </c>
      <c r="Z31" s="567" t="str">
        <f t="shared" si="5"/>
        <v/>
      </c>
      <c r="AA31" s="567" t="str">
        <f t="shared" si="6"/>
        <v/>
      </c>
      <c r="AB31" s="567" t="str">
        <f t="shared" si="7"/>
        <v/>
      </c>
      <c r="AC31" s="567" t="str">
        <f t="shared" si="8"/>
        <v/>
      </c>
      <c r="AD31" s="567" t="str">
        <f t="shared" si="9"/>
        <v/>
      </c>
      <c r="AE31" s="567" t="str">
        <f t="shared" si="10"/>
        <v/>
      </c>
      <c r="AF31" s="567" t="str">
        <f t="shared" si="11"/>
        <v/>
      </c>
      <c r="AG31" s="567" t="str">
        <f t="shared" si="12"/>
        <v/>
      </c>
      <c r="AH31" s="567" t="str">
        <f t="shared" si="13"/>
        <v/>
      </c>
      <c r="AI31" s="567" t="str">
        <f t="shared" si="14"/>
        <v/>
      </c>
      <c r="AJ31" s="567" t="str">
        <f t="shared" si="15"/>
        <v/>
      </c>
      <c r="AK31" s="567" t="str">
        <f t="shared" si="16"/>
        <v/>
      </c>
      <c r="AL31" s="567" t="str">
        <f t="shared" si="17"/>
        <v/>
      </c>
      <c r="AM31" s="567" t="str">
        <f t="shared" si="18"/>
        <v/>
      </c>
      <c r="AN31" s="567" t="str">
        <f t="shared" si="19"/>
        <v/>
      </c>
      <c r="AO31" s="567" t="str">
        <f t="shared" si="20"/>
        <v/>
      </c>
      <c r="AP31" s="567" t="str">
        <f t="shared" si="173"/>
        <v/>
      </c>
      <c r="AQ31" s="567" t="str">
        <f t="shared" si="174"/>
        <v/>
      </c>
      <c r="AR31" s="567" t="str">
        <f t="shared" si="175"/>
        <v/>
      </c>
      <c r="AS31" s="567" t="str">
        <f t="shared" si="176"/>
        <v/>
      </c>
      <c r="AT31" s="567" t="str">
        <f t="shared" si="177"/>
        <v/>
      </c>
      <c r="AU31" s="567" t="str">
        <f t="shared" si="178"/>
        <v/>
      </c>
      <c r="AV31" s="567" t="str">
        <f t="shared" si="179"/>
        <v/>
      </c>
      <c r="AW31" s="567" t="str">
        <f t="shared" si="180"/>
        <v/>
      </c>
      <c r="AX31" s="567" t="str">
        <f t="shared" si="181"/>
        <v/>
      </c>
      <c r="AY31" s="567" t="str">
        <f t="shared" si="182"/>
        <v/>
      </c>
      <c r="AZ31" s="567" t="str">
        <f t="shared" si="183"/>
        <v/>
      </c>
      <c r="BA31" s="567" t="str">
        <f t="shared" si="184"/>
        <v/>
      </c>
      <c r="BB31" s="567" t="str">
        <f t="shared" si="185"/>
        <v/>
      </c>
      <c r="BC31" s="567" t="str">
        <f t="shared" si="186"/>
        <v/>
      </c>
      <c r="BD31" s="567" t="str">
        <f t="shared" si="187"/>
        <v/>
      </c>
      <c r="BE31" s="567" t="str">
        <f t="shared" si="188"/>
        <v/>
      </c>
      <c r="BF31" s="567" t="str">
        <f t="shared" si="189"/>
        <v/>
      </c>
      <c r="BG31" s="567" t="str">
        <f t="shared" si="190"/>
        <v/>
      </c>
      <c r="BH31" s="567" t="str">
        <f t="shared" si="191"/>
        <v/>
      </c>
      <c r="BI31" s="567" t="str">
        <f t="shared" si="192"/>
        <v/>
      </c>
      <c r="BJ31" s="567" t="str">
        <f t="shared" si="193"/>
        <v/>
      </c>
      <c r="BK31" s="567" t="str">
        <f t="shared" si="194"/>
        <v/>
      </c>
      <c r="BL31" s="567" t="str">
        <f t="shared" si="195"/>
        <v/>
      </c>
      <c r="BM31" s="567" t="str">
        <f t="shared" si="196"/>
        <v/>
      </c>
      <c r="BN31" s="567" t="str">
        <f t="shared" si="197"/>
        <v/>
      </c>
      <c r="BO31" s="567" t="str">
        <f t="shared" si="198"/>
        <v/>
      </c>
      <c r="BP31" s="567" t="str">
        <f t="shared" si="199"/>
        <v/>
      </c>
      <c r="BQ31" s="567" t="str">
        <f t="shared" si="200"/>
        <v/>
      </c>
      <c r="BR31" s="567" t="str">
        <f t="shared" si="201"/>
        <v/>
      </c>
      <c r="BS31" s="567" t="str">
        <f t="shared" si="202"/>
        <v/>
      </c>
      <c r="BT31" s="567" t="str">
        <f t="shared" si="21"/>
        <v/>
      </c>
      <c r="BU31" s="567" t="str">
        <f t="shared" si="22"/>
        <v/>
      </c>
      <c r="BV31" s="567" t="str">
        <f t="shared" si="23"/>
        <v/>
      </c>
      <c r="BW31" s="567" t="str">
        <f t="shared" si="24"/>
        <v/>
      </c>
      <c r="BX31" s="567" t="str">
        <f t="shared" si="25"/>
        <v/>
      </c>
      <c r="BY31" s="567" t="str">
        <f t="shared" si="26"/>
        <v/>
      </c>
      <c r="BZ31" s="567" t="str">
        <f t="shared" si="27"/>
        <v/>
      </c>
      <c r="CA31" s="567" t="str">
        <f t="shared" si="28"/>
        <v/>
      </c>
      <c r="CB31" s="567" t="str">
        <f t="shared" si="29"/>
        <v/>
      </c>
      <c r="CC31" s="567" t="str">
        <f t="shared" si="30"/>
        <v/>
      </c>
      <c r="CD31" s="567" t="str">
        <f t="shared" si="31"/>
        <v/>
      </c>
      <c r="CE31" s="567" t="str">
        <f t="shared" si="32"/>
        <v/>
      </c>
      <c r="CF31" s="567" t="str">
        <f t="shared" si="33"/>
        <v/>
      </c>
      <c r="CG31" s="567" t="str">
        <f t="shared" si="34"/>
        <v/>
      </c>
      <c r="CH31" s="567" t="str">
        <f t="shared" si="35"/>
        <v/>
      </c>
      <c r="CI31" s="567" t="str">
        <f t="shared" si="36"/>
        <v/>
      </c>
      <c r="CJ31" s="567" t="str">
        <f t="shared" si="37"/>
        <v/>
      </c>
      <c r="CK31" s="567" t="str">
        <f t="shared" si="38"/>
        <v/>
      </c>
      <c r="CL31" s="567" t="str">
        <f t="shared" si="39"/>
        <v/>
      </c>
      <c r="CM31" s="567" t="str">
        <f t="shared" si="40"/>
        <v/>
      </c>
      <c r="CN31" s="567" t="str">
        <f t="shared" si="41"/>
        <v/>
      </c>
      <c r="CO31" s="567" t="str">
        <f t="shared" si="42"/>
        <v/>
      </c>
      <c r="CP31" s="567" t="str">
        <f t="shared" si="43"/>
        <v/>
      </c>
      <c r="CQ31" s="567" t="str">
        <f t="shared" si="44"/>
        <v/>
      </c>
      <c r="CR31" s="567" t="str">
        <f t="shared" si="45"/>
        <v/>
      </c>
      <c r="CS31" s="567" t="str">
        <f t="shared" si="46"/>
        <v/>
      </c>
      <c r="CT31" s="567" t="str">
        <f t="shared" si="47"/>
        <v/>
      </c>
      <c r="CU31" s="567" t="str">
        <f t="shared" si="48"/>
        <v/>
      </c>
      <c r="CV31" s="567" t="str">
        <f t="shared" si="49"/>
        <v/>
      </c>
      <c r="CW31" s="567" t="str">
        <f t="shared" si="50"/>
        <v/>
      </c>
      <c r="CX31" s="567" t="str">
        <f t="shared" si="51"/>
        <v/>
      </c>
      <c r="CY31" s="567" t="str">
        <f t="shared" si="52"/>
        <v/>
      </c>
      <c r="CZ31" s="567" t="str">
        <f t="shared" si="53"/>
        <v/>
      </c>
      <c r="DA31" s="567" t="str">
        <f t="shared" si="54"/>
        <v/>
      </c>
      <c r="DB31" s="567" t="str">
        <f t="shared" si="55"/>
        <v/>
      </c>
      <c r="DC31" s="567" t="str">
        <f t="shared" si="56"/>
        <v/>
      </c>
      <c r="DD31" s="567" t="str">
        <f t="shared" si="57"/>
        <v/>
      </c>
      <c r="DE31" s="567" t="str">
        <f t="shared" si="58"/>
        <v/>
      </c>
      <c r="DF31" s="567" t="str">
        <f t="shared" si="59"/>
        <v/>
      </c>
      <c r="DG31" s="567" t="str">
        <f t="shared" si="60"/>
        <v/>
      </c>
      <c r="DH31" s="567" t="str">
        <f t="shared" si="61"/>
        <v/>
      </c>
      <c r="DI31" s="567" t="str">
        <f t="shared" si="62"/>
        <v/>
      </c>
      <c r="DJ31" s="567" t="str">
        <f t="shared" si="63"/>
        <v/>
      </c>
      <c r="DK31" s="567" t="str">
        <f t="shared" si="64"/>
        <v/>
      </c>
      <c r="DL31" s="567" t="str">
        <f t="shared" si="65"/>
        <v/>
      </c>
      <c r="DM31" s="567" t="str">
        <f t="shared" si="66"/>
        <v/>
      </c>
      <c r="DN31" s="567" t="str">
        <f t="shared" si="67"/>
        <v/>
      </c>
      <c r="DO31" s="567" t="str">
        <f t="shared" si="68"/>
        <v/>
      </c>
      <c r="DP31" s="567" t="str">
        <f t="shared" si="69"/>
        <v/>
      </c>
      <c r="DQ31" s="567" t="str">
        <f t="shared" si="70"/>
        <v/>
      </c>
      <c r="DR31" s="567" t="str">
        <f t="shared" si="71"/>
        <v/>
      </c>
      <c r="DS31" s="567" t="str">
        <f t="shared" si="72"/>
        <v/>
      </c>
      <c r="DT31" s="567" t="str">
        <f t="shared" si="73"/>
        <v/>
      </c>
      <c r="DU31" s="567" t="str">
        <f t="shared" si="74"/>
        <v/>
      </c>
      <c r="DV31" s="567" t="str">
        <f t="shared" si="75"/>
        <v/>
      </c>
      <c r="DW31" s="567" t="str">
        <f t="shared" si="76"/>
        <v/>
      </c>
      <c r="DX31" s="567" t="str">
        <f t="shared" si="77"/>
        <v/>
      </c>
      <c r="DY31" s="567" t="str">
        <f t="shared" si="78"/>
        <v/>
      </c>
      <c r="DZ31" s="567" t="str">
        <f t="shared" si="79"/>
        <v/>
      </c>
      <c r="EA31" s="567" t="str">
        <f t="shared" si="80"/>
        <v/>
      </c>
      <c r="EB31" s="567" t="str">
        <f t="shared" si="81"/>
        <v/>
      </c>
      <c r="EC31" s="567" t="str">
        <f t="shared" si="82"/>
        <v/>
      </c>
      <c r="ED31" s="567" t="str">
        <f t="shared" si="83"/>
        <v/>
      </c>
      <c r="EE31" s="567" t="str">
        <f t="shared" si="84"/>
        <v/>
      </c>
      <c r="EF31" s="567" t="str">
        <f t="shared" si="85"/>
        <v/>
      </c>
      <c r="EG31" s="567" t="str">
        <f t="shared" si="86"/>
        <v/>
      </c>
      <c r="EH31" s="567" t="str">
        <f t="shared" si="87"/>
        <v/>
      </c>
      <c r="EI31" s="567" t="str">
        <f t="shared" si="88"/>
        <v/>
      </c>
      <c r="EJ31" s="567" t="str">
        <f t="shared" si="89"/>
        <v/>
      </c>
      <c r="EK31" s="567" t="str">
        <f t="shared" si="90"/>
        <v/>
      </c>
      <c r="EL31" s="567" t="str">
        <f t="shared" si="91"/>
        <v/>
      </c>
      <c r="EM31" s="567" t="str">
        <f t="shared" si="92"/>
        <v/>
      </c>
      <c r="EN31" s="567" t="str">
        <f t="shared" si="93"/>
        <v/>
      </c>
      <c r="EO31" s="567" t="str">
        <f t="shared" si="94"/>
        <v/>
      </c>
      <c r="EP31" s="567" t="str">
        <f t="shared" si="95"/>
        <v/>
      </c>
      <c r="EQ31" s="567" t="str">
        <f t="shared" si="96"/>
        <v/>
      </c>
      <c r="ER31" s="567" t="str">
        <f t="shared" si="97"/>
        <v/>
      </c>
      <c r="ES31" s="567" t="str">
        <f t="shared" si="98"/>
        <v/>
      </c>
      <c r="ET31" s="567" t="str">
        <f t="shared" si="99"/>
        <v/>
      </c>
      <c r="EU31" s="567" t="str">
        <f t="shared" si="100"/>
        <v/>
      </c>
      <c r="EV31" s="577" t="str">
        <f t="shared" si="101"/>
        <v/>
      </c>
      <c r="EW31" s="577" t="str">
        <f t="shared" si="102"/>
        <v/>
      </c>
      <c r="EX31" s="577" t="str">
        <f t="shared" si="103"/>
        <v/>
      </c>
      <c r="EY31" s="577" t="str">
        <f t="shared" si="104"/>
        <v/>
      </c>
      <c r="EZ31" s="577" t="str">
        <f t="shared" si="105"/>
        <v/>
      </c>
      <c r="FA31" s="577" t="str">
        <f t="shared" si="106"/>
        <v/>
      </c>
      <c r="FB31" s="577" t="str">
        <f t="shared" si="107"/>
        <v/>
      </c>
      <c r="FC31" s="577" t="str">
        <f t="shared" si="108"/>
        <v/>
      </c>
      <c r="FD31" s="577" t="str">
        <f t="shared" si="109"/>
        <v/>
      </c>
      <c r="FE31" s="577" t="str">
        <f t="shared" si="110"/>
        <v/>
      </c>
      <c r="FF31" s="577" t="str">
        <f t="shared" si="111"/>
        <v/>
      </c>
      <c r="FG31" s="577" t="str">
        <f t="shared" si="112"/>
        <v/>
      </c>
      <c r="FH31" s="577" t="str">
        <f t="shared" si="113"/>
        <v/>
      </c>
      <c r="FI31" s="577" t="str">
        <f t="shared" si="114"/>
        <v/>
      </c>
      <c r="FJ31" s="577" t="str">
        <f t="shared" si="115"/>
        <v/>
      </c>
      <c r="FK31" s="577" t="str">
        <f t="shared" si="116"/>
        <v/>
      </c>
      <c r="FL31" s="577" t="str">
        <f t="shared" si="117"/>
        <v/>
      </c>
      <c r="FM31" s="577" t="str">
        <f t="shared" si="118"/>
        <v/>
      </c>
      <c r="FN31" s="577" t="str">
        <f t="shared" si="119"/>
        <v/>
      </c>
      <c r="FO31" s="577" t="str">
        <f t="shared" si="120"/>
        <v/>
      </c>
      <c r="FP31" s="577" t="str">
        <f t="shared" si="121"/>
        <v/>
      </c>
      <c r="FQ31" s="577" t="str">
        <f t="shared" si="122"/>
        <v/>
      </c>
      <c r="FR31" s="577" t="str">
        <f t="shared" si="123"/>
        <v/>
      </c>
      <c r="FS31" s="577" t="str">
        <f t="shared" si="124"/>
        <v/>
      </c>
      <c r="FT31" s="577" t="str">
        <f t="shared" si="125"/>
        <v/>
      </c>
      <c r="FU31" s="577" t="str">
        <f t="shared" si="126"/>
        <v/>
      </c>
      <c r="FV31" s="577" t="str">
        <f t="shared" si="127"/>
        <v/>
      </c>
      <c r="FW31" s="577" t="str">
        <f t="shared" si="128"/>
        <v/>
      </c>
      <c r="FX31" s="577" t="str">
        <f t="shared" si="129"/>
        <v/>
      </c>
      <c r="FY31" s="577" t="str">
        <f t="shared" si="130"/>
        <v/>
      </c>
      <c r="FZ31" s="577" t="str">
        <f t="shared" si="131"/>
        <v/>
      </c>
      <c r="GA31" s="577" t="str">
        <f t="shared" si="132"/>
        <v/>
      </c>
      <c r="GB31" s="577" t="str">
        <f t="shared" si="133"/>
        <v/>
      </c>
      <c r="GC31" s="577" t="str">
        <f t="shared" si="134"/>
        <v/>
      </c>
      <c r="GD31" s="577" t="str">
        <f t="shared" si="135"/>
        <v/>
      </c>
      <c r="GE31" s="577" t="str">
        <f t="shared" si="136"/>
        <v/>
      </c>
      <c r="GF31" s="577" t="str">
        <f t="shared" si="137"/>
        <v/>
      </c>
      <c r="GG31" s="577" t="str">
        <f t="shared" si="138"/>
        <v/>
      </c>
      <c r="GH31" s="577" t="str">
        <f t="shared" si="139"/>
        <v/>
      </c>
      <c r="GI31" s="577" t="str">
        <f t="shared" si="140"/>
        <v/>
      </c>
      <c r="GJ31" s="577" t="str">
        <f t="shared" si="141"/>
        <v/>
      </c>
      <c r="GK31" s="577" t="str">
        <f t="shared" si="142"/>
        <v/>
      </c>
      <c r="GL31" s="577" t="str">
        <f t="shared" si="143"/>
        <v/>
      </c>
      <c r="GM31" s="577" t="str">
        <f t="shared" si="144"/>
        <v/>
      </c>
      <c r="GN31" s="577" t="str">
        <f t="shared" si="145"/>
        <v/>
      </c>
      <c r="GO31" s="578" t="str">
        <f t="shared" si="146"/>
        <v/>
      </c>
      <c r="GP31" s="578" t="str">
        <f t="shared" si="147"/>
        <v/>
      </c>
      <c r="GQ31" s="578" t="str">
        <f t="shared" si="148"/>
        <v/>
      </c>
      <c r="GR31" s="578" t="str">
        <f t="shared" si="149"/>
        <v/>
      </c>
      <c r="GS31" s="578" t="str">
        <f t="shared" si="150"/>
        <v/>
      </c>
      <c r="GT31" s="567" t="str">
        <f t="shared" si="151"/>
        <v/>
      </c>
      <c r="GU31" s="567" t="str">
        <f t="shared" si="152"/>
        <v/>
      </c>
      <c r="GV31" s="567" t="str">
        <f t="shared" si="153"/>
        <v/>
      </c>
      <c r="GW31" s="567" t="str">
        <f t="shared" si="154"/>
        <v/>
      </c>
      <c r="GX31" s="567" t="str">
        <f t="shared" si="155"/>
        <v/>
      </c>
      <c r="GY31" s="567" t="str">
        <f t="shared" si="156"/>
        <v/>
      </c>
      <c r="GZ31" s="567" t="str">
        <f t="shared" si="157"/>
        <v/>
      </c>
      <c r="HA31" s="567" t="str">
        <f t="shared" si="158"/>
        <v/>
      </c>
      <c r="HB31" s="567" t="str">
        <f t="shared" si="159"/>
        <v/>
      </c>
      <c r="HC31" s="567" t="str">
        <f t="shared" si="160"/>
        <v/>
      </c>
      <c r="HD31" s="567" t="str">
        <f t="shared" si="161"/>
        <v/>
      </c>
      <c r="HE31" s="567" t="str">
        <f t="shared" si="162"/>
        <v/>
      </c>
      <c r="HF31" s="567" t="str">
        <f t="shared" si="163"/>
        <v/>
      </c>
      <c r="HG31" s="567" t="str">
        <f t="shared" si="164"/>
        <v/>
      </c>
      <c r="HH31" s="567" t="str">
        <f t="shared" si="165"/>
        <v/>
      </c>
      <c r="HI31" s="567" t="str">
        <f t="shared" si="166"/>
        <v/>
      </c>
      <c r="HJ31" s="567" t="str">
        <f t="shared" si="167"/>
        <v/>
      </c>
      <c r="HK31" s="567" t="str">
        <f t="shared" si="168"/>
        <v/>
      </c>
      <c r="HL31" s="567" t="str">
        <f t="shared" si="169"/>
        <v/>
      </c>
      <c r="HM31" s="567" t="str">
        <f t="shared" si="170"/>
        <v/>
      </c>
    </row>
    <row r="32" spans="1:221" ht="13.15" customHeight="1">
      <c r="A32" s="126" t="str">
        <f t="shared" si="171"/>
        <v/>
      </c>
      <c r="B32" s="1203" t="s">
        <v>1886</v>
      </c>
      <c r="C32" s="1204"/>
      <c r="D32" s="1205"/>
      <c r="E32" s="1206"/>
      <c r="F32" s="1206"/>
      <c r="G32" s="1206"/>
      <c r="H32" s="1206"/>
      <c r="I32" s="1206"/>
      <c r="J32" s="1207"/>
      <c r="K32" s="198">
        <f t="shared" si="204"/>
        <v>0</v>
      </c>
      <c r="L32" s="198">
        <f t="shared" si="0"/>
        <v>0</v>
      </c>
      <c r="M32" s="1099"/>
      <c r="N32" s="1099"/>
      <c r="O32" s="1099"/>
      <c r="P32" s="518" t="str">
        <f t="shared" si="203"/>
        <v/>
      </c>
      <c r="Q32" s="519" t="str">
        <f>IF(H32="","",P32/($P$6*VLOOKUP(C32,'DCA Underwriting Assumptions'!$J$82:$K$87,2,FALSE)))</f>
        <v/>
      </c>
      <c r="R32" s="607"/>
      <c r="S32" s="519"/>
      <c r="T32" s="1643"/>
      <c r="U32" s="1644"/>
      <c r="V32" s="567" t="str">
        <f t="shared" si="1"/>
        <v/>
      </c>
      <c r="W32" s="567" t="str">
        <f t="shared" si="2"/>
        <v/>
      </c>
      <c r="X32" s="567" t="str">
        <f t="shared" si="3"/>
        <v/>
      </c>
      <c r="Y32" s="567" t="str">
        <f t="shared" si="4"/>
        <v/>
      </c>
      <c r="Z32" s="567" t="str">
        <f t="shared" si="5"/>
        <v/>
      </c>
      <c r="AA32" s="567" t="str">
        <f t="shared" si="6"/>
        <v/>
      </c>
      <c r="AB32" s="567" t="str">
        <f t="shared" si="7"/>
        <v/>
      </c>
      <c r="AC32" s="567" t="str">
        <f t="shared" si="8"/>
        <v/>
      </c>
      <c r="AD32" s="567" t="str">
        <f t="shared" si="9"/>
        <v/>
      </c>
      <c r="AE32" s="567" t="str">
        <f t="shared" si="10"/>
        <v/>
      </c>
      <c r="AF32" s="567" t="str">
        <f t="shared" si="11"/>
        <v/>
      </c>
      <c r="AG32" s="567" t="str">
        <f t="shared" si="12"/>
        <v/>
      </c>
      <c r="AH32" s="567" t="str">
        <f t="shared" si="13"/>
        <v/>
      </c>
      <c r="AI32" s="567" t="str">
        <f t="shared" si="14"/>
        <v/>
      </c>
      <c r="AJ32" s="567" t="str">
        <f t="shared" si="15"/>
        <v/>
      </c>
      <c r="AK32" s="567" t="str">
        <f t="shared" si="16"/>
        <v/>
      </c>
      <c r="AL32" s="567" t="str">
        <f t="shared" si="17"/>
        <v/>
      </c>
      <c r="AM32" s="567" t="str">
        <f t="shared" si="18"/>
        <v/>
      </c>
      <c r="AN32" s="567" t="str">
        <f t="shared" si="19"/>
        <v/>
      </c>
      <c r="AO32" s="567" t="str">
        <f t="shared" si="20"/>
        <v/>
      </c>
      <c r="AP32" s="567" t="str">
        <f t="shared" si="173"/>
        <v/>
      </c>
      <c r="AQ32" s="567" t="str">
        <f t="shared" si="174"/>
        <v/>
      </c>
      <c r="AR32" s="567" t="str">
        <f t="shared" si="175"/>
        <v/>
      </c>
      <c r="AS32" s="567" t="str">
        <f t="shared" si="176"/>
        <v/>
      </c>
      <c r="AT32" s="567" t="str">
        <f t="shared" si="177"/>
        <v/>
      </c>
      <c r="AU32" s="567" t="str">
        <f t="shared" si="178"/>
        <v/>
      </c>
      <c r="AV32" s="567" t="str">
        <f t="shared" si="179"/>
        <v/>
      </c>
      <c r="AW32" s="567" t="str">
        <f t="shared" si="180"/>
        <v/>
      </c>
      <c r="AX32" s="567" t="str">
        <f t="shared" si="181"/>
        <v/>
      </c>
      <c r="AY32" s="567" t="str">
        <f t="shared" si="182"/>
        <v/>
      </c>
      <c r="AZ32" s="567" t="str">
        <f t="shared" si="183"/>
        <v/>
      </c>
      <c r="BA32" s="567" t="str">
        <f t="shared" si="184"/>
        <v/>
      </c>
      <c r="BB32" s="567" t="str">
        <f t="shared" si="185"/>
        <v/>
      </c>
      <c r="BC32" s="567" t="str">
        <f t="shared" si="186"/>
        <v/>
      </c>
      <c r="BD32" s="567" t="str">
        <f t="shared" si="187"/>
        <v/>
      </c>
      <c r="BE32" s="567" t="str">
        <f t="shared" si="188"/>
        <v/>
      </c>
      <c r="BF32" s="567" t="str">
        <f t="shared" si="189"/>
        <v/>
      </c>
      <c r="BG32" s="567" t="str">
        <f t="shared" si="190"/>
        <v/>
      </c>
      <c r="BH32" s="567" t="str">
        <f t="shared" si="191"/>
        <v/>
      </c>
      <c r="BI32" s="567" t="str">
        <f t="shared" si="192"/>
        <v/>
      </c>
      <c r="BJ32" s="567" t="str">
        <f t="shared" si="193"/>
        <v/>
      </c>
      <c r="BK32" s="567" t="str">
        <f t="shared" si="194"/>
        <v/>
      </c>
      <c r="BL32" s="567" t="str">
        <f t="shared" si="195"/>
        <v/>
      </c>
      <c r="BM32" s="567" t="str">
        <f t="shared" si="196"/>
        <v/>
      </c>
      <c r="BN32" s="567" t="str">
        <f t="shared" si="197"/>
        <v/>
      </c>
      <c r="BO32" s="567" t="str">
        <f t="shared" si="198"/>
        <v/>
      </c>
      <c r="BP32" s="567" t="str">
        <f t="shared" si="199"/>
        <v/>
      </c>
      <c r="BQ32" s="567" t="str">
        <f t="shared" si="200"/>
        <v/>
      </c>
      <c r="BR32" s="567" t="str">
        <f t="shared" si="201"/>
        <v/>
      </c>
      <c r="BS32" s="567" t="str">
        <f t="shared" si="202"/>
        <v/>
      </c>
      <c r="BT32" s="567" t="str">
        <f t="shared" si="21"/>
        <v/>
      </c>
      <c r="BU32" s="567" t="str">
        <f t="shared" si="22"/>
        <v/>
      </c>
      <c r="BV32" s="567" t="str">
        <f t="shared" si="23"/>
        <v/>
      </c>
      <c r="BW32" s="567" t="str">
        <f t="shared" si="24"/>
        <v/>
      </c>
      <c r="BX32" s="567" t="str">
        <f t="shared" si="25"/>
        <v/>
      </c>
      <c r="BY32" s="567" t="str">
        <f t="shared" si="26"/>
        <v/>
      </c>
      <c r="BZ32" s="567" t="str">
        <f t="shared" si="27"/>
        <v/>
      </c>
      <c r="CA32" s="567" t="str">
        <f t="shared" si="28"/>
        <v/>
      </c>
      <c r="CB32" s="567" t="str">
        <f t="shared" si="29"/>
        <v/>
      </c>
      <c r="CC32" s="567" t="str">
        <f t="shared" si="30"/>
        <v/>
      </c>
      <c r="CD32" s="567" t="str">
        <f t="shared" si="31"/>
        <v/>
      </c>
      <c r="CE32" s="567" t="str">
        <f t="shared" si="32"/>
        <v/>
      </c>
      <c r="CF32" s="567" t="str">
        <f t="shared" si="33"/>
        <v/>
      </c>
      <c r="CG32" s="567" t="str">
        <f t="shared" si="34"/>
        <v/>
      </c>
      <c r="CH32" s="567" t="str">
        <f t="shared" si="35"/>
        <v/>
      </c>
      <c r="CI32" s="567" t="str">
        <f t="shared" si="36"/>
        <v/>
      </c>
      <c r="CJ32" s="567" t="str">
        <f t="shared" si="37"/>
        <v/>
      </c>
      <c r="CK32" s="567" t="str">
        <f t="shared" si="38"/>
        <v/>
      </c>
      <c r="CL32" s="567" t="str">
        <f t="shared" si="39"/>
        <v/>
      </c>
      <c r="CM32" s="567" t="str">
        <f t="shared" si="40"/>
        <v/>
      </c>
      <c r="CN32" s="567" t="str">
        <f t="shared" si="41"/>
        <v/>
      </c>
      <c r="CO32" s="567" t="str">
        <f t="shared" si="42"/>
        <v/>
      </c>
      <c r="CP32" s="567" t="str">
        <f t="shared" si="43"/>
        <v/>
      </c>
      <c r="CQ32" s="567" t="str">
        <f t="shared" si="44"/>
        <v/>
      </c>
      <c r="CR32" s="567" t="str">
        <f t="shared" si="45"/>
        <v/>
      </c>
      <c r="CS32" s="567" t="str">
        <f t="shared" si="46"/>
        <v/>
      </c>
      <c r="CT32" s="567" t="str">
        <f t="shared" si="47"/>
        <v/>
      </c>
      <c r="CU32" s="567" t="str">
        <f t="shared" si="48"/>
        <v/>
      </c>
      <c r="CV32" s="567" t="str">
        <f t="shared" si="49"/>
        <v/>
      </c>
      <c r="CW32" s="567" t="str">
        <f t="shared" si="50"/>
        <v/>
      </c>
      <c r="CX32" s="567" t="str">
        <f t="shared" si="51"/>
        <v/>
      </c>
      <c r="CY32" s="567" t="str">
        <f t="shared" si="52"/>
        <v/>
      </c>
      <c r="CZ32" s="567" t="str">
        <f t="shared" si="53"/>
        <v/>
      </c>
      <c r="DA32" s="567" t="str">
        <f t="shared" si="54"/>
        <v/>
      </c>
      <c r="DB32" s="567" t="str">
        <f t="shared" si="55"/>
        <v/>
      </c>
      <c r="DC32" s="567" t="str">
        <f t="shared" si="56"/>
        <v/>
      </c>
      <c r="DD32" s="567" t="str">
        <f t="shared" si="57"/>
        <v/>
      </c>
      <c r="DE32" s="567" t="str">
        <f t="shared" si="58"/>
        <v/>
      </c>
      <c r="DF32" s="567" t="str">
        <f t="shared" si="59"/>
        <v/>
      </c>
      <c r="DG32" s="567" t="str">
        <f t="shared" si="60"/>
        <v/>
      </c>
      <c r="DH32" s="567" t="str">
        <f t="shared" si="61"/>
        <v/>
      </c>
      <c r="DI32" s="567" t="str">
        <f t="shared" si="62"/>
        <v/>
      </c>
      <c r="DJ32" s="567" t="str">
        <f t="shared" si="63"/>
        <v/>
      </c>
      <c r="DK32" s="567" t="str">
        <f t="shared" si="64"/>
        <v/>
      </c>
      <c r="DL32" s="567" t="str">
        <f t="shared" si="65"/>
        <v/>
      </c>
      <c r="DM32" s="567" t="str">
        <f t="shared" si="66"/>
        <v/>
      </c>
      <c r="DN32" s="567" t="str">
        <f t="shared" si="67"/>
        <v/>
      </c>
      <c r="DO32" s="567" t="str">
        <f t="shared" si="68"/>
        <v/>
      </c>
      <c r="DP32" s="567" t="str">
        <f t="shared" si="69"/>
        <v/>
      </c>
      <c r="DQ32" s="567" t="str">
        <f t="shared" si="70"/>
        <v/>
      </c>
      <c r="DR32" s="567" t="str">
        <f t="shared" si="71"/>
        <v/>
      </c>
      <c r="DS32" s="567" t="str">
        <f t="shared" si="72"/>
        <v/>
      </c>
      <c r="DT32" s="567" t="str">
        <f t="shared" si="73"/>
        <v/>
      </c>
      <c r="DU32" s="567" t="str">
        <f t="shared" si="74"/>
        <v/>
      </c>
      <c r="DV32" s="567" t="str">
        <f t="shared" si="75"/>
        <v/>
      </c>
      <c r="DW32" s="567" t="str">
        <f t="shared" si="76"/>
        <v/>
      </c>
      <c r="DX32" s="567" t="str">
        <f t="shared" si="77"/>
        <v/>
      </c>
      <c r="DY32" s="567" t="str">
        <f t="shared" si="78"/>
        <v/>
      </c>
      <c r="DZ32" s="567" t="str">
        <f t="shared" si="79"/>
        <v/>
      </c>
      <c r="EA32" s="567" t="str">
        <f t="shared" si="80"/>
        <v/>
      </c>
      <c r="EB32" s="567" t="str">
        <f t="shared" si="81"/>
        <v/>
      </c>
      <c r="EC32" s="567" t="str">
        <f t="shared" si="82"/>
        <v/>
      </c>
      <c r="ED32" s="567" t="str">
        <f t="shared" si="83"/>
        <v/>
      </c>
      <c r="EE32" s="567" t="str">
        <f t="shared" si="84"/>
        <v/>
      </c>
      <c r="EF32" s="567" t="str">
        <f t="shared" si="85"/>
        <v/>
      </c>
      <c r="EG32" s="567" t="str">
        <f t="shared" si="86"/>
        <v/>
      </c>
      <c r="EH32" s="567" t="str">
        <f t="shared" si="87"/>
        <v/>
      </c>
      <c r="EI32" s="567" t="str">
        <f t="shared" si="88"/>
        <v/>
      </c>
      <c r="EJ32" s="567" t="str">
        <f t="shared" si="89"/>
        <v/>
      </c>
      <c r="EK32" s="567" t="str">
        <f t="shared" si="90"/>
        <v/>
      </c>
      <c r="EL32" s="567" t="str">
        <f t="shared" si="91"/>
        <v/>
      </c>
      <c r="EM32" s="567" t="str">
        <f t="shared" si="92"/>
        <v/>
      </c>
      <c r="EN32" s="567" t="str">
        <f t="shared" si="93"/>
        <v/>
      </c>
      <c r="EO32" s="567" t="str">
        <f t="shared" si="94"/>
        <v/>
      </c>
      <c r="EP32" s="567" t="str">
        <f t="shared" si="95"/>
        <v/>
      </c>
      <c r="EQ32" s="567" t="str">
        <f t="shared" si="96"/>
        <v/>
      </c>
      <c r="ER32" s="567" t="str">
        <f t="shared" si="97"/>
        <v/>
      </c>
      <c r="ES32" s="567" t="str">
        <f t="shared" si="98"/>
        <v/>
      </c>
      <c r="ET32" s="567" t="str">
        <f t="shared" si="99"/>
        <v/>
      </c>
      <c r="EU32" s="567" t="str">
        <f t="shared" si="100"/>
        <v/>
      </c>
      <c r="EV32" s="577" t="str">
        <f t="shared" si="101"/>
        <v/>
      </c>
      <c r="EW32" s="577" t="str">
        <f t="shared" si="102"/>
        <v/>
      </c>
      <c r="EX32" s="577" t="str">
        <f t="shared" si="103"/>
        <v/>
      </c>
      <c r="EY32" s="577" t="str">
        <f t="shared" si="104"/>
        <v/>
      </c>
      <c r="EZ32" s="577" t="str">
        <f t="shared" si="105"/>
        <v/>
      </c>
      <c r="FA32" s="577" t="str">
        <f t="shared" si="106"/>
        <v/>
      </c>
      <c r="FB32" s="577" t="str">
        <f t="shared" si="107"/>
        <v/>
      </c>
      <c r="FC32" s="577" t="str">
        <f t="shared" si="108"/>
        <v/>
      </c>
      <c r="FD32" s="577" t="str">
        <f t="shared" si="109"/>
        <v/>
      </c>
      <c r="FE32" s="577" t="str">
        <f t="shared" si="110"/>
        <v/>
      </c>
      <c r="FF32" s="577" t="str">
        <f t="shared" si="111"/>
        <v/>
      </c>
      <c r="FG32" s="577" t="str">
        <f t="shared" si="112"/>
        <v/>
      </c>
      <c r="FH32" s="577" t="str">
        <f t="shared" si="113"/>
        <v/>
      </c>
      <c r="FI32" s="577" t="str">
        <f t="shared" si="114"/>
        <v/>
      </c>
      <c r="FJ32" s="577" t="str">
        <f t="shared" si="115"/>
        <v/>
      </c>
      <c r="FK32" s="577" t="str">
        <f t="shared" si="116"/>
        <v/>
      </c>
      <c r="FL32" s="577" t="str">
        <f t="shared" si="117"/>
        <v/>
      </c>
      <c r="FM32" s="577" t="str">
        <f t="shared" si="118"/>
        <v/>
      </c>
      <c r="FN32" s="577" t="str">
        <f t="shared" si="119"/>
        <v/>
      </c>
      <c r="FO32" s="577" t="str">
        <f t="shared" si="120"/>
        <v/>
      </c>
      <c r="FP32" s="577" t="str">
        <f t="shared" si="121"/>
        <v/>
      </c>
      <c r="FQ32" s="577" t="str">
        <f t="shared" si="122"/>
        <v/>
      </c>
      <c r="FR32" s="577" t="str">
        <f t="shared" si="123"/>
        <v/>
      </c>
      <c r="FS32" s="577" t="str">
        <f t="shared" si="124"/>
        <v/>
      </c>
      <c r="FT32" s="577" t="str">
        <f t="shared" si="125"/>
        <v/>
      </c>
      <c r="FU32" s="577" t="str">
        <f t="shared" si="126"/>
        <v/>
      </c>
      <c r="FV32" s="577" t="str">
        <f t="shared" si="127"/>
        <v/>
      </c>
      <c r="FW32" s="577" t="str">
        <f t="shared" si="128"/>
        <v/>
      </c>
      <c r="FX32" s="577" t="str">
        <f t="shared" si="129"/>
        <v/>
      </c>
      <c r="FY32" s="577" t="str">
        <f t="shared" si="130"/>
        <v/>
      </c>
      <c r="FZ32" s="577" t="str">
        <f t="shared" si="131"/>
        <v/>
      </c>
      <c r="GA32" s="577" t="str">
        <f t="shared" si="132"/>
        <v/>
      </c>
      <c r="GB32" s="577" t="str">
        <f t="shared" si="133"/>
        <v/>
      </c>
      <c r="GC32" s="577" t="str">
        <f t="shared" si="134"/>
        <v/>
      </c>
      <c r="GD32" s="577" t="str">
        <f t="shared" si="135"/>
        <v/>
      </c>
      <c r="GE32" s="577" t="str">
        <f t="shared" si="136"/>
        <v/>
      </c>
      <c r="GF32" s="577" t="str">
        <f t="shared" si="137"/>
        <v/>
      </c>
      <c r="GG32" s="577" t="str">
        <f t="shared" si="138"/>
        <v/>
      </c>
      <c r="GH32" s="577" t="str">
        <f t="shared" si="139"/>
        <v/>
      </c>
      <c r="GI32" s="577" t="str">
        <f t="shared" si="140"/>
        <v/>
      </c>
      <c r="GJ32" s="577" t="str">
        <f t="shared" si="141"/>
        <v/>
      </c>
      <c r="GK32" s="577" t="str">
        <f t="shared" si="142"/>
        <v/>
      </c>
      <c r="GL32" s="577" t="str">
        <f t="shared" si="143"/>
        <v/>
      </c>
      <c r="GM32" s="577" t="str">
        <f t="shared" si="144"/>
        <v/>
      </c>
      <c r="GN32" s="577" t="str">
        <f t="shared" si="145"/>
        <v/>
      </c>
      <c r="GO32" s="578" t="str">
        <f t="shared" si="146"/>
        <v/>
      </c>
      <c r="GP32" s="578" t="str">
        <f t="shared" si="147"/>
        <v/>
      </c>
      <c r="GQ32" s="578" t="str">
        <f t="shared" si="148"/>
        <v/>
      </c>
      <c r="GR32" s="578" t="str">
        <f t="shared" si="149"/>
        <v/>
      </c>
      <c r="GS32" s="578" t="str">
        <f t="shared" si="150"/>
        <v/>
      </c>
      <c r="GT32" s="567" t="str">
        <f t="shared" si="151"/>
        <v/>
      </c>
      <c r="GU32" s="567" t="str">
        <f t="shared" si="152"/>
        <v/>
      </c>
      <c r="GV32" s="567" t="str">
        <f t="shared" si="153"/>
        <v/>
      </c>
      <c r="GW32" s="567" t="str">
        <f t="shared" si="154"/>
        <v/>
      </c>
      <c r="GX32" s="567" t="str">
        <f t="shared" si="155"/>
        <v/>
      </c>
      <c r="GY32" s="567" t="str">
        <f t="shared" si="156"/>
        <v/>
      </c>
      <c r="GZ32" s="567" t="str">
        <f t="shared" si="157"/>
        <v/>
      </c>
      <c r="HA32" s="567" t="str">
        <f t="shared" si="158"/>
        <v/>
      </c>
      <c r="HB32" s="567" t="str">
        <f t="shared" si="159"/>
        <v/>
      </c>
      <c r="HC32" s="567" t="str">
        <f t="shared" si="160"/>
        <v/>
      </c>
      <c r="HD32" s="567" t="str">
        <f t="shared" si="161"/>
        <v/>
      </c>
      <c r="HE32" s="567" t="str">
        <f t="shared" si="162"/>
        <v/>
      </c>
      <c r="HF32" s="567" t="str">
        <f t="shared" si="163"/>
        <v/>
      </c>
      <c r="HG32" s="567" t="str">
        <f t="shared" si="164"/>
        <v/>
      </c>
      <c r="HH32" s="567" t="str">
        <f t="shared" si="165"/>
        <v/>
      </c>
      <c r="HI32" s="567" t="str">
        <f t="shared" si="166"/>
        <v/>
      </c>
      <c r="HJ32" s="567" t="str">
        <f t="shared" si="167"/>
        <v/>
      </c>
      <c r="HK32" s="567" t="str">
        <f t="shared" si="168"/>
        <v/>
      </c>
      <c r="HL32" s="567" t="str">
        <f t="shared" si="169"/>
        <v/>
      </c>
      <c r="HM32" s="567" t="str">
        <f t="shared" si="170"/>
        <v/>
      </c>
    </row>
    <row r="33" spans="1:221" ht="13.15" customHeight="1">
      <c r="A33" s="126" t="str">
        <f t="shared" si="171"/>
        <v/>
      </c>
      <c r="B33" s="1203" t="s">
        <v>1886</v>
      </c>
      <c r="C33" s="1204"/>
      <c r="D33" s="1205"/>
      <c r="E33" s="1206"/>
      <c r="F33" s="1206"/>
      <c r="G33" s="1206"/>
      <c r="H33" s="1206"/>
      <c r="I33" s="1206"/>
      <c r="J33" s="1207"/>
      <c r="K33" s="198">
        <f t="shared" si="204"/>
        <v>0</v>
      </c>
      <c r="L33" s="198">
        <f t="shared" si="0"/>
        <v>0</v>
      </c>
      <c r="M33" s="1099"/>
      <c r="N33" s="1099"/>
      <c r="O33" s="1099"/>
      <c r="P33" s="518" t="str">
        <f t="shared" si="203"/>
        <v/>
      </c>
      <c r="Q33" s="519" t="str">
        <f>IF(H33="","",P33/($P$6*VLOOKUP(C33,'DCA Underwriting Assumptions'!$J$82:$K$87,2,FALSE)))</f>
        <v/>
      </c>
      <c r="R33" s="607"/>
      <c r="S33" s="519"/>
      <c r="T33" s="1643"/>
      <c r="U33" s="1644"/>
      <c r="V33" s="567" t="str">
        <f t="shared" si="1"/>
        <v/>
      </c>
      <c r="W33" s="567" t="str">
        <f t="shared" si="2"/>
        <v/>
      </c>
      <c r="X33" s="567" t="str">
        <f t="shared" si="3"/>
        <v/>
      </c>
      <c r="Y33" s="567" t="str">
        <f t="shared" si="4"/>
        <v/>
      </c>
      <c r="Z33" s="567" t="str">
        <f t="shared" si="5"/>
        <v/>
      </c>
      <c r="AA33" s="567" t="str">
        <f t="shared" si="6"/>
        <v/>
      </c>
      <c r="AB33" s="567" t="str">
        <f t="shared" si="7"/>
        <v/>
      </c>
      <c r="AC33" s="567" t="str">
        <f t="shared" si="8"/>
        <v/>
      </c>
      <c r="AD33" s="567" t="str">
        <f t="shared" si="9"/>
        <v/>
      </c>
      <c r="AE33" s="567" t="str">
        <f t="shared" si="10"/>
        <v/>
      </c>
      <c r="AF33" s="567" t="str">
        <f t="shared" si="11"/>
        <v/>
      </c>
      <c r="AG33" s="567" t="str">
        <f t="shared" si="12"/>
        <v/>
      </c>
      <c r="AH33" s="567" t="str">
        <f t="shared" si="13"/>
        <v/>
      </c>
      <c r="AI33" s="567" t="str">
        <f t="shared" si="14"/>
        <v/>
      </c>
      <c r="AJ33" s="567" t="str">
        <f t="shared" si="15"/>
        <v/>
      </c>
      <c r="AK33" s="567" t="str">
        <f t="shared" si="16"/>
        <v/>
      </c>
      <c r="AL33" s="567" t="str">
        <f t="shared" si="17"/>
        <v/>
      </c>
      <c r="AM33" s="567" t="str">
        <f t="shared" si="18"/>
        <v/>
      </c>
      <c r="AN33" s="567" t="str">
        <f t="shared" si="19"/>
        <v/>
      </c>
      <c r="AO33" s="567" t="str">
        <f t="shared" si="20"/>
        <v/>
      </c>
      <c r="AP33" s="567" t="str">
        <f t="shared" si="173"/>
        <v/>
      </c>
      <c r="AQ33" s="567" t="str">
        <f t="shared" si="174"/>
        <v/>
      </c>
      <c r="AR33" s="567" t="str">
        <f t="shared" si="175"/>
        <v/>
      </c>
      <c r="AS33" s="567" t="str">
        <f t="shared" si="176"/>
        <v/>
      </c>
      <c r="AT33" s="567" t="str">
        <f t="shared" si="177"/>
        <v/>
      </c>
      <c r="AU33" s="567" t="str">
        <f t="shared" si="178"/>
        <v/>
      </c>
      <c r="AV33" s="567" t="str">
        <f t="shared" si="179"/>
        <v/>
      </c>
      <c r="AW33" s="567" t="str">
        <f t="shared" si="180"/>
        <v/>
      </c>
      <c r="AX33" s="567" t="str">
        <f t="shared" si="181"/>
        <v/>
      </c>
      <c r="AY33" s="567" t="str">
        <f t="shared" si="182"/>
        <v/>
      </c>
      <c r="AZ33" s="567" t="str">
        <f t="shared" si="183"/>
        <v/>
      </c>
      <c r="BA33" s="567" t="str">
        <f t="shared" si="184"/>
        <v/>
      </c>
      <c r="BB33" s="567" t="str">
        <f t="shared" si="185"/>
        <v/>
      </c>
      <c r="BC33" s="567" t="str">
        <f t="shared" si="186"/>
        <v/>
      </c>
      <c r="BD33" s="567" t="str">
        <f t="shared" si="187"/>
        <v/>
      </c>
      <c r="BE33" s="567" t="str">
        <f t="shared" si="188"/>
        <v/>
      </c>
      <c r="BF33" s="567" t="str">
        <f t="shared" si="189"/>
        <v/>
      </c>
      <c r="BG33" s="567" t="str">
        <f t="shared" si="190"/>
        <v/>
      </c>
      <c r="BH33" s="567" t="str">
        <f t="shared" si="191"/>
        <v/>
      </c>
      <c r="BI33" s="567" t="str">
        <f t="shared" si="192"/>
        <v/>
      </c>
      <c r="BJ33" s="567" t="str">
        <f t="shared" si="193"/>
        <v/>
      </c>
      <c r="BK33" s="567" t="str">
        <f t="shared" si="194"/>
        <v/>
      </c>
      <c r="BL33" s="567" t="str">
        <f t="shared" si="195"/>
        <v/>
      </c>
      <c r="BM33" s="567" t="str">
        <f t="shared" si="196"/>
        <v/>
      </c>
      <c r="BN33" s="567" t="str">
        <f t="shared" si="197"/>
        <v/>
      </c>
      <c r="BO33" s="567" t="str">
        <f t="shared" si="198"/>
        <v/>
      </c>
      <c r="BP33" s="567" t="str">
        <f t="shared" si="199"/>
        <v/>
      </c>
      <c r="BQ33" s="567" t="str">
        <f t="shared" si="200"/>
        <v/>
      </c>
      <c r="BR33" s="567" t="str">
        <f t="shared" si="201"/>
        <v/>
      </c>
      <c r="BS33" s="567" t="str">
        <f t="shared" si="202"/>
        <v/>
      </c>
      <c r="BT33" s="567" t="str">
        <f t="shared" si="21"/>
        <v/>
      </c>
      <c r="BU33" s="567" t="str">
        <f t="shared" si="22"/>
        <v/>
      </c>
      <c r="BV33" s="567" t="str">
        <f t="shared" si="23"/>
        <v/>
      </c>
      <c r="BW33" s="567" t="str">
        <f t="shared" si="24"/>
        <v/>
      </c>
      <c r="BX33" s="567" t="str">
        <f t="shared" si="25"/>
        <v/>
      </c>
      <c r="BY33" s="567" t="str">
        <f t="shared" si="26"/>
        <v/>
      </c>
      <c r="BZ33" s="567" t="str">
        <f t="shared" si="27"/>
        <v/>
      </c>
      <c r="CA33" s="567" t="str">
        <f t="shared" si="28"/>
        <v/>
      </c>
      <c r="CB33" s="567" t="str">
        <f t="shared" si="29"/>
        <v/>
      </c>
      <c r="CC33" s="567" t="str">
        <f t="shared" si="30"/>
        <v/>
      </c>
      <c r="CD33" s="567" t="str">
        <f t="shared" si="31"/>
        <v/>
      </c>
      <c r="CE33" s="567" t="str">
        <f t="shared" si="32"/>
        <v/>
      </c>
      <c r="CF33" s="567" t="str">
        <f t="shared" si="33"/>
        <v/>
      </c>
      <c r="CG33" s="567" t="str">
        <f t="shared" si="34"/>
        <v/>
      </c>
      <c r="CH33" s="567" t="str">
        <f t="shared" si="35"/>
        <v/>
      </c>
      <c r="CI33" s="567" t="str">
        <f t="shared" si="36"/>
        <v/>
      </c>
      <c r="CJ33" s="567" t="str">
        <f t="shared" si="37"/>
        <v/>
      </c>
      <c r="CK33" s="567" t="str">
        <f t="shared" si="38"/>
        <v/>
      </c>
      <c r="CL33" s="567" t="str">
        <f t="shared" si="39"/>
        <v/>
      </c>
      <c r="CM33" s="567" t="str">
        <f t="shared" si="40"/>
        <v/>
      </c>
      <c r="CN33" s="567" t="str">
        <f t="shared" si="41"/>
        <v/>
      </c>
      <c r="CO33" s="567" t="str">
        <f t="shared" si="42"/>
        <v/>
      </c>
      <c r="CP33" s="567" t="str">
        <f t="shared" si="43"/>
        <v/>
      </c>
      <c r="CQ33" s="567" t="str">
        <f t="shared" si="44"/>
        <v/>
      </c>
      <c r="CR33" s="567" t="str">
        <f t="shared" si="45"/>
        <v/>
      </c>
      <c r="CS33" s="567" t="str">
        <f t="shared" si="46"/>
        <v/>
      </c>
      <c r="CT33" s="567" t="str">
        <f t="shared" si="47"/>
        <v/>
      </c>
      <c r="CU33" s="567" t="str">
        <f t="shared" si="48"/>
        <v/>
      </c>
      <c r="CV33" s="567" t="str">
        <f t="shared" si="49"/>
        <v/>
      </c>
      <c r="CW33" s="567" t="str">
        <f t="shared" si="50"/>
        <v/>
      </c>
      <c r="CX33" s="567" t="str">
        <f t="shared" si="51"/>
        <v/>
      </c>
      <c r="CY33" s="567" t="str">
        <f t="shared" si="52"/>
        <v/>
      </c>
      <c r="CZ33" s="567" t="str">
        <f t="shared" si="53"/>
        <v/>
      </c>
      <c r="DA33" s="567" t="str">
        <f t="shared" si="54"/>
        <v/>
      </c>
      <c r="DB33" s="567" t="str">
        <f t="shared" si="55"/>
        <v/>
      </c>
      <c r="DC33" s="567" t="str">
        <f t="shared" si="56"/>
        <v/>
      </c>
      <c r="DD33" s="567" t="str">
        <f t="shared" si="57"/>
        <v/>
      </c>
      <c r="DE33" s="567" t="str">
        <f t="shared" si="58"/>
        <v/>
      </c>
      <c r="DF33" s="567" t="str">
        <f t="shared" si="59"/>
        <v/>
      </c>
      <c r="DG33" s="567" t="str">
        <f t="shared" si="60"/>
        <v/>
      </c>
      <c r="DH33" s="567" t="str">
        <f t="shared" si="61"/>
        <v/>
      </c>
      <c r="DI33" s="567" t="str">
        <f t="shared" si="62"/>
        <v/>
      </c>
      <c r="DJ33" s="567" t="str">
        <f t="shared" si="63"/>
        <v/>
      </c>
      <c r="DK33" s="567" t="str">
        <f t="shared" si="64"/>
        <v/>
      </c>
      <c r="DL33" s="567" t="str">
        <f t="shared" si="65"/>
        <v/>
      </c>
      <c r="DM33" s="567" t="str">
        <f t="shared" si="66"/>
        <v/>
      </c>
      <c r="DN33" s="567" t="str">
        <f t="shared" si="67"/>
        <v/>
      </c>
      <c r="DO33" s="567" t="str">
        <f t="shared" si="68"/>
        <v/>
      </c>
      <c r="DP33" s="567" t="str">
        <f t="shared" si="69"/>
        <v/>
      </c>
      <c r="DQ33" s="567" t="str">
        <f t="shared" si="70"/>
        <v/>
      </c>
      <c r="DR33" s="567" t="str">
        <f t="shared" si="71"/>
        <v/>
      </c>
      <c r="DS33" s="567" t="str">
        <f t="shared" si="72"/>
        <v/>
      </c>
      <c r="DT33" s="567" t="str">
        <f t="shared" si="73"/>
        <v/>
      </c>
      <c r="DU33" s="567" t="str">
        <f t="shared" si="74"/>
        <v/>
      </c>
      <c r="DV33" s="567" t="str">
        <f t="shared" si="75"/>
        <v/>
      </c>
      <c r="DW33" s="567" t="str">
        <f t="shared" si="76"/>
        <v/>
      </c>
      <c r="DX33" s="567" t="str">
        <f t="shared" si="77"/>
        <v/>
      </c>
      <c r="DY33" s="567" t="str">
        <f t="shared" si="78"/>
        <v/>
      </c>
      <c r="DZ33" s="567" t="str">
        <f t="shared" si="79"/>
        <v/>
      </c>
      <c r="EA33" s="567" t="str">
        <f t="shared" si="80"/>
        <v/>
      </c>
      <c r="EB33" s="567" t="str">
        <f t="shared" si="81"/>
        <v/>
      </c>
      <c r="EC33" s="567" t="str">
        <f t="shared" si="82"/>
        <v/>
      </c>
      <c r="ED33" s="567" t="str">
        <f t="shared" si="83"/>
        <v/>
      </c>
      <c r="EE33" s="567" t="str">
        <f t="shared" si="84"/>
        <v/>
      </c>
      <c r="EF33" s="567" t="str">
        <f t="shared" si="85"/>
        <v/>
      </c>
      <c r="EG33" s="567" t="str">
        <f t="shared" si="86"/>
        <v/>
      </c>
      <c r="EH33" s="567" t="str">
        <f t="shared" si="87"/>
        <v/>
      </c>
      <c r="EI33" s="567" t="str">
        <f t="shared" si="88"/>
        <v/>
      </c>
      <c r="EJ33" s="567" t="str">
        <f t="shared" si="89"/>
        <v/>
      </c>
      <c r="EK33" s="567" t="str">
        <f t="shared" si="90"/>
        <v/>
      </c>
      <c r="EL33" s="567" t="str">
        <f t="shared" si="91"/>
        <v/>
      </c>
      <c r="EM33" s="567" t="str">
        <f t="shared" si="92"/>
        <v/>
      </c>
      <c r="EN33" s="567" t="str">
        <f t="shared" si="93"/>
        <v/>
      </c>
      <c r="EO33" s="567" t="str">
        <f t="shared" si="94"/>
        <v/>
      </c>
      <c r="EP33" s="567" t="str">
        <f t="shared" si="95"/>
        <v/>
      </c>
      <c r="EQ33" s="567" t="str">
        <f t="shared" si="96"/>
        <v/>
      </c>
      <c r="ER33" s="567" t="str">
        <f t="shared" si="97"/>
        <v/>
      </c>
      <c r="ES33" s="567" t="str">
        <f t="shared" si="98"/>
        <v/>
      </c>
      <c r="ET33" s="567" t="str">
        <f t="shared" si="99"/>
        <v/>
      </c>
      <c r="EU33" s="567" t="str">
        <f t="shared" si="100"/>
        <v/>
      </c>
      <c r="EV33" s="577" t="str">
        <f t="shared" si="101"/>
        <v/>
      </c>
      <c r="EW33" s="577" t="str">
        <f t="shared" si="102"/>
        <v/>
      </c>
      <c r="EX33" s="577" t="str">
        <f t="shared" si="103"/>
        <v/>
      </c>
      <c r="EY33" s="577" t="str">
        <f t="shared" si="104"/>
        <v/>
      </c>
      <c r="EZ33" s="577" t="str">
        <f t="shared" si="105"/>
        <v/>
      </c>
      <c r="FA33" s="577" t="str">
        <f t="shared" si="106"/>
        <v/>
      </c>
      <c r="FB33" s="577" t="str">
        <f t="shared" si="107"/>
        <v/>
      </c>
      <c r="FC33" s="577" t="str">
        <f t="shared" si="108"/>
        <v/>
      </c>
      <c r="FD33" s="577" t="str">
        <f t="shared" si="109"/>
        <v/>
      </c>
      <c r="FE33" s="577" t="str">
        <f t="shared" si="110"/>
        <v/>
      </c>
      <c r="FF33" s="577" t="str">
        <f t="shared" si="111"/>
        <v/>
      </c>
      <c r="FG33" s="577" t="str">
        <f t="shared" si="112"/>
        <v/>
      </c>
      <c r="FH33" s="577" t="str">
        <f t="shared" si="113"/>
        <v/>
      </c>
      <c r="FI33" s="577" t="str">
        <f t="shared" si="114"/>
        <v/>
      </c>
      <c r="FJ33" s="577" t="str">
        <f t="shared" si="115"/>
        <v/>
      </c>
      <c r="FK33" s="577" t="str">
        <f t="shared" si="116"/>
        <v/>
      </c>
      <c r="FL33" s="577" t="str">
        <f t="shared" si="117"/>
        <v/>
      </c>
      <c r="FM33" s="577" t="str">
        <f t="shared" si="118"/>
        <v/>
      </c>
      <c r="FN33" s="577" t="str">
        <f t="shared" si="119"/>
        <v/>
      </c>
      <c r="FO33" s="577" t="str">
        <f t="shared" si="120"/>
        <v/>
      </c>
      <c r="FP33" s="577" t="str">
        <f t="shared" si="121"/>
        <v/>
      </c>
      <c r="FQ33" s="577" t="str">
        <f t="shared" si="122"/>
        <v/>
      </c>
      <c r="FR33" s="577" t="str">
        <f t="shared" si="123"/>
        <v/>
      </c>
      <c r="FS33" s="577" t="str">
        <f t="shared" si="124"/>
        <v/>
      </c>
      <c r="FT33" s="577" t="str">
        <f t="shared" si="125"/>
        <v/>
      </c>
      <c r="FU33" s="577" t="str">
        <f t="shared" si="126"/>
        <v/>
      </c>
      <c r="FV33" s="577" t="str">
        <f t="shared" si="127"/>
        <v/>
      </c>
      <c r="FW33" s="577" t="str">
        <f t="shared" si="128"/>
        <v/>
      </c>
      <c r="FX33" s="577" t="str">
        <f t="shared" si="129"/>
        <v/>
      </c>
      <c r="FY33" s="577" t="str">
        <f t="shared" si="130"/>
        <v/>
      </c>
      <c r="FZ33" s="577" t="str">
        <f t="shared" si="131"/>
        <v/>
      </c>
      <c r="GA33" s="577" t="str">
        <f t="shared" si="132"/>
        <v/>
      </c>
      <c r="GB33" s="577" t="str">
        <f t="shared" si="133"/>
        <v/>
      </c>
      <c r="GC33" s="577" t="str">
        <f t="shared" si="134"/>
        <v/>
      </c>
      <c r="GD33" s="577" t="str">
        <f t="shared" si="135"/>
        <v/>
      </c>
      <c r="GE33" s="577" t="str">
        <f t="shared" si="136"/>
        <v/>
      </c>
      <c r="GF33" s="577" t="str">
        <f t="shared" si="137"/>
        <v/>
      </c>
      <c r="GG33" s="577" t="str">
        <f t="shared" si="138"/>
        <v/>
      </c>
      <c r="GH33" s="577" t="str">
        <f t="shared" si="139"/>
        <v/>
      </c>
      <c r="GI33" s="577" t="str">
        <f t="shared" si="140"/>
        <v/>
      </c>
      <c r="GJ33" s="577" t="str">
        <f t="shared" si="141"/>
        <v/>
      </c>
      <c r="GK33" s="577" t="str">
        <f t="shared" si="142"/>
        <v/>
      </c>
      <c r="GL33" s="577" t="str">
        <f t="shared" si="143"/>
        <v/>
      </c>
      <c r="GM33" s="577" t="str">
        <f t="shared" si="144"/>
        <v/>
      </c>
      <c r="GN33" s="577" t="str">
        <f t="shared" si="145"/>
        <v/>
      </c>
      <c r="GO33" s="578" t="str">
        <f t="shared" si="146"/>
        <v/>
      </c>
      <c r="GP33" s="578" t="str">
        <f t="shared" si="147"/>
        <v/>
      </c>
      <c r="GQ33" s="578" t="str">
        <f t="shared" si="148"/>
        <v/>
      </c>
      <c r="GR33" s="578" t="str">
        <f t="shared" si="149"/>
        <v/>
      </c>
      <c r="GS33" s="578" t="str">
        <f t="shared" si="150"/>
        <v/>
      </c>
      <c r="GT33" s="567" t="str">
        <f t="shared" si="151"/>
        <v/>
      </c>
      <c r="GU33" s="567" t="str">
        <f t="shared" si="152"/>
        <v/>
      </c>
      <c r="GV33" s="567" t="str">
        <f t="shared" si="153"/>
        <v/>
      </c>
      <c r="GW33" s="567" t="str">
        <f t="shared" si="154"/>
        <v/>
      </c>
      <c r="GX33" s="567" t="str">
        <f t="shared" si="155"/>
        <v/>
      </c>
      <c r="GY33" s="567" t="str">
        <f t="shared" si="156"/>
        <v/>
      </c>
      <c r="GZ33" s="567" t="str">
        <f t="shared" si="157"/>
        <v/>
      </c>
      <c r="HA33" s="567" t="str">
        <f t="shared" si="158"/>
        <v/>
      </c>
      <c r="HB33" s="567" t="str">
        <f t="shared" si="159"/>
        <v/>
      </c>
      <c r="HC33" s="567" t="str">
        <f t="shared" si="160"/>
        <v/>
      </c>
      <c r="HD33" s="567" t="str">
        <f t="shared" si="161"/>
        <v/>
      </c>
      <c r="HE33" s="567" t="str">
        <f t="shared" si="162"/>
        <v/>
      </c>
      <c r="HF33" s="567" t="str">
        <f t="shared" si="163"/>
        <v/>
      </c>
      <c r="HG33" s="567" t="str">
        <f t="shared" si="164"/>
        <v/>
      </c>
      <c r="HH33" s="567" t="str">
        <f t="shared" si="165"/>
        <v/>
      </c>
      <c r="HI33" s="567" t="str">
        <f t="shared" si="166"/>
        <v/>
      </c>
      <c r="HJ33" s="567" t="str">
        <f t="shared" si="167"/>
        <v/>
      </c>
      <c r="HK33" s="567" t="str">
        <f t="shared" si="168"/>
        <v/>
      </c>
      <c r="HL33" s="567" t="str">
        <f t="shared" si="169"/>
        <v/>
      </c>
      <c r="HM33" s="567" t="str">
        <f t="shared" si="170"/>
        <v/>
      </c>
    </row>
    <row r="34" spans="1:221" ht="13.15" customHeight="1">
      <c r="A34" s="126" t="str">
        <f t="shared" si="171"/>
        <v/>
      </c>
      <c r="B34" s="1203" t="s">
        <v>1886</v>
      </c>
      <c r="C34" s="1204"/>
      <c r="D34" s="1205"/>
      <c r="E34" s="1206"/>
      <c r="F34" s="1206"/>
      <c r="G34" s="1206"/>
      <c r="H34" s="1206"/>
      <c r="I34" s="1206"/>
      <c r="J34" s="1207"/>
      <c r="K34" s="198">
        <f t="shared" si="204"/>
        <v>0</v>
      </c>
      <c r="L34" s="198">
        <f t="shared" si="0"/>
        <v>0</v>
      </c>
      <c r="M34" s="1099"/>
      <c r="N34" s="1099"/>
      <c r="O34" s="1099"/>
      <c r="P34" s="518" t="str">
        <f t="shared" si="203"/>
        <v/>
      </c>
      <c r="Q34" s="519" t="str">
        <f>IF(H34="","",P34/($P$6*VLOOKUP(C34,'DCA Underwriting Assumptions'!$J$82:$K$87,2,FALSE)))</f>
        <v/>
      </c>
      <c r="R34" s="607"/>
      <c r="S34" s="519"/>
      <c r="T34" s="1643"/>
      <c r="U34" s="1644"/>
      <c r="V34" s="567" t="str">
        <f t="shared" si="1"/>
        <v/>
      </c>
      <c r="W34" s="567" t="str">
        <f t="shared" si="2"/>
        <v/>
      </c>
      <c r="X34" s="567" t="str">
        <f t="shared" si="3"/>
        <v/>
      </c>
      <c r="Y34" s="567" t="str">
        <f t="shared" si="4"/>
        <v/>
      </c>
      <c r="Z34" s="567" t="str">
        <f t="shared" si="5"/>
        <v/>
      </c>
      <c r="AA34" s="567" t="str">
        <f t="shared" si="6"/>
        <v/>
      </c>
      <c r="AB34" s="567" t="str">
        <f t="shared" si="7"/>
        <v/>
      </c>
      <c r="AC34" s="567" t="str">
        <f t="shared" si="8"/>
        <v/>
      </c>
      <c r="AD34" s="567" t="str">
        <f t="shared" si="9"/>
        <v/>
      </c>
      <c r="AE34" s="567" t="str">
        <f t="shared" si="10"/>
        <v/>
      </c>
      <c r="AF34" s="567" t="str">
        <f t="shared" si="11"/>
        <v/>
      </c>
      <c r="AG34" s="567" t="str">
        <f t="shared" si="12"/>
        <v/>
      </c>
      <c r="AH34" s="567" t="str">
        <f t="shared" si="13"/>
        <v/>
      </c>
      <c r="AI34" s="567" t="str">
        <f t="shared" si="14"/>
        <v/>
      </c>
      <c r="AJ34" s="567" t="str">
        <f t="shared" si="15"/>
        <v/>
      </c>
      <c r="AK34" s="567" t="str">
        <f t="shared" si="16"/>
        <v/>
      </c>
      <c r="AL34" s="567" t="str">
        <f t="shared" si="17"/>
        <v/>
      </c>
      <c r="AM34" s="567" t="str">
        <f t="shared" si="18"/>
        <v/>
      </c>
      <c r="AN34" s="567" t="str">
        <f t="shared" si="19"/>
        <v/>
      </c>
      <c r="AO34" s="567" t="str">
        <f t="shared" si="20"/>
        <v/>
      </c>
      <c r="AP34" s="567" t="str">
        <f t="shared" si="173"/>
        <v/>
      </c>
      <c r="AQ34" s="567" t="str">
        <f t="shared" si="174"/>
        <v/>
      </c>
      <c r="AR34" s="567" t="str">
        <f t="shared" si="175"/>
        <v/>
      </c>
      <c r="AS34" s="567" t="str">
        <f t="shared" si="176"/>
        <v/>
      </c>
      <c r="AT34" s="567" t="str">
        <f t="shared" si="177"/>
        <v/>
      </c>
      <c r="AU34" s="567" t="str">
        <f t="shared" si="178"/>
        <v/>
      </c>
      <c r="AV34" s="567" t="str">
        <f t="shared" si="179"/>
        <v/>
      </c>
      <c r="AW34" s="567" t="str">
        <f t="shared" si="180"/>
        <v/>
      </c>
      <c r="AX34" s="567" t="str">
        <f t="shared" si="181"/>
        <v/>
      </c>
      <c r="AY34" s="567" t="str">
        <f t="shared" si="182"/>
        <v/>
      </c>
      <c r="AZ34" s="567" t="str">
        <f t="shared" si="183"/>
        <v/>
      </c>
      <c r="BA34" s="567" t="str">
        <f t="shared" si="184"/>
        <v/>
      </c>
      <c r="BB34" s="567" t="str">
        <f t="shared" si="185"/>
        <v/>
      </c>
      <c r="BC34" s="567" t="str">
        <f t="shared" si="186"/>
        <v/>
      </c>
      <c r="BD34" s="567" t="str">
        <f t="shared" si="187"/>
        <v/>
      </c>
      <c r="BE34" s="567" t="str">
        <f t="shared" si="188"/>
        <v/>
      </c>
      <c r="BF34" s="567" t="str">
        <f t="shared" si="189"/>
        <v/>
      </c>
      <c r="BG34" s="567" t="str">
        <f t="shared" si="190"/>
        <v/>
      </c>
      <c r="BH34" s="567" t="str">
        <f t="shared" si="191"/>
        <v/>
      </c>
      <c r="BI34" s="567" t="str">
        <f t="shared" si="192"/>
        <v/>
      </c>
      <c r="BJ34" s="567" t="str">
        <f t="shared" si="193"/>
        <v/>
      </c>
      <c r="BK34" s="567" t="str">
        <f t="shared" si="194"/>
        <v/>
      </c>
      <c r="BL34" s="567" t="str">
        <f t="shared" si="195"/>
        <v/>
      </c>
      <c r="BM34" s="567" t="str">
        <f t="shared" si="196"/>
        <v/>
      </c>
      <c r="BN34" s="567" t="str">
        <f t="shared" si="197"/>
        <v/>
      </c>
      <c r="BO34" s="567" t="str">
        <f t="shared" si="198"/>
        <v/>
      </c>
      <c r="BP34" s="567" t="str">
        <f t="shared" si="199"/>
        <v/>
      </c>
      <c r="BQ34" s="567" t="str">
        <f t="shared" si="200"/>
        <v/>
      </c>
      <c r="BR34" s="567" t="str">
        <f t="shared" si="201"/>
        <v/>
      </c>
      <c r="BS34" s="567" t="str">
        <f t="shared" si="202"/>
        <v/>
      </c>
      <c r="BT34" s="567" t="str">
        <f t="shared" si="21"/>
        <v/>
      </c>
      <c r="BU34" s="567" t="str">
        <f t="shared" si="22"/>
        <v/>
      </c>
      <c r="BV34" s="567" t="str">
        <f t="shared" si="23"/>
        <v/>
      </c>
      <c r="BW34" s="567" t="str">
        <f t="shared" si="24"/>
        <v/>
      </c>
      <c r="BX34" s="567" t="str">
        <f t="shared" si="25"/>
        <v/>
      </c>
      <c r="BY34" s="567" t="str">
        <f t="shared" si="26"/>
        <v/>
      </c>
      <c r="BZ34" s="567" t="str">
        <f t="shared" si="27"/>
        <v/>
      </c>
      <c r="CA34" s="567" t="str">
        <f t="shared" si="28"/>
        <v/>
      </c>
      <c r="CB34" s="567" t="str">
        <f t="shared" si="29"/>
        <v/>
      </c>
      <c r="CC34" s="567" t="str">
        <f t="shared" si="30"/>
        <v/>
      </c>
      <c r="CD34" s="567" t="str">
        <f t="shared" si="31"/>
        <v/>
      </c>
      <c r="CE34" s="567" t="str">
        <f t="shared" si="32"/>
        <v/>
      </c>
      <c r="CF34" s="567" t="str">
        <f t="shared" si="33"/>
        <v/>
      </c>
      <c r="CG34" s="567" t="str">
        <f t="shared" si="34"/>
        <v/>
      </c>
      <c r="CH34" s="567" t="str">
        <f t="shared" si="35"/>
        <v/>
      </c>
      <c r="CI34" s="567" t="str">
        <f t="shared" si="36"/>
        <v/>
      </c>
      <c r="CJ34" s="567" t="str">
        <f t="shared" si="37"/>
        <v/>
      </c>
      <c r="CK34" s="567" t="str">
        <f t="shared" si="38"/>
        <v/>
      </c>
      <c r="CL34" s="567" t="str">
        <f t="shared" si="39"/>
        <v/>
      </c>
      <c r="CM34" s="567" t="str">
        <f t="shared" si="40"/>
        <v/>
      </c>
      <c r="CN34" s="567" t="str">
        <f t="shared" si="41"/>
        <v/>
      </c>
      <c r="CO34" s="567" t="str">
        <f t="shared" si="42"/>
        <v/>
      </c>
      <c r="CP34" s="567" t="str">
        <f t="shared" si="43"/>
        <v/>
      </c>
      <c r="CQ34" s="567" t="str">
        <f t="shared" si="44"/>
        <v/>
      </c>
      <c r="CR34" s="567" t="str">
        <f t="shared" si="45"/>
        <v/>
      </c>
      <c r="CS34" s="567" t="str">
        <f t="shared" si="46"/>
        <v/>
      </c>
      <c r="CT34" s="567" t="str">
        <f t="shared" si="47"/>
        <v/>
      </c>
      <c r="CU34" s="567" t="str">
        <f t="shared" si="48"/>
        <v/>
      </c>
      <c r="CV34" s="567" t="str">
        <f t="shared" si="49"/>
        <v/>
      </c>
      <c r="CW34" s="567" t="str">
        <f t="shared" si="50"/>
        <v/>
      </c>
      <c r="CX34" s="567" t="str">
        <f t="shared" si="51"/>
        <v/>
      </c>
      <c r="CY34" s="567" t="str">
        <f t="shared" si="52"/>
        <v/>
      </c>
      <c r="CZ34" s="567" t="str">
        <f t="shared" si="53"/>
        <v/>
      </c>
      <c r="DA34" s="567" t="str">
        <f t="shared" si="54"/>
        <v/>
      </c>
      <c r="DB34" s="567" t="str">
        <f t="shared" si="55"/>
        <v/>
      </c>
      <c r="DC34" s="567" t="str">
        <f t="shared" si="56"/>
        <v/>
      </c>
      <c r="DD34" s="567" t="str">
        <f t="shared" si="57"/>
        <v/>
      </c>
      <c r="DE34" s="567" t="str">
        <f t="shared" si="58"/>
        <v/>
      </c>
      <c r="DF34" s="567" t="str">
        <f t="shared" si="59"/>
        <v/>
      </c>
      <c r="DG34" s="567" t="str">
        <f t="shared" si="60"/>
        <v/>
      </c>
      <c r="DH34" s="567" t="str">
        <f t="shared" si="61"/>
        <v/>
      </c>
      <c r="DI34" s="567" t="str">
        <f t="shared" si="62"/>
        <v/>
      </c>
      <c r="DJ34" s="567" t="str">
        <f t="shared" si="63"/>
        <v/>
      </c>
      <c r="DK34" s="567" t="str">
        <f t="shared" si="64"/>
        <v/>
      </c>
      <c r="DL34" s="567" t="str">
        <f t="shared" si="65"/>
        <v/>
      </c>
      <c r="DM34" s="567" t="str">
        <f t="shared" si="66"/>
        <v/>
      </c>
      <c r="DN34" s="567" t="str">
        <f t="shared" si="67"/>
        <v/>
      </c>
      <c r="DO34" s="567" t="str">
        <f t="shared" si="68"/>
        <v/>
      </c>
      <c r="DP34" s="567" t="str">
        <f t="shared" si="69"/>
        <v/>
      </c>
      <c r="DQ34" s="567" t="str">
        <f t="shared" si="70"/>
        <v/>
      </c>
      <c r="DR34" s="567" t="str">
        <f t="shared" si="71"/>
        <v/>
      </c>
      <c r="DS34" s="567" t="str">
        <f t="shared" si="72"/>
        <v/>
      </c>
      <c r="DT34" s="567" t="str">
        <f t="shared" si="73"/>
        <v/>
      </c>
      <c r="DU34" s="567" t="str">
        <f t="shared" si="74"/>
        <v/>
      </c>
      <c r="DV34" s="567" t="str">
        <f t="shared" si="75"/>
        <v/>
      </c>
      <c r="DW34" s="567" t="str">
        <f t="shared" si="76"/>
        <v/>
      </c>
      <c r="DX34" s="567" t="str">
        <f t="shared" si="77"/>
        <v/>
      </c>
      <c r="DY34" s="567" t="str">
        <f t="shared" si="78"/>
        <v/>
      </c>
      <c r="DZ34" s="567" t="str">
        <f t="shared" si="79"/>
        <v/>
      </c>
      <c r="EA34" s="567" t="str">
        <f t="shared" si="80"/>
        <v/>
      </c>
      <c r="EB34" s="567" t="str">
        <f t="shared" si="81"/>
        <v/>
      </c>
      <c r="EC34" s="567" t="str">
        <f t="shared" si="82"/>
        <v/>
      </c>
      <c r="ED34" s="567" t="str">
        <f t="shared" si="83"/>
        <v/>
      </c>
      <c r="EE34" s="567" t="str">
        <f t="shared" si="84"/>
        <v/>
      </c>
      <c r="EF34" s="567" t="str">
        <f t="shared" si="85"/>
        <v/>
      </c>
      <c r="EG34" s="567" t="str">
        <f t="shared" si="86"/>
        <v/>
      </c>
      <c r="EH34" s="567" t="str">
        <f t="shared" si="87"/>
        <v/>
      </c>
      <c r="EI34" s="567" t="str">
        <f t="shared" si="88"/>
        <v/>
      </c>
      <c r="EJ34" s="567" t="str">
        <f t="shared" si="89"/>
        <v/>
      </c>
      <c r="EK34" s="567" t="str">
        <f t="shared" si="90"/>
        <v/>
      </c>
      <c r="EL34" s="567" t="str">
        <f t="shared" si="91"/>
        <v/>
      </c>
      <c r="EM34" s="567" t="str">
        <f t="shared" si="92"/>
        <v/>
      </c>
      <c r="EN34" s="567" t="str">
        <f t="shared" si="93"/>
        <v/>
      </c>
      <c r="EO34" s="567" t="str">
        <f t="shared" si="94"/>
        <v/>
      </c>
      <c r="EP34" s="567" t="str">
        <f t="shared" si="95"/>
        <v/>
      </c>
      <c r="EQ34" s="567" t="str">
        <f t="shared" si="96"/>
        <v/>
      </c>
      <c r="ER34" s="567" t="str">
        <f t="shared" si="97"/>
        <v/>
      </c>
      <c r="ES34" s="567" t="str">
        <f t="shared" si="98"/>
        <v/>
      </c>
      <c r="ET34" s="567" t="str">
        <f t="shared" si="99"/>
        <v/>
      </c>
      <c r="EU34" s="567" t="str">
        <f t="shared" si="100"/>
        <v/>
      </c>
      <c r="EV34" s="577" t="str">
        <f t="shared" si="101"/>
        <v/>
      </c>
      <c r="EW34" s="577" t="str">
        <f t="shared" si="102"/>
        <v/>
      </c>
      <c r="EX34" s="577" t="str">
        <f t="shared" si="103"/>
        <v/>
      </c>
      <c r="EY34" s="577" t="str">
        <f t="shared" si="104"/>
        <v/>
      </c>
      <c r="EZ34" s="577" t="str">
        <f t="shared" si="105"/>
        <v/>
      </c>
      <c r="FA34" s="577" t="str">
        <f t="shared" si="106"/>
        <v/>
      </c>
      <c r="FB34" s="577" t="str">
        <f t="shared" si="107"/>
        <v/>
      </c>
      <c r="FC34" s="577" t="str">
        <f t="shared" si="108"/>
        <v/>
      </c>
      <c r="FD34" s="577" t="str">
        <f t="shared" si="109"/>
        <v/>
      </c>
      <c r="FE34" s="577" t="str">
        <f t="shared" si="110"/>
        <v/>
      </c>
      <c r="FF34" s="577" t="str">
        <f t="shared" si="111"/>
        <v/>
      </c>
      <c r="FG34" s="577" t="str">
        <f t="shared" si="112"/>
        <v/>
      </c>
      <c r="FH34" s="577" t="str">
        <f t="shared" si="113"/>
        <v/>
      </c>
      <c r="FI34" s="577" t="str">
        <f t="shared" si="114"/>
        <v/>
      </c>
      <c r="FJ34" s="577" t="str">
        <f t="shared" si="115"/>
        <v/>
      </c>
      <c r="FK34" s="577" t="str">
        <f t="shared" si="116"/>
        <v/>
      </c>
      <c r="FL34" s="577" t="str">
        <f t="shared" si="117"/>
        <v/>
      </c>
      <c r="FM34" s="577" t="str">
        <f t="shared" si="118"/>
        <v/>
      </c>
      <c r="FN34" s="577" t="str">
        <f t="shared" si="119"/>
        <v/>
      </c>
      <c r="FO34" s="577" t="str">
        <f t="shared" si="120"/>
        <v/>
      </c>
      <c r="FP34" s="577" t="str">
        <f t="shared" si="121"/>
        <v/>
      </c>
      <c r="FQ34" s="577" t="str">
        <f t="shared" si="122"/>
        <v/>
      </c>
      <c r="FR34" s="577" t="str">
        <f t="shared" si="123"/>
        <v/>
      </c>
      <c r="FS34" s="577" t="str">
        <f t="shared" si="124"/>
        <v/>
      </c>
      <c r="FT34" s="577" t="str">
        <f t="shared" si="125"/>
        <v/>
      </c>
      <c r="FU34" s="577" t="str">
        <f t="shared" si="126"/>
        <v/>
      </c>
      <c r="FV34" s="577" t="str">
        <f t="shared" si="127"/>
        <v/>
      </c>
      <c r="FW34" s="577" t="str">
        <f t="shared" si="128"/>
        <v/>
      </c>
      <c r="FX34" s="577" t="str">
        <f t="shared" si="129"/>
        <v/>
      </c>
      <c r="FY34" s="577" t="str">
        <f t="shared" si="130"/>
        <v/>
      </c>
      <c r="FZ34" s="577" t="str">
        <f t="shared" si="131"/>
        <v/>
      </c>
      <c r="GA34" s="577" t="str">
        <f t="shared" si="132"/>
        <v/>
      </c>
      <c r="GB34" s="577" t="str">
        <f t="shared" si="133"/>
        <v/>
      </c>
      <c r="GC34" s="577" t="str">
        <f t="shared" si="134"/>
        <v/>
      </c>
      <c r="GD34" s="577" t="str">
        <f t="shared" si="135"/>
        <v/>
      </c>
      <c r="GE34" s="577" t="str">
        <f t="shared" si="136"/>
        <v/>
      </c>
      <c r="GF34" s="577" t="str">
        <f t="shared" si="137"/>
        <v/>
      </c>
      <c r="GG34" s="577" t="str">
        <f t="shared" si="138"/>
        <v/>
      </c>
      <c r="GH34" s="577" t="str">
        <f t="shared" si="139"/>
        <v/>
      </c>
      <c r="GI34" s="577" t="str">
        <f t="shared" si="140"/>
        <v/>
      </c>
      <c r="GJ34" s="577" t="str">
        <f t="shared" si="141"/>
        <v/>
      </c>
      <c r="GK34" s="577" t="str">
        <f t="shared" si="142"/>
        <v/>
      </c>
      <c r="GL34" s="577" t="str">
        <f t="shared" si="143"/>
        <v/>
      </c>
      <c r="GM34" s="577" t="str">
        <f t="shared" si="144"/>
        <v/>
      </c>
      <c r="GN34" s="577" t="str">
        <f t="shared" si="145"/>
        <v/>
      </c>
      <c r="GO34" s="578" t="str">
        <f t="shared" si="146"/>
        <v/>
      </c>
      <c r="GP34" s="578" t="str">
        <f t="shared" si="147"/>
        <v/>
      </c>
      <c r="GQ34" s="578" t="str">
        <f t="shared" si="148"/>
        <v/>
      </c>
      <c r="GR34" s="578" t="str">
        <f t="shared" si="149"/>
        <v/>
      </c>
      <c r="GS34" s="578" t="str">
        <f t="shared" si="150"/>
        <v/>
      </c>
      <c r="GT34" s="567" t="str">
        <f t="shared" si="151"/>
        <v/>
      </c>
      <c r="GU34" s="567" t="str">
        <f t="shared" si="152"/>
        <v/>
      </c>
      <c r="GV34" s="567" t="str">
        <f t="shared" si="153"/>
        <v/>
      </c>
      <c r="GW34" s="567" t="str">
        <f t="shared" si="154"/>
        <v/>
      </c>
      <c r="GX34" s="567" t="str">
        <f t="shared" si="155"/>
        <v/>
      </c>
      <c r="GY34" s="567" t="str">
        <f t="shared" si="156"/>
        <v/>
      </c>
      <c r="GZ34" s="567" t="str">
        <f t="shared" si="157"/>
        <v/>
      </c>
      <c r="HA34" s="567" t="str">
        <f t="shared" si="158"/>
        <v/>
      </c>
      <c r="HB34" s="567" t="str">
        <f t="shared" si="159"/>
        <v/>
      </c>
      <c r="HC34" s="567" t="str">
        <f t="shared" si="160"/>
        <v/>
      </c>
      <c r="HD34" s="567" t="str">
        <f t="shared" si="161"/>
        <v/>
      </c>
      <c r="HE34" s="567" t="str">
        <f t="shared" si="162"/>
        <v/>
      </c>
      <c r="HF34" s="567" t="str">
        <f t="shared" si="163"/>
        <v/>
      </c>
      <c r="HG34" s="567" t="str">
        <f t="shared" si="164"/>
        <v/>
      </c>
      <c r="HH34" s="567" t="str">
        <f t="shared" si="165"/>
        <v/>
      </c>
      <c r="HI34" s="567" t="str">
        <f t="shared" si="166"/>
        <v/>
      </c>
      <c r="HJ34" s="567" t="str">
        <f t="shared" si="167"/>
        <v/>
      </c>
      <c r="HK34" s="567" t="str">
        <f t="shared" si="168"/>
        <v/>
      </c>
      <c r="HL34" s="567" t="str">
        <f t="shared" si="169"/>
        <v/>
      </c>
      <c r="HM34" s="567" t="str">
        <f t="shared" si="170"/>
        <v/>
      </c>
    </row>
    <row r="35" spans="1:221" ht="13.15" customHeight="1">
      <c r="A35" s="126" t="str">
        <f t="shared" si="171"/>
        <v/>
      </c>
      <c r="B35" s="1203" t="s">
        <v>1886</v>
      </c>
      <c r="C35" s="1204"/>
      <c r="D35" s="1205"/>
      <c r="E35" s="1206"/>
      <c r="F35" s="1206"/>
      <c r="G35" s="1206"/>
      <c r="H35" s="1206"/>
      <c r="I35" s="1206"/>
      <c r="J35" s="1207"/>
      <c r="K35" s="198">
        <f t="shared" si="204"/>
        <v>0</v>
      </c>
      <c r="L35" s="198">
        <f t="shared" si="0"/>
        <v>0</v>
      </c>
      <c r="M35" s="1099"/>
      <c r="N35" s="1099"/>
      <c r="O35" s="1099"/>
      <c r="P35" s="518" t="str">
        <f t="shared" si="203"/>
        <v/>
      </c>
      <c r="Q35" s="519" t="str">
        <f>IF(H35="","",P35/($P$6*VLOOKUP(C35,'DCA Underwriting Assumptions'!$J$82:$K$87,2,FALSE)))</f>
        <v/>
      </c>
      <c r="R35" s="607"/>
      <c r="S35" s="519"/>
      <c r="T35" s="1643"/>
      <c r="U35" s="1644"/>
      <c r="V35" s="567" t="str">
        <f t="shared" si="1"/>
        <v/>
      </c>
      <c r="W35" s="567" t="str">
        <f t="shared" si="2"/>
        <v/>
      </c>
      <c r="X35" s="567" t="str">
        <f t="shared" si="3"/>
        <v/>
      </c>
      <c r="Y35" s="567" t="str">
        <f t="shared" si="4"/>
        <v/>
      </c>
      <c r="Z35" s="567" t="str">
        <f t="shared" si="5"/>
        <v/>
      </c>
      <c r="AA35" s="567" t="str">
        <f t="shared" si="6"/>
        <v/>
      </c>
      <c r="AB35" s="567" t="str">
        <f t="shared" si="7"/>
        <v/>
      </c>
      <c r="AC35" s="567" t="str">
        <f t="shared" si="8"/>
        <v/>
      </c>
      <c r="AD35" s="567" t="str">
        <f t="shared" si="9"/>
        <v/>
      </c>
      <c r="AE35" s="567" t="str">
        <f t="shared" si="10"/>
        <v/>
      </c>
      <c r="AF35" s="567" t="str">
        <f t="shared" si="11"/>
        <v/>
      </c>
      <c r="AG35" s="567" t="str">
        <f t="shared" si="12"/>
        <v/>
      </c>
      <c r="AH35" s="567" t="str">
        <f t="shared" si="13"/>
        <v/>
      </c>
      <c r="AI35" s="567" t="str">
        <f t="shared" si="14"/>
        <v/>
      </c>
      <c r="AJ35" s="567" t="str">
        <f t="shared" si="15"/>
        <v/>
      </c>
      <c r="AK35" s="567" t="str">
        <f t="shared" si="16"/>
        <v/>
      </c>
      <c r="AL35" s="567" t="str">
        <f t="shared" si="17"/>
        <v/>
      </c>
      <c r="AM35" s="567" t="str">
        <f t="shared" si="18"/>
        <v/>
      </c>
      <c r="AN35" s="567" t="str">
        <f t="shared" si="19"/>
        <v/>
      </c>
      <c r="AO35" s="567" t="str">
        <f t="shared" si="20"/>
        <v/>
      </c>
      <c r="AP35" s="567" t="str">
        <f t="shared" si="173"/>
        <v/>
      </c>
      <c r="AQ35" s="567" t="str">
        <f t="shared" si="174"/>
        <v/>
      </c>
      <c r="AR35" s="567" t="str">
        <f t="shared" si="175"/>
        <v/>
      </c>
      <c r="AS35" s="567" t="str">
        <f t="shared" si="176"/>
        <v/>
      </c>
      <c r="AT35" s="567" t="str">
        <f t="shared" si="177"/>
        <v/>
      </c>
      <c r="AU35" s="567" t="str">
        <f t="shared" si="178"/>
        <v/>
      </c>
      <c r="AV35" s="567" t="str">
        <f t="shared" si="179"/>
        <v/>
      </c>
      <c r="AW35" s="567" t="str">
        <f t="shared" si="180"/>
        <v/>
      </c>
      <c r="AX35" s="567" t="str">
        <f t="shared" si="181"/>
        <v/>
      </c>
      <c r="AY35" s="567" t="str">
        <f t="shared" si="182"/>
        <v/>
      </c>
      <c r="AZ35" s="567" t="str">
        <f t="shared" si="183"/>
        <v/>
      </c>
      <c r="BA35" s="567" t="str">
        <f t="shared" si="184"/>
        <v/>
      </c>
      <c r="BB35" s="567" t="str">
        <f t="shared" si="185"/>
        <v/>
      </c>
      <c r="BC35" s="567" t="str">
        <f t="shared" si="186"/>
        <v/>
      </c>
      <c r="BD35" s="567" t="str">
        <f t="shared" si="187"/>
        <v/>
      </c>
      <c r="BE35" s="567" t="str">
        <f t="shared" si="188"/>
        <v/>
      </c>
      <c r="BF35" s="567" t="str">
        <f t="shared" si="189"/>
        <v/>
      </c>
      <c r="BG35" s="567" t="str">
        <f t="shared" si="190"/>
        <v/>
      </c>
      <c r="BH35" s="567" t="str">
        <f t="shared" si="191"/>
        <v/>
      </c>
      <c r="BI35" s="567" t="str">
        <f t="shared" si="192"/>
        <v/>
      </c>
      <c r="BJ35" s="567" t="str">
        <f t="shared" si="193"/>
        <v/>
      </c>
      <c r="BK35" s="567" t="str">
        <f t="shared" si="194"/>
        <v/>
      </c>
      <c r="BL35" s="567" t="str">
        <f t="shared" si="195"/>
        <v/>
      </c>
      <c r="BM35" s="567" t="str">
        <f t="shared" si="196"/>
        <v/>
      </c>
      <c r="BN35" s="567" t="str">
        <f t="shared" si="197"/>
        <v/>
      </c>
      <c r="BO35" s="567" t="str">
        <f t="shared" si="198"/>
        <v/>
      </c>
      <c r="BP35" s="567" t="str">
        <f t="shared" si="199"/>
        <v/>
      </c>
      <c r="BQ35" s="567" t="str">
        <f t="shared" si="200"/>
        <v/>
      </c>
      <c r="BR35" s="567" t="str">
        <f t="shared" si="201"/>
        <v/>
      </c>
      <c r="BS35" s="567" t="str">
        <f t="shared" si="202"/>
        <v/>
      </c>
      <c r="BT35" s="567" t="str">
        <f t="shared" si="21"/>
        <v/>
      </c>
      <c r="BU35" s="567" t="str">
        <f t="shared" si="22"/>
        <v/>
      </c>
      <c r="BV35" s="567" t="str">
        <f t="shared" si="23"/>
        <v/>
      </c>
      <c r="BW35" s="567" t="str">
        <f t="shared" si="24"/>
        <v/>
      </c>
      <c r="BX35" s="567" t="str">
        <f t="shared" si="25"/>
        <v/>
      </c>
      <c r="BY35" s="567" t="str">
        <f t="shared" si="26"/>
        <v/>
      </c>
      <c r="BZ35" s="567" t="str">
        <f t="shared" si="27"/>
        <v/>
      </c>
      <c r="CA35" s="567" t="str">
        <f t="shared" si="28"/>
        <v/>
      </c>
      <c r="CB35" s="567" t="str">
        <f t="shared" si="29"/>
        <v/>
      </c>
      <c r="CC35" s="567" t="str">
        <f t="shared" si="30"/>
        <v/>
      </c>
      <c r="CD35" s="567" t="str">
        <f t="shared" si="31"/>
        <v/>
      </c>
      <c r="CE35" s="567" t="str">
        <f t="shared" si="32"/>
        <v/>
      </c>
      <c r="CF35" s="567" t="str">
        <f t="shared" si="33"/>
        <v/>
      </c>
      <c r="CG35" s="567" t="str">
        <f t="shared" si="34"/>
        <v/>
      </c>
      <c r="CH35" s="567" t="str">
        <f t="shared" si="35"/>
        <v/>
      </c>
      <c r="CI35" s="567" t="str">
        <f t="shared" si="36"/>
        <v/>
      </c>
      <c r="CJ35" s="567" t="str">
        <f t="shared" si="37"/>
        <v/>
      </c>
      <c r="CK35" s="567" t="str">
        <f t="shared" si="38"/>
        <v/>
      </c>
      <c r="CL35" s="567" t="str">
        <f t="shared" si="39"/>
        <v/>
      </c>
      <c r="CM35" s="567" t="str">
        <f t="shared" si="40"/>
        <v/>
      </c>
      <c r="CN35" s="567" t="str">
        <f t="shared" si="41"/>
        <v/>
      </c>
      <c r="CO35" s="567" t="str">
        <f t="shared" si="42"/>
        <v/>
      </c>
      <c r="CP35" s="567" t="str">
        <f t="shared" si="43"/>
        <v/>
      </c>
      <c r="CQ35" s="567" t="str">
        <f t="shared" si="44"/>
        <v/>
      </c>
      <c r="CR35" s="567" t="str">
        <f t="shared" si="45"/>
        <v/>
      </c>
      <c r="CS35" s="567" t="str">
        <f t="shared" si="46"/>
        <v/>
      </c>
      <c r="CT35" s="567" t="str">
        <f t="shared" si="47"/>
        <v/>
      </c>
      <c r="CU35" s="567" t="str">
        <f t="shared" si="48"/>
        <v/>
      </c>
      <c r="CV35" s="567" t="str">
        <f t="shared" si="49"/>
        <v/>
      </c>
      <c r="CW35" s="567" t="str">
        <f t="shared" si="50"/>
        <v/>
      </c>
      <c r="CX35" s="567" t="str">
        <f t="shared" si="51"/>
        <v/>
      </c>
      <c r="CY35" s="567" t="str">
        <f t="shared" si="52"/>
        <v/>
      </c>
      <c r="CZ35" s="567" t="str">
        <f t="shared" si="53"/>
        <v/>
      </c>
      <c r="DA35" s="567" t="str">
        <f t="shared" si="54"/>
        <v/>
      </c>
      <c r="DB35" s="567" t="str">
        <f t="shared" si="55"/>
        <v/>
      </c>
      <c r="DC35" s="567" t="str">
        <f t="shared" si="56"/>
        <v/>
      </c>
      <c r="DD35" s="567" t="str">
        <f t="shared" si="57"/>
        <v/>
      </c>
      <c r="DE35" s="567" t="str">
        <f t="shared" si="58"/>
        <v/>
      </c>
      <c r="DF35" s="567" t="str">
        <f t="shared" si="59"/>
        <v/>
      </c>
      <c r="DG35" s="567" t="str">
        <f t="shared" si="60"/>
        <v/>
      </c>
      <c r="DH35" s="567" t="str">
        <f t="shared" si="61"/>
        <v/>
      </c>
      <c r="DI35" s="567" t="str">
        <f t="shared" si="62"/>
        <v/>
      </c>
      <c r="DJ35" s="567" t="str">
        <f t="shared" si="63"/>
        <v/>
      </c>
      <c r="DK35" s="567" t="str">
        <f t="shared" si="64"/>
        <v/>
      </c>
      <c r="DL35" s="567" t="str">
        <f t="shared" si="65"/>
        <v/>
      </c>
      <c r="DM35" s="567" t="str">
        <f t="shared" si="66"/>
        <v/>
      </c>
      <c r="DN35" s="567" t="str">
        <f t="shared" si="67"/>
        <v/>
      </c>
      <c r="DO35" s="567" t="str">
        <f t="shared" si="68"/>
        <v/>
      </c>
      <c r="DP35" s="567" t="str">
        <f t="shared" si="69"/>
        <v/>
      </c>
      <c r="DQ35" s="567" t="str">
        <f t="shared" si="70"/>
        <v/>
      </c>
      <c r="DR35" s="567" t="str">
        <f t="shared" si="71"/>
        <v/>
      </c>
      <c r="DS35" s="567" t="str">
        <f t="shared" si="72"/>
        <v/>
      </c>
      <c r="DT35" s="567" t="str">
        <f t="shared" si="73"/>
        <v/>
      </c>
      <c r="DU35" s="567" t="str">
        <f t="shared" si="74"/>
        <v/>
      </c>
      <c r="DV35" s="567" t="str">
        <f t="shared" si="75"/>
        <v/>
      </c>
      <c r="DW35" s="567" t="str">
        <f t="shared" si="76"/>
        <v/>
      </c>
      <c r="DX35" s="567" t="str">
        <f t="shared" si="77"/>
        <v/>
      </c>
      <c r="DY35" s="567" t="str">
        <f t="shared" si="78"/>
        <v/>
      </c>
      <c r="DZ35" s="567" t="str">
        <f t="shared" si="79"/>
        <v/>
      </c>
      <c r="EA35" s="567" t="str">
        <f t="shared" si="80"/>
        <v/>
      </c>
      <c r="EB35" s="567" t="str">
        <f t="shared" si="81"/>
        <v/>
      </c>
      <c r="EC35" s="567" t="str">
        <f t="shared" si="82"/>
        <v/>
      </c>
      <c r="ED35" s="567" t="str">
        <f t="shared" si="83"/>
        <v/>
      </c>
      <c r="EE35" s="567" t="str">
        <f t="shared" si="84"/>
        <v/>
      </c>
      <c r="EF35" s="567" t="str">
        <f t="shared" si="85"/>
        <v/>
      </c>
      <c r="EG35" s="567" t="str">
        <f t="shared" si="86"/>
        <v/>
      </c>
      <c r="EH35" s="567" t="str">
        <f t="shared" si="87"/>
        <v/>
      </c>
      <c r="EI35" s="567" t="str">
        <f t="shared" si="88"/>
        <v/>
      </c>
      <c r="EJ35" s="567" t="str">
        <f t="shared" si="89"/>
        <v/>
      </c>
      <c r="EK35" s="567" t="str">
        <f t="shared" si="90"/>
        <v/>
      </c>
      <c r="EL35" s="567" t="str">
        <f t="shared" si="91"/>
        <v/>
      </c>
      <c r="EM35" s="567" t="str">
        <f t="shared" si="92"/>
        <v/>
      </c>
      <c r="EN35" s="567" t="str">
        <f t="shared" si="93"/>
        <v/>
      </c>
      <c r="EO35" s="567" t="str">
        <f t="shared" si="94"/>
        <v/>
      </c>
      <c r="EP35" s="567" t="str">
        <f t="shared" si="95"/>
        <v/>
      </c>
      <c r="EQ35" s="567" t="str">
        <f t="shared" si="96"/>
        <v/>
      </c>
      <c r="ER35" s="567" t="str">
        <f t="shared" si="97"/>
        <v/>
      </c>
      <c r="ES35" s="567" t="str">
        <f t="shared" si="98"/>
        <v/>
      </c>
      <c r="ET35" s="567" t="str">
        <f t="shared" si="99"/>
        <v/>
      </c>
      <c r="EU35" s="567" t="str">
        <f t="shared" si="100"/>
        <v/>
      </c>
      <c r="EV35" s="577" t="str">
        <f t="shared" si="101"/>
        <v/>
      </c>
      <c r="EW35" s="577" t="str">
        <f t="shared" si="102"/>
        <v/>
      </c>
      <c r="EX35" s="577" t="str">
        <f t="shared" si="103"/>
        <v/>
      </c>
      <c r="EY35" s="577" t="str">
        <f t="shared" si="104"/>
        <v/>
      </c>
      <c r="EZ35" s="577" t="str">
        <f t="shared" si="105"/>
        <v/>
      </c>
      <c r="FA35" s="577" t="str">
        <f t="shared" si="106"/>
        <v/>
      </c>
      <c r="FB35" s="577" t="str">
        <f t="shared" si="107"/>
        <v/>
      </c>
      <c r="FC35" s="577" t="str">
        <f t="shared" si="108"/>
        <v/>
      </c>
      <c r="FD35" s="577" t="str">
        <f t="shared" si="109"/>
        <v/>
      </c>
      <c r="FE35" s="577" t="str">
        <f t="shared" si="110"/>
        <v/>
      </c>
      <c r="FF35" s="577" t="str">
        <f t="shared" si="111"/>
        <v/>
      </c>
      <c r="FG35" s="577" t="str">
        <f t="shared" si="112"/>
        <v/>
      </c>
      <c r="FH35" s="577" t="str">
        <f t="shared" si="113"/>
        <v/>
      </c>
      <c r="FI35" s="577" t="str">
        <f t="shared" si="114"/>
        <v/>
      </c>
      <c r="FJ35" s="577" t="str">
        <f t="shared" si="115"/>
        <v/>
      </c>
      <c r="FK35" s="577" t="str">
        <f t="shared" si="116"/>
        <v/>
      </c>
      <c r="FL35" s="577" t="str">
        <f t="shared" si="117"/>
        <v/>
      </c>
      <c r="FM35" s="577" t="str">
        <f t="shared" si="118"/>
        <v/>
      </c>
      <c r="FN35" s="577" t="str">
        <f t="shared" si="119"/>
        <v/>
      </c>
      <c r="FO35" s="577" t="str">
        <f t="shared" si="120"/>
        <v/>
      </c>
      <c r="FP35" s="577" t="str">
        <f t="shared" si="121"/>
        <v/>
      </c>
      <c r="FQ35" s="577" t="str">
        <f t="shared" si="122"/>
        <v/>
      </c>
      <c r="FR35" s="577" t="str">
        <f t="shared" si="123"/>
        <v/>
      </c>
      <c r="FS35" s="577" t="str">
        <f t="shared" si="124"/>
        <v/>
      </c>
      <c r="FT35" s="577" t="str">
        <f t="shared" si="125"/>
        <v/>
      </c>
      <c r="FU35" s="577" t="str">
        <f t="shared" si="126"/>
        <v/>
      </c>
      <c r="FV35" s="577" t="str">
        <f t="shared" si="127"/>
        <v/>
      </c>
      <c r="FW35" s="577" t="str">
        <f t="shared" si="128"/>
        <v/>
      </c>
      <c r="FX35" s="577" t="str">
        <f t="shared" si="129"/>
        <v/>
      </c>
      <c r="FY35" s="577" t="str">
        <f t="shared" si="130"/>
        <v/>
      </c>
      <c r="FZ35" s="577" t="str">
        <f t="shared" si="131"/>
        <v/>
      </c>
      <c r="GA35" s="577" t="str">
        <f t="shared" si="132"/>
        <v/>
      </c>
      <c r="GB35" s="577" t="str">
        <f t="shared" si="133"/>
        <v/>
      </c>
      <c r="GC35" s="577" t="str">
        <f t="shared" si="134"/>
        <v/>
      </c>
      <c r="GD35" s="577" t="str">
        <f t="shared" si="135"/>
        <v/>
      </c>
      <c r="GE35" s="577" t="str">
        <f t="shared" si="136"/>
        <v/>
      </c>
      <c r="GF35" s="577" t="str">
        <f t="shared" si="137"/>
        <v/>
      </c>
      <c r="GG35" s="577" t="str">
        <f t="shared" si="138"/>
        <v/>
      </c>
      <c r="GH35" s="577" t="str">
        <f t="shared" si="139"/>
        <v/>
      </c>
      <c r="GI35" s="577" t="str">
        <f t="shared" si="140"/>
        <v/>
      </c>
      <c r="GJ35" s="577" t="str">
        <f t="shared" si="141"/>
        <v/>
      </c>
      <c r="GK35" s="577" t="str">
        <f t="shared" si="142"/>
        <v/>
      </c>
      <c r="GL35" s="577" t="str">
        <f t="shared" si="143"/>
        <v/>
      </c>
      <c r="GM35" s="577" t="str">
        <f t="shared" si="144"/>
        <v/>
      </c>
      <c r="GN35" s="577" t="str">
        <f t="shared" si="145"/>
        <v/>
      </c>
      <c r="GO35" s="578" t="str">
        <f t="shared" si="146"/>
        <v/>
      </c>
      <c r="GP35" s="578" t="str">
        <f t="shared" si="147"/>
        <v/>
      </c>
      <c r="GQ35" s="578" t="str">
        <f t="shared" si="148"/>
        <v/>
      </c>
      <c r="GR35" s="578" t="str">
        <f t="shared" si="149"/>
        <v/>
      </c>
      <c r="GS35" s="578" t="str">
        <f t="shared" si="150"/>
        <v/>
      </c>
      <c r="GT35" s="567" t="str">
        <f t="shared" si="151"/>
        <v/>
      </c>
      <c r="GU35" s="567" t="str">
        <f t="shared" si="152"/>
        <v/>
      </c>
      <c r="GV35" s="567" t="str">
        <f t="shared" si="153"/>
        <v/>
      </c>
      <c r="GW35" s="567" t="str">
        <f t="shared" si="154"/>
        <v/>
      </c>
      <c r="GX35" s="567" t="str">
        <f t="shared" si="155"/>
        <v/>
      </c>
      <c r="GY35" s="567" t="str">
        <f t="shared" si="156"/>
        <v/>
      </c>
      <c r="GZ35" s="567" t="str">
        <f t="shared" si="157"/>
        <v/>
      </c>
      <c r="HA35" s="567" t="str">
        <f t="shared" si="158"/>
        <v/>
      </c>
      <c r="HB35" s="567" t="str">
        <f t="shared" si="159"/>
        <v/>
      </c>
      <c r="HC35" s="567" t="str">
        <f t="shared" si="160"/>
        <v/>
      </c>
      <c r="HD35" s="567" t="str">
        <f t="shared" si="161"/>
        <v/>
      </c>
      <c r="HE35" s="567" t="str">
        <f t="shared" si="162"/>
        <v/>
      </c>
      <c r="HF35" s="567" t="str">
        <f t="shared" si="163"/>
        <v/>
      </c>
      <c r="HG35" s="567" t="str">
        <f t="shared" si="164"/>
        <v/>
      </c>
      <c r="HH35" s="567" t="str">
        <f t="shared" si="165"/>
        <v/>
      </c>
      <c r="HI35" s="567" t="str">
        <f t="shared" si="166"/>
        <v/>
      </c>
      <c r="HJ35" s="567" t="str">
        <f t="shared" si="167"/>
        <v/>
      </c>
      <c r="HK35" s="567" t="str">
        <f t="shared" si="168"/>
        <v/>
      </c>
      <c r="HL35" s="567" t="str">
        <f t="shared" si="169"/>
        <v/>
      </c>
      <c r="HM35" s="567" t="str">
        <f t="shared" si="170"/>
        <v/>
      </c>
    </row>
    <row r="36" spans="1:221" ht="13.15" customHeight="1">
      <c r="A36" s="126" t="str">
        <f t="shared" si="171"/>
        <v/>
      </c>
      <c r="B36" s="1203" t="s">
        <v>1886</v>
      </c>
      <c r="C36" s="1204"/>
      <c r="D36" s="1205"/>
      <c r="E36" s="1206"/>
      <c r="F36" s="1206"/>
      <c r="G36" s="1206"/>
      <c r="H36" s="1206"/>
      <c r="I36" s="1206"/>
      <c r="J36" s="1207"/>
      <c r="K36" s="198">
        <f t="shared" si="204"/>
        <v>0</v>
      </c>
      <c r="L36" s="198">
        <f t="shared" si="0"/>
        <v>0</v>
      </c>
      <c r="M36" s="1099"/>
      <c r="N36" s="1099"/>
      <c r="O36" s="1099"/>
      <c r="P36" s="518" t="str">
        <f t="shared" si="203"/>
        <v/>
      </c>
      <c r="Q36" s="519" t="str">
        <f>IF(H36="","",P36/($P$6*VLOOKUP(C36,'DCA Underwriting Assumptions'!$J$82:$K$87,2,FALSE)))</f>
        <v/>
      </c>
      <c r="R36" s="607"/>
      <c r="S36" s="519"/>
      <c r="T36" s="1643"/>
      <c r="U36" s="1644"/>
      <c r="V36" s="567" t="str">
        <f t="shared" si="1"/>
        <v/>
      </c>
      <c r="W36" s="567" t="str">
        <f t="shared" si="2"/>
        <v/>
      </c>
      <c r="X36" s="567" t="str">
        <f t="shared" si="3"/>
        <v/>
      </c>
      <c r="Y36" s="567" t="str">
        <f t="shared" si="4"/>
        <v/>
      </c>
      <c r="Z36" s="567" t="str">
        <f t="shared" si="5"/>
        <v/>
      </c>
      <c r="AA36" s="567" t="str">
        <f t="shared" si="6"/>
        <v/>
      </c>
      <c r="AB36" s="567" t="str">
        <f t="shared" si="7"/>
        <v/>
      </c>
      <c r="AC36" s="567" t="str">
        <f t="shared" si="8"/>
        <v/>
      </c>
      <c r="AD36" s="567" t="str">
        <f t="shared" si="9"/>
        <v/>
      </c>
      <c r="AE36" s="567" t="str">
        <f t="shared" si="10"/>
        <v/>
      </c>
      <c r="AF36" s="567" t="str">
        <f t="shared" si="11"/>
        <v/>
      </c>
      <c r="AG36" s="567" t="str">
        <f t="shared" si="12"/>
        <v/>
      </c>
      <c r="AH36" s="567" t="str">
        <f t="shared" si="13"/>
        <v/>
      </c>
      <c r="AI36" s="567" t="str">
        <f t="shared" si="14"/>
        <v/>
      </c>
      <c r="AJ36" s="567" t="str">
        <f t="shared" si="15"/>
        <v/>
      </c>
      <c r="AK36" s="567" t="str">
        <f t="shared" si="16"/>
        <v/>
      </c>
      <c r="AL36" s="567" t="str">
        <f t="shared" si="17"/>
        <v/>
      </c>
      <c r="AM36" s="567" t="str">
        <f t="shared" si="18"/>
        <v/>
      </c>
      <c r="AN36" s="567" t="str">
        <f t="shared" si="19"/>
        <v/>
      </c>
      <c r="AO36" s="567" t="str">
        <f t="shared" si="20"/>
        <v/>
      </c>
      <c r="AP36" s="567" t="str">
        <f t="shared" si="173"/>
        <v/>
      </c>
      <c r="AQ36" s="567" t="str">
        <f t="shared" si="174"/>
        <v/>
      </c>
      <c r="AR36" s="567" t="str">
        <f t="shared" si="175"/>
        <v/>
      </c>
      <c r="AS36" s="567" t="str">
        <f t="shared" si="176"/>
        <v/>
      </c>
      <c r="AT36" s="567" t="str">
        <f t="shared" si="177"/>
        <v/>
      </c>
      <c r="AU36" s="567" t="str">
        <f t="shared" si="178"/>
        <v/>
      </c>
      <c r="AV36" s="567" t="str">
        <f t="shared" si="179"/>
        <v/>
      </c>
      <c r="AW36" s="567" t="str">
        <f t="shared" si="180"/>
        <v/>
      </c>
      <c r="AX36" s="567" t="str">
        <f t="shared" si="181"/>
        <v/>
      </c>
      <c r="AY36" s="567" t="str">
        <f t="shared" si="182"/>
        <v/>
      </c>
      <c r="AZ36" s="567" t="str">
        <f t="shared" si="183"/>
        <v/>
      </c>
      <c r="BA36" s="567" t="str">
        <f t="shared" si="184"/>
        <v/>
      </c>
      <c r="BB36" s="567" t="str">
        <f t="shared" si="185"/>
        <v/>
      </c>
      <c r="BC36" s="567" t="str">
        <f t="shared" si="186"/>
        <v/>
      </c>
      <c r="BD36" s="567" t="str">
        <f t="shared" si="187"/>
        <v/>
      </c>
      <c r="BE36" s="567" t="str">
        <f t="shared" si="188"/>
        <v/>
      </c>
      <c r="BF36" s="567" t="str">
        <f t="shared" si="189"/>
        <v/>
      </c>
      <c r="BG36" s="567" t="str">
        <f t="shared" si="190"/>
        <v/>
      </c>
      <c r="BH36" s="567" t="str">
        <f t="shared" si="191"/>
        <v/>
      </c>
      <c r="BI36" s="567" t="str">
        <f t="shared" si="192"/>
        <v/>
      </c>
      <c r="BJ36" s="567" t="str">
        <f t="shared" si="193"/>
        <v/>
      </c>
      <c r="BK36" s="567" t="str">
        <f t="shared" si="194"/>
        <v/>
      </c>
      <c r="BL36" s="567" t="str">
        <f t="shared" si="195"/>
        <v/>
      </c>
      <c r="BM36" s="567" t="str">
        <f t="shared" si="196"/>
        <v/>
      </c>
      <c r="BN36" s="567" t="str">
        <f t="shared" si="197"/>
        <v/>
      </c>
      <c r="BO36" s="567" t="str">
        <f t="shared" si="198"/>
        <v/>
      </c>
      <c r="BP36" s="567" t="str">
        <f t="shared" si="199"/>
        <v/>
      </c>
      <c r="BQ36" s="567" t="str">
        <f t="shared" si="200"/>
        <v/>
      </c>
      <c r="BR36" s="567" t="str">
        <f t="shared" si="201"/>
        <v/>
      </c>
      <c r="BS36" s="567" t="str">
        <f t="shared" si="202"/>
        <v/>
      </c>
      <c r="BT36" s="567" t="str">
        <f t="shared" si="21"/>
        <v/>
      </c>
      <c r="BU36" s="567" t="str">
        <f t="shared" si="22"/>
        <v/>
      </c>
      <c r="BV36" s="567" t="str">
        <f t="shared" si="23"/>
        <v/>
      </c>
      <c r="BW36" s="567" t="str">
        <f t="shared" si="24"/>
        <v/>
      </c>
      <c r="BX36" s="567" t="str">
        <f t="shared" si="25"/>
        <v/>
      </c>
      <c r="BY36" s="567" t="str">
        <f t="shared" si="26"/>
        <v/>
      </c>
      <c r="BZ36" s="567" t="str">
        <f t="shared" si="27"/>
        <v/>
      </c>
      <c r="CA36" s="567" t="str">
        <f t="shared" si="28"/>
        <v/>
      </c>
      <c r="CB36" s="567" t="str">
        <f t="shared" si="29"/>
        <v/>
      </c>
      <c r="CC36" s="567" t="str">
        <f t="shared" si="30"/>
        <v/>
      </c>
      <c r="CD36" s="567" t="str">
        <f t="shared" si="31"/>
        <v/>
      </c>
      <c r="CE36" s="567" t="str">
        <f t="shared" si="32"/>
        <v/>
      </c>
      <c r="CF36" s="567" t="str">
        <f t="shared" si="33"/>
        <v/>
      </c>
      <c r="CG36" s="567" t="str">
        <f t="shared" si="34"/>
        <v/>
      </c>
      <c r="CH36" s="567" t="str">
        <f t="shared" si="35"/>
        <v/>
      </c>
      <c r="CI36" s="567" t="str">
        <f t="shared" si="36"/>
        <v/>
      </c>
      <c r="CJ36" s="567" t="str">
        <f t="shared" si="37"/>
        <v/>
      </c>
      <c r="CK36" s="567" t="str">
        <f t="shared" si="38"/>
        <v/>
      </c>
      <c r="CL36" s="567" t="str">
        <f t="shared" si="39"/>
        <v/>
      </c>
      <c r="CM36" s="567" t="str">
        <f t="shared" si="40"/>
        <v/>
      </c>
      <c r="CN36" s="567" t="str">
        <f t="shared" si="41"/>
        <v/>
      </c>
      <c r="CO36" s="567" t="str">
        <f t="shared" si="42"/>
        <v/>
      </c>
      <c r="CP36" s="567" t="str">
        <f t="shared" si="43"/>
        <v/>
      </c>
      <c r="CQ36" s="567" t="str">
        <f t="shared" si="44"/>
        <v/>
      </c>
      <c r="CR36" s="567" t="str">
        <f t="shared" si="45"/>
        <v/>
      </c>
      <c r="CS36" s="567" t="str">
        <f t="shared" si="46"/>
        <v/>
      </c>
      <c r="CT36" s="567" t="str">
        <f t="shared" si="47"/>
        <v/>
      </c>
      <c r="CU36" s="567" t="str">
        <f t="shared" si="48"/>
        <v/>
      </c>
      <c r="CV36" s="567" t="str">
        <f t="shared" si="49"/>
        <v/>
      </c>
      <c r="CW36" s="567" t="str">
        <f t="shared" si="50"/>
        <v/>
      </c>
      <c r="CX36" s="567" t="str">
        <f t="shared" si="51"/>
        <v/>
      </c>
      <c r="CY36" s="567" t="str">
        <f t="shared" si="52"/>
        <v/>
      </c>
      <c r="CZ36" s="567" t="str">
        <f t="shared" si="53"/>
        <v/>
      </c>
      <c r="DA36" s="567" t="str">
        <f t="shared" si="54"/>
        <v/>
      </c>
      <c r="DB36" s="567" t="str">
        <f t="shared" si="55"/>
        <v/>
      </c>
      <c r="DC36" s="567" t="str">
        <f t="shared" si="56"/>
        <v/>
      </c>
      <c r="DD36" s="567" t="str">
        <f t="shared" si="57"/>
        <v/>
      </c>
      <c r="DE36" s="567" t="str">
        <f t="shared" si="58"/>
        <v/>
      </c>
      <c r="DF36" s="567" t="str">
        <f t="shared" si="59"/>
        <v/>
      </c>
      <c r="DG36" s="567" t="str">
        <f t="shared" si="60"/>
        <v/>
      </c>
      <c r="DH36" s="567" t="str">
        <f t="shared" si="61"/>
        <v/>
      </c>
      <c r="DI36" s="567" t="str">
        <f t="shared" si="62"/>
        <v/>
      </c>
      <c r="DJ36" s="567" t="str">
        <f t="shared" si="63"/>
        <v/>
      </c>
      <c r="DK36" s="567" t="str">
        <f t="shared" si="64"/>
        <v/>
      </c>
      <c r="DL36" s="567" t="str">
        <f t="shared" si="65"/>
        <v/>
      </c>
      <c r="DM36" s="567" t="str">
        <f t="shared" si="66"/>
        <v/>
      </c>
      <c r="DN36" s="567" t="str">
        <f t="shared" si="67"/>
        <v/>
      </c>
      <c r="DO36" s="567" t="str">
        <f t="shared" si="68"/>
        <v/>
      </c>
      <c r="DP36" s="567" t="str">
        <f t="shared" si="69"/>
        <v/>
      </c>
      <c r="DQ36" s="567" t="str">
        <f t="shared" si="70"/>
        <v/>
      </c>
      <c r="DR36" s="567" t="str">
        <f t="shared" si="71"/>
        <v/>
      </c>
      <c r="DS36" s="567" t="str">
        <f t="shared" si="72"/>
        <v/>
      </c>
      <c r="DT36" s="567" t="str">
        <f t="shared" si="73"/>
        <v/>
      </c>
      <c r="DU36" s="567" t="str">
        <f t="shared" si="74"/>
        <v/>
      </c>
      <c r="DV36" s="567" t="str">
        <f t="shared" si="75"/>
        <v/>
      </c>
      <c r="DW36" s="567" t="str">
        <f t="shared" si="76"/>
        <v/>
      </c>
      <c r="DX36" s="567" t="str">
        <f t="shared" si="77"/>
        <v/>
      </c>
      <c r="DY36" s="567" t="str">
        <f t="shared" si="78"/>
        <v/>
      </c>
      <c r="DZ36" s="567" t="str">
        <f t="shared" si="79"/>
        <v/>
      </c>
      <c r="EA36" s="567" t="str">
        <f t="shared" si="80"/>
        <v/>
      </c>
      <c r="EB36" s="567" t="str">
        <f t="shared" si="81"/>
        <v/>
      </c>
      <c r="EC36" s="567" t="str">
        <f t="shared" si="82"/>
        <v/>
      </c>
      <c r="ED36" s="567" t="str">
        <f t="shared" si="83"/>
        <v/>
      </c>
      <c r="EE36" s="567" t="str">
        <f t="shared" si="84"/>
        <v/>
      </c>
      <c r="EF36" s="567" t="str">
        <f t="shared" si="85"/>
        <v/>
      </c>
      <c r="EG36" s="567" t="str">
        <f t="shared" si="86"/>
        <v/>
      </c>
      <c r="EH36" s="567" t="str">
        <f t="shared" si="87"/>
        <v/>
      </c>
      <c r="EI36" s="567" t="str">
        <f t="shared" si="88"/>
        <v/>
      </c>
      <c r="EJ36" s="567" t="str">
        <f t="shared" si="89"/>
        <v/>
      </c>
      <c r="EK36" s="567" t="str">
        <f t="shared" si="90"/>
        <v/>
      </c>
      <c r="EL36" s="567" t="str">
        <f t="shared" si="91"/>
        <v/>
      </c>
      <c r="EM36" s="567" t="str">
        <f t="shared" si="92"/>
        <v/>
      </c>
      <c r="EN36" s="567" t="str">
        <f t="shared" si="93"/>
        <v/>
      </c>
      <c r="EO36" s="567" t="str">
        <f t="shared" si="94"/>
        <v/>
      </c>
      <c r="EP36" s="567" t="str">
        <f t="shared" si="95"/>
        <v/>
      </c>
      <c r="EQ36" s="567" t="str">
        <f t="shared" si="96"/>
        <v/>
      </c>
      <c r="ER36" s="567" t="str">
        <f t="shared" si="97"/>
        <v/>
      </c>
      <c r="ES36" s="567" t="str">
        <f t="shared" si="98"/>
        <v/>
      </c>
      <c r="ET36" s="567" t="str">
        <f t="shared" si="99"/>
        <v/>
      </c>
      <c r="EU36" s="567" t="str">
        <f t="shared" si="100"/>
        <v/>
      </c>
      <c r="EV36" s="577" t="str">
        <f t="shared" si="101"/>
        <v/>
      </c>
      <c r="EW36" s="577" t="str">
        <f t="shared" si="102"/>
        <v/>
      </c>
      <c r="EX36" s="577" t="str">
        <f t="shared" si="103"/>
        <v/>
      </c>
      <c r="EY36" s="577" t="str">
        <f t="shared" si="104"/>
        <v/>
      </c>
      <c r="EZ36" s="577" t="str">
        <f t="shared" si="105"/>
        <v/>
      </c>
      <c r="FA36" s="577" t="str">
        <f t="shared" si="106"/>
        <v/>
      </c>
      <c r="FB36" s="577" t="str">
        <f t="shared" si="107"/>
        <v/>
      </c>
      <c r="FC36" s="577" t="str">
        <f t="shared" si="108"/>
        <v/>
      </c>
      <c r="FD36" s="577" t="str">
        <f t="shared" si="109"/>
        <v/>
      </c>
      <c r="FE36" s="577" t="str">
        <f t="shared" si="110"/>
        <v/>
      </c>
      <c r="FF36" s="577" t="str">
        <f t="shared" si="111"/>
        <v/>
      </c>
      <c r="FG36" s="577" t="str">
        <f t="shared" si="112"/>
        <v/>
      </c>
      <c r="FH36" s="577" t="str">
        <f t="shared" si="113"/>
        <v/>
      </c>
      <c r="FI36" s="577" t="str">
        <f t="shared" si="114"/>
        <v/>
      </c>
      <c r="FJ36" s="577" t="str">
        <f t="shared" si="115"/>
        <v/>
      </c>
      <c r="FK36" s="577" t="str">
        <f t="shared" si="116"/>
        <v/>
      </c>
      <c r="FL36" s="577" t="str">
        <f t="shared" si="117"/>
        <v/>
      </c>
      <c r="FM36" s="577" t="str">
        <f t="shared" si="118"/>
        <v/>
      </c>
      <c r="FN36" s="577" t="str">
        <f t="shared" si="119"/>
        <v/>
      </c>
      <c r="FO36" s="577" t="str">
        <f t="shared" si="120"/>
        <v/>
      </c>
      <c r="FP36" s="577" t="str">
        <f t="shared" si="121"/>
        <v/>
      </c>
      <c r="FQ36" s="577" t="str">
        <f t="shared" si="122"/>
        <v/>
      </c>
      <c r="FR36" s="577" t="str">
        <f t="shared" si="123"/>
        <v/>
      </c>
      <c r="FS36" s="577" t="str">
        <f t="shared" si="124"/>
        <v/>
      </c>
      <c r="FT36" s="577" t="str">
        <f t="shared" si="125"/>
        <v/>
      </c>
      <c r="FU36" s="577" t="str">
        <f t="shared" si="126"/>
        <v/>
      </c>
      <c r="FV36" s="577" t="str">
        <f t="shared" si="127"/>
        <v/>
      </c>
      <c r="FW36" s="577" t="str">
        <f t="shared" si="128"/>
        <v/>
      </c>
      <c r="FX36" s="577" t="str">
        <f t="shared" si="129"/>
        <v/>
      </c>
      <c r="FY36" s="577" t="str">
        <f t="shared" si="130"/>
        <v/>
      </c>
      <c r="FZ36" s="577" t="str">
        <f t="shared" si="131"/>
        <v/>
      </c>
      <c r="GA36" s="577" t="str">
        <f t="shared" si="132"/>
        <v/>
      </c>
      <c r="GB36" s="577" t="str">
        <f t="shared" si="133"/>
        <v/>
      </c>
      <c r="GC36" s="577" t="str">
        <f t="shared" si="134"/>
        <v/>
      </c>
      <c r="GD36" s="577" t="str">
        <f t="shared" si="135"/>
        <v/>
      </c>
      <c r="GE36" s="577" t="str">
        <f t="shared" si="136"/>
        <v/>
      </c>
      <c r="GF36" s="577" t="str">
        <f t="shared" si="137"/>
        <v/>
      </c>
      <c r="GG36" s="577" t="str">
        <f t="shared" si="138"/>
        <v/>
      </c>
      <c r="GH36" s="577" t="str">
        <f t="shared" si="139"/>
        <v/>
      </c>
      <c r="GI36" s="577" t="str">
        <f t="shared" si="140"/>
        <v/>
      </c>
      <c r="GJ36" s="577" t="str">
        <f t="shared" si="141"/>
        <v/>
      </c>
      <c r="GK36" s="577" t="str">
        <f t="shared" si="142"/>
        <v/>
      </c>
      <c r="GL36" s="577" t="str">
        <f t="shared" si="143"/>
        <v/>
      </c>
      <c r="GM36" s="577" t="str">
        <f t="shared" si="144"/>
        <v/>
      </c>
      <c r="GN36" s="577" t="str">
        <f t="shared" si="145"/>
        <v/>
      </c>
      <c r="GO36" s="578" t="str">
        <f t="shared" si="146"/>
        <v/>
      </c>
      <c r="GP36" s="578" t="str">
        <f t="shared" si="147"/>
        <v/>
      </c>
      <c r="GQ36" s="578" t="str">
        <f t="shared" si="148"/>
        <v/>
      </c>
      <c r="GR36" s="578" t="str">
        <f t="shared" si="149"/>
        <v/>
      </c>
      <c r="GS36" s="578" t="str">
        <f t="shared" si="150"/>
        <v/>
      </c>
      <c r="GT36" s="567" t="str">
        <f t="shared" si="151"/>
        <v/>
      </c>
      <c r="GU36" s="567" t="str">
        <f t="shared" si="152"/>
        <v/>
      </c>
      <c r="GV36" s="567" t="str">
        <f t="shared" si="153"/>
        <v/>
      </c>
      <c r="GW36" s="567" t="str">
        <f t="shared" si="154"/>
        <v/>
      </c>
      <c r="GX36" s="567" t="str">
        <f t="shared" si="155"/>
        <v/>
      </c>
      <c r="GY36" s="567" t="str">
        <f t="shared" si="156"/>
        <v/>
      </c>
      <c r="GZ36" s="567" t="str">
        <f t="shared" si="157"/>
        <v/>
      </c>
      <c r="HA36" s="567" t="str">
        <f t="shared" si="158"/>
        <v/>
      </c>
      <c r="HB36" s="567" t="str">
        <f t="shared" si="159"/>
        <v/>
      </c>
      <c r="HC36" s="567" t="str">
        <f t="shared" si="160"/>
        <v/>
      </c>
      <c r="HD36" s="567" t="str">
        <f t="shared" si="161"/>
        <v/>
      </c>
      <c r="HE36" s="567" t="str">
        <f t="shared" si="162"/>
        <v/>
      </c>
      <c r="HF36" s="567" t="str">
        <f t="shared" si="163"/>
        <v/>
      </c>
      <c r="HG36" s="567" t="str">
        <f t="shared" si="164"/>
        <v/>
      </c>
      <c r="HH36" s="567" t="str">
        <f t="shared" si="165"/>
        <v/>
      </c>
      <c r="HI36" s="567" t="str">
        <f t="shared" si="166"/>
        <v/>
      </c>
      <c r="HJ36" s="567" t="str">
        <f t="shared" si="167"/>
        <v/>
      </c>
      <c r="HK36" s="567" t="str">
        <f t="shared" si="168"/>
        <v/>
      </c>
      <c r="HL36" s="567" t="str">
        <f t="shared" si="169"/>
        <v/>
      </c>
      <c r="HM36" s="567" t="str">
        <f t="shared" si="170"/>
        <v/>
      </c>
    </row>
    <row r="37" spans="1:221" ht="13.15" customHeight="1">
      <c r="A37" s="126" t="str">
        <f t="shared" si="171"/>
        <v/>
      </c>
      <c r="B37" s="1203" t="s">
        <v>1886</v>
      </c>
      <c r="C37" s="1204"/>
      <c r="D37" s="1205"/>
      <c r="E37" s="1206"/>
      <c r="F37" s="1206"/>
      <c r="G37" s="1206"/>
      <c r="H37" s="1206"/>
      <c r="I37" s="1206"/>
      <c r="J37" s="1207"/>
      <c r="K37" s="198">
        <f t="shared" si="204"/>
        <v>0</v>
      </c>
      <c r="L37" s="198">
        <f t="shared" si="0"/>
        <v>0</v>
      </c>
      <c r="M37" s="1099"/>
      <c r="N37" s="1099"/>
      <c r="O37" s="1099"/>
      <c r="P37" s="518" t="str">
        <f t="shared" si="203"/>
        <v/>
      </c>
      <c r="Q37" s="519" t="str">
        <f>IF(H37="","",P37/($P$6*VLOOKUP(C37,'DCA Underwriting Assumptions'!$J$82:$K$87,2,FALSE)))</f>
        <v/>
      </c>
      <c r="R37" s="607"/>
      <c r="S37" s="519"/>
      <c r="T37" s="1643"/>
      <c r="U37" s="1644"/>
      <c r="V37" s="567" t="str">
        <f t="shared" si="1"/>
        <v/>
      </c>
      <c r="W37" s="567" t="str">
        <f t="shared" si="2"/>
        <v/>
      </c>
      <c r="X37" s="567" t="str">
        <f t="shared" si="3"/>
        <v/>
      </c>
      <c r="Y37" s="567" t="str">
        <f t="shared" si="4"/>
        <v/>
      </c>
      <c r="Z37" s="567" t="str">
        <f t="shared" si="5"/>
        <v/>
      </c>
      <c r="AA37" s="567" t="str">
        <f t="shared" si="6"/>
        <v/>
      </c>
      <c r="AB37" s="567" t="str">
        <f t="shared" si="7"/>
        <v/>
      </c>
      <c r="AC37" s="567" t="str">
        <f t="shared" si="8"/>
        <v/>
      </c>
      <c r="AD37" s="567" t="str">
        <f t="shared" si="9"/>
        <v/>
      </c>
      <c r="AE37" s="567" t="str">
        <f t="shared" si="10"/>
        <v/>
      </c>
      <c r="AF37" s="567" t="str">
        <f t="shared" si="11"/>
        <v/>
      </c>
      <c r="AG37" s="567" t="str">
        <f t="shared" si="12"/>
        <v/>
      </c>
      <c r="AH37" s="567" t="str">
        <f t="shared" si="13"/>
        <v/>
      </c>
      <c r="AI37" s="567" t="str">
        <f t="shared" si="14"/>
        <v/>
      </c>
      <c r="AJ37" s="567" t="str">
        <f t="shared" si="15"/>
        <v/>
      </c>
      <c r="AK37" s="567" t="str">
        <f t="shared" si="16"/>
        <v/>
      </c>
      <c r="AL37" s="567" t="str">
        <f t="shared" si="17"/>
        <v/>
      </c>
      <c r="AM37" s="567" t="str">
        <f t="shared" si="18"/>
        <v/>
      </c>
      <c r="AN37" s="567" t="str">
        <f t="shared" si="19"/>
        <v/>
      </c>
      <c r="AO37" s="567" t="str">
        <f t="shared" si="20"/>
        <v/>
      </c>
      <c r="AP37" s="567" t="str">
        <f t="shared" si="173"/>
        <v/>
      </c>
      <c r="AQ37" s="567" t="str">
        <f t="shared" si="174"/>
        <v/>
      </c>
      <c r="AR37" s="567" t="str">
        <f t="shared" si="175"/>
        <v/>
      </c>
      <c r="AS37" s="567" t="str">
        <f t="shared" si="176"/>
        <v/>
      </c>
      <c r="AT37" s="567" t="str">
        <f t="shared" si="177"/>
        <v/>
      </c>
      <c r="AU37" s="567" t="str">
        <f t="shared" si="178"/>
        <v/>
      </c>
      <c r="AV37" s="567" t="str">
        <f t="shared" si="179"/>
        <v/>
      </c>
      <c r="AW37" s="567" t="str">
        <f t="shared" si="180"/>
        <v/>
      </c>
      <c r="AX37" s="567" t="str">
        <f t="shared" si="181"/>
        <v/>
      </c>
      <c r="AY37" s="567" t="str">
        <f t="shared" si="182"/>
        <v/>
      </c>
      <c r="AZ37" s="567" t="str">
        <f t="shared" si="183"/>
        <v/>
      </c>
      <c r="BA37" s="567" t="str">
        <f t="shared" si="184"/>
        <v/>
      </c>
      <c r="BB37" s="567" t="str">
        <f t="shared" si="185"/>
        <v/>
      </c>
      <c r="BC37" s="567" t="str">
        <f t="shared" si="186"/>
        <v/>
      </c>
      <c r="BD37" s="567" t="str">
        <f t="shared" si="187"/>
        <v/>
      </c>
      <c r="BE37" s="567" t="str">
        <f t="shared" si="188"/>
        <v/>
      </c>
      <c r="BF37" s="567" t="str">
        <f t="shared" si="189"/>
        <v/>
      </c>
      <c r="BG37" s="567" t="str">
        <f t="shared" si="190"/>
        <v/>
      </c>
      <c r="BH37" s="567" t="str">
        <f t="shared" si="191"/>
        <v/>
      </c>
      <c r="BI37" s="567" t="str">
        <f t="shared" si="192"/>
        <v/>
      </c>
      <c r="BJ37" s="567" t="str">
        <f t="shared" si="193"/>
        <v/>
      </c>
      <c r="BK37" s="567" t="str">
        <f t="shared" si="194"/>
        <v/>
      </c>
      <c r="BL37" s="567" t="str">
        <f t="shared" si="195"/>
        <v/>
      </c>
      <c r="BM37" s="567" t="str">
        <f t="shared" si="196"/>
        <v/>
      </c>
      <c r="BN37" s="567" t="str">
        <f t="shared" si="197"/>
        <v/>
      </c>
      <c r="BO37" s="567" t="str">
        <f t="shared" si="198"/>
        <v/>
      </c>
      <c r="BP37" s="567" t="str">
        <f t="shared" si="199"/>
        <v/>
      </c>
      <c r="BQ37" s="567" t="str">
        <f t="shared" si="200"/>
        <v/>
      </c>
      <c r="BR37" s="567" t="str">
        <f t="shared" si="201"/>
        <v/>
      </c>
      <c r="BS37" s="567" t="str">
        <f t="shared" si="202"/>
        <v/>
      </c>
      <c r="BT37" s="567" t="str">
        <f t="shared" si="21"/>
        <v/>
      </c>
      <c r="BU37" s="567" t="str">
        <f t="shared" si="22"/>
        <v/>
      </c>
      <c r="BV37" s="567" t="str">
        <f t="shared" si="23"/>
        <v/>
      </c>
      <c r="BW37" s="567" t="str">
        <f t="shared" si="24"/>
        <v/>
      </c>
      <c r="BX37" s="567" t="str">
        <f t="shared" si="25"/>
        <v/>
      </c>
      <c r="BY37" s="567" t="str">
        <f t="shared" si="26"/>
        <v/>
      </c>
      <c r="BZ37" s="567" t="str">
        <f t="shared" si="27"/>
        <v/>
      </c>
      <c r="CA37" s="567" t="str">
        <f t="shared" si="28"/>
        <v/>
      </c>
      <c r="CB37" s="567" t="str">
        <f t="shared" si="29"/>
        <v/>
      </c>
      <c r="CC37" s="567" t="str">
        <f t="shared" si="30"/>
        <v/>
      </c>
      <c r="CD37" s="567" t="str">
        <f t="shared" si="31"/>
        <v/>
      </c>
      <c r="CE37" s="567" t="str">
        <f t="shared" si="32"/>
        <v/>
      </c>
      <c r="CF37" s="567" t="str">
        <f t="shared" si="33"/>
        <v/>
      </c>
      <c r="CG37" s="567" t="str">
        <f t="shared" si="34"/>
        <v/>
      </c>
      <c r="CH37" s="567" t="str">
        <f t="shared" si="35"/>
        <v/>
      </c>
      <c r="CI37" s="567" t="str">
        <f t="shared" si="36"/>
        <v/>
      </c>
      <c r="CJ37" s="567" t="str">
        <f t="shared" si="37"/>
        <v/>
      </c>
      <c r="CK37" s="567" t="str">
        <f t="shared" si="38"/>
        <v/>
      </c>
      <c r="CL37" s="567" t="str">
        <f t="shared" si="39"/>
        <v/>
      </c>
      <c r="CM37" s="567" t="str">
        <f t="shared" si="40"/>
        <v/>
      </c>
      <c r="CN37" s="567" t="str">
        <f t="shared" si="41"/>
        <v/>
      </c>
      <c r="CO37" s="567" t="str">
        <f t="shared" si="42"/>
        <v/>
      </c>
      <c r="CP37" s="567" t="str">
        <f t="shared" si="43"/>
        <v/>
      </c>
      <c r="CQ37" s="567" t="str">
        <f t="shared" si="44"/>
        <v/>
      </c>
      <c r="CR37" s="567" t="str">
        <f t="shared" si="45"/>
        <v/>
      </c>
      <c r="CS37" s="567" t="str">
        <f t="shared" si="46"/>
        <v/>
      </c>
      <c r="CT37" s="567" t="str">
        <f t="shared" si="47"/>
        <v/>
      </c>
      <c r="CU37" s="567" t="str">
        <f t="shared" si="48"/>
        <v/>
      </c>
      <c r="CV37" s="567" t="str">
        <f t="shared" si="49"/>
        <v/>
      </c>
      <c r="CW37" s="567" t="str">
        <f t="shared" si="50"/>
        <v/>
      </c>
      <c r="CX37" s="567" t="str">
        <f t="shared" si="51"/>
        <v/>
      </c>
      <c r="CY37" s="567" t="str">
        <f t="shared" si="52"/>
        <v/>
      </c>
      <c r="CZ37" s="567" t="str">
        <f t="shared" si="53"/>
        <v/>
      </c>
      <c r="DA37" s="567" t="str">
        <f t="shared" si="54"/>
        <v/>
      </c>
      <c r="DB37" s="567" t="str">
        <f t="shared" si="55"/>
        <v/>
      </c>
      <c r="DC37" s="567" t="str">
        <f t="shared" si="56"/>
        <v/>
      </c>
      <c r="DD37" s="567" t="str">
        <f t="shared" si="57"/>
        <v/>
      </c>
      <c r="DE37" s="567" t="str">
        <f t="shared" si="58"/>
        <v/>
      </c>
      <c r="DF37" s="567" t="str">
        <f t="shared" si="59"/>
        <v/>
      </c>
      <c r="DG37" s="567" t="str">
        <f t="shared" si="60"/>
        <v/>
      </c>
      <c r="DH37" s="567" t="str">
        <f t="shared" si="61"/>
        <v/>
      </c>
      <c r="DI37" s="567" t="str">
        <f t="shared" si="62"/>
        <v/>
      </c>
      <c r="DJ37" s="567" t="str">
        <f t="shared" si="63"/>
        <v/>
      </c>
      <c r="DK37" s="567" t="str">
        <f t="shared" si="64"/>
        <v/>
      </c>
      <c r="DL37" s="567" t="str">
        <f t="shared" si="65"/>
        <v/>
      </c>
      <c r="DM37" s="567" t="str">
        <f t="shared" si="66"/>
        <v/>
      </c>
      <c r="DN37" s="567" t="str">
        <f t="shared" si="67"/>
        <v/>
      </c>
      <c r="DO37" s="567" t="str">
        <f t="shared" si="68"/>
        <v/>
      </c>
      <c r="DP37" s="567" t="str">
        <f t="shared" si="69"/>
        <v/>
      </c>
      <c r="DQ37" s="567" t="str">
        <f t="shared" si="70"/>
        <v/>
      </c>
      <c r="DR37" s="567" t="str">
        <f t="shared" si="71"/>
        <v/>
      </c>
      <c r="DS37" s="567" t="str">
        <f t="shared" si="72"/>
        <v/>
      </c>
      <c r="DT37" s="567" t="str">
        <f t="shared" si="73"/>
        <v/>
      </c>
      <c r="DU37" s="567" t="str">
        <f t="shared" si="74"/>
        <v/>
      </c>
      <c r="DV37" s="567" t="str">
        <f t="shared" si="75"/>
        <v/>
      </c>
      <c r="DW37" s="567" t="str">
        <f t="shared" si="76"/>
        <v/>
      </c>
      <c r="DX37" s="567" t="str">
        <f t="shared" si="77"/>
        <v/>
      </c>
      <c r="DY37" s="567" t="str">
        <f t="shared" si="78"/>
        <v/>
      </c>
      <c r="DZ37" s="567" t="str">
        <f t="shared" si="79"/>
        <v/>
      </c>
      <c r="EA37" s="567" t="str">
        <f t="shared" si="80"/>
        <v/>
      </c>
      <c r="EB37" s="567" t="str">
        <f t="shared" si="81"/>
        <v/>
      </c>
      <c r="EC37" s="567" t="str">
        <f t="shared" si="82"/>
        <v/>
      </c>
      <c r="ED37" s="567" t="str">
        <f t="shared" si="83"/>
        <v/>
      </c>
      <c r="EE37" s="567" t="str">
        <f t="shared" si="84"/>
        <v/>
      </c>
      <c r="EF37" s="567" t="str">
        <f t="shared" si="85"/>
        <v/>
      </c>
      <c r="EG37" s="567" t="str">
        <f t="shared" si="86"/>
        <v/>
      </c>
      <c r="EH37" s="567" t="str">
        <f t="shared" si="87"/>
        <v/>
      </c>
      <c r="EI37" s="567" t="str">
        <f t="shared" si="88"/>
        <v/>
      </c>
      <c r="EJ37" s="567" t="str">
        <f t="shared" si="89"/>
        <v/>
      </c>
      <c r="EK37" s="567" t="str">
        <f t="shared" si="90"/>
        <v/>
      </c>
      <c r="EL37" s="567" t="str">
        <f t="shared" si="91"/>
        <v/>
      </c>
      <c r="EM37" s="567" t="str">
        <f t="shared" si="92"/>
        <v/>
      </c>
      <c r="EN37" s="567" t="str">
        <f t="shared" si="93"/>
        <v/>
      </c>
      <c r="EO37" s="567" t="str">
        <f t="shared" si="94"/>
        <v/>
      </c>
      <c r="EP37" s="567" t="str">
        <f t="shared" si="95"/>
        <v/>
      </c>
      <c r="EQ37" s="567" t="str">
        <f t="shared" si="96"/>
        <v/>
      </c>
      <c r="ER37" s="567" t="str">
        <f t="shared" si="97"/>
        <v/>
      </c>
      <c r="ES37" s="567" t="str">
        <f t="shared" si="98"/>
        <v/>
      </c>
      <c r="ET37" s="567" t="str">
        <f t="shared" si="99"/>
        <v/>
      </c>
      <c r="EU37" s="567" t="str">
        <f t="shared" si="100"/>
        <v/>
      </c>
      <c r="EV37" s="577" t="str">
        <f t="shared" si="101"/>
        <v/>
      </c>
      <c r="EW37" s="577" t="str">
        <f t="shared" si="102"/>
        <v/>
      </c>
      <c r="EX37" s="577" t="str">
        <f t="shared" si="103"/>
        <v/>
      </c>
      <c r="EY37" s="577" t="str">
        <f t="shared" si="104"/>
        <v/>
      </c>
      <c r="EZ37" s="577" t="str">
        <f t="shared" si="105"/>
        <v/>
      </c>
      <c r="FA37" s="577" t="str">
        <f t="shared" si="106"/>
        <v/>
      </c>
      <c r="FB37" s="577" t="str">
        <f t="shared" si="107"/>
        <v/>
      </c>
      <c r="FC37" s="577" t="str">
        <f t="shared" si="108"/>
        <v/>
      </c>
      <c r="FD37" s="577" t="str">
        <f t="shared" si="109"/>
        <v/>
      </c>
      <c r="FE37" s="577" t="str">
        <f t="shared" si="110"/>
        <v/>
      </c>
      <c r="FF37" s="577" t="str">
        <f t="shared" si="111"/>
        <v/>
      </c>
      <c r="FG37" s="577" t="str">
        <f t="shared" si="112"/>
        <v/>
      </c>
      <c r="FH37" s="577" t="str">
        <f t="shared" si="113"/>
        <v/>
      </c>
      <c r="FI37" s="577" t="str">
        <f t="shared" si="114"/>
        <v/>
      </c>
      <c r="FJ37" s="577" t="str">
        <f t="shared" si="115"/>
        <v/>
      </c>
      <c r="FK37" s="577" t="str">
        <f t="shared" si="116"/>
        <v/>
      </c>
      <c r="FL37" s="577" t="str">
        <f t="shared" si="117"/>
        <v/>
      </c>
      <c r="FM37" s="577" t="str">
        <f t="shared" si="118"/>
        <v/>
      </c>
      <c r="FN37" s="577" t="str">
        <f t="shared" si="119"/>
        <v/>
      </c>
      <c r="FO37" s="577" t="str">
        <f t="shared" si="120"/>
        <v/>
      </c>
      <c r="FP37" s="577" t="str">
        <f t="shared" si="121"/>
        <v/>
      </c>
      <c r="FQ37" s="577" t="str">
        <f t="shared" si="122"/>
        <v/>
      </c>
      <c r="FR37" s="577" t="str">
        <f t="shared" si="123"/>
        <v/>
      </c>
      <c r="FS37" s="577" t="str">
        <f t="shared" si="124"/>
        <v/>
      </c>
      <c r="FT37" s="577" t="str">
        <f t="shared" si="125"/>
        <v/>
      </c>
      <c r="FU37" s="577" t="str">
        <f t="shared" si="126"/>
        <v/>
      </c>
      <c r="FV37" s="577" t="str">
        <f t="shared" si="127"/>
        <v/>
      </c>
      <c r="FW37" s="577" t="str">
        <f t="shared" si="128"/>
        <v/>
      </c>
      <c r="FX37" s="577" t="str">
        <f t="shared" si="129"/>
        <v/>
      </c>
      <c r="FY37" s="577" t="str">
        <f t="shared" si="130"/>
        <v/>
      </c>
      <c r="FZ37" s="577" t="str">
        <f t="shared" si="131"/>
        <v/>
      </c>
      <c r="GA37" s="577" t="str">
        <f t="shared" si="132"/>
        <v/>
      </c>
      <c r="GB37" s="577" t="str">
        <f t="shared" si="133"/>
        <v/>
      </c>
      <c r="GC37" s="577" t="str">
        <f t="shared" si="134"/>
        <v/>
      </c>
      <c r="GD37" s="577" t="str">
        <f t="shared" si="135"/>
        <v/>
      </c>
      <c r="GE37" s="577" t="str">
        <f t="shared" si="136"/>
        <v/>
      </c>
      <c r="GF37" s="577" t="str">
        <f t="shared" si="137"/>
        <v/>
      </c>
      <c r="GG37" s="577" t="str">
        <f t="shared" si="138"/>
        <v/>
      </c>
      <c r="GH37" s="577" t="str">
        <f t="shared" si="139"/>
        <v/>
      </c>
      <c r="GI37" s="577" t="str">
        <f t="shared" si="140"/>
        <v/>
      </c>
      <c r="GJ37" s="577" t="str">
        <f t="shared" si="141"/>
        <v/>
      </c>
      <c r="GK37" s="577" t="str">
        <f t="shared" si="142"/>
        <v/>
      </c>
      <c r="GL37" s="577" t="str">
        <f t="shared" si="143"/>
        <v/>
      </c>
      <c r="GM37" s="577" t="str">
        <f t="shared" si="144"/>
        <v/>
      </c>
      <c r="GN37" s="577" t="str">
        <f t="shared" si="145"/>
        <v/>
      </c>
      <c r="GO37" s="578" t="str">
        <f t="shared" si="146"/>
        <v/>
      </c>
      <c r="GP37" s="578" t="str">
        <f t="shared" si="147"/>
        <v/>
      </c>
      <c r="GQ37" s="578" t="str">
        <f t="shared" si="148"/>
        <v/>
      </c>
      <c r="GR37" s="578" t="str">
        <f t="shared" si="149"/>
        <v/>
      </c>
      <c r="GS37" s="578" t="str">
        <f t="shared" si="150"/>
        <v/>
      </c>
      <c r="GT37" s="567" t="str">
        <f t="shared" si="151"/>
        <v/>
      </c>
      <c r="GU37" s="567" t="str">
        <f t="shared" si="152"/>
        <v/>
      </c>
      <c r="GV37" s="567" t="str">
        <f t="shared" si="153"/>
        <v/>
      </c>
      <c r="GW37" s="567" t="str">
        <f t="shared" si="154"/>
        <v/>
      </c>
      <c r="GX37" s="567" t="str">
        <f t="shared" si="155"/>
        <v/>
      </c>
      <c r="GY37" s="567" t="str">
        <f t="shared" si="156"/>
        <v/>
      </c>
      <c r="GZ37" s="567" t="str">
        <f t="shared" si="157"/>
        <v/>
      </c>
      <c r="HA37" s="567" t="str">
        <f t="shared" si="158"/>
        <v/>
      </c>
      <c r="HB37" s="567" t="str">
        <f t="shared" si="159"/>
        <v/>
      </c>
      <c r="HC37" s="567" t="str">
        <f t="shared" si="160"/>
        <v/>
      </c>
      <c r="HD37" s="567" t="str">
        <f t="shared" si="161"/>
        <v/>
      </c>
      <c r="HE37" s="567" t="str">
        <f t="shared" si="162"/>
        <v/>
      </c>
      <c r="HF37" s="567" t="str">
        <f t="shared" si="163"/>
        <v/>
      </c>
      <c r="HG37" s="567" t="str">
        <f t="shared" si="164"/>
        <v/>
      </c>
      <c r="HH37" s="567" t="str">
        <f t="shared" si="165"/>
        <v/>
      </c>
      <c r="HI37" s="567" t="str">
        <f t="shared" si="166"/>
        <v/>
      </c>
      <c r="HJ37" s="567" t="str">
        <f t="shared" si="167"/>
        <v/>
      </c>
      <c r="HK37" s="567" t="str">
        <f t="shared" si="168"/>
        <v/>
      </c>
      <c r="HL37" s="567" t="str">
        <f t="shared" si="169"/>
        <v/>
      </c>
      <c r="HM37" s="567" t="str">
        <f t="shared" si="170"/>
        <v/>
      </c>
    </row>
    <row r="38" spans="1:221" ht="13.15" customHeight="1">
      <c r="A38" s="126" t="str">
        <f t="shared" si="171"/>
        <v/>
      </c>
      <c r="B38" s="1203" t="s">
        <v>1886</v>
      </c>
      <c r="C38" s="1204"/>
      <c r="D38" s="1205"/>
      <c r="E38" s="1206"/>
      <c r="F38" s="1206"/>
      <c r="G38" s="1206"/>
      <c r="H38" s="1206"/>
      <c r="I38" s="1206"/>
      <c r="J38" s="1207"/>
      <c r="K38" s="198">
        <f>MAX(0,H38-I38)</f>
        <v>0</v>
      </c>
      <c r="L38" s="198">
        <f t="shared" si="0"/>
        <v>0</v>
      </c>
      <c r="M38" s="1099"/>
      <c r="N38" s="1099"/>
      <c r="O38" s="1099"/>
      <c r="P38" s="518" t="str">
        <f t="shared" si="203"/>
        <v/>
      </c>
      <c r="Q38" s="519" t="str">
        <f>IF(H38="","",P38/($P$6*VLOOKUP(C38,'DCA Underwriting Assumptions'!$J$82:$K$87,2,FALSE)))</f>
        <v/>
      </c>
      <c r="R38" s="607"/>
      <c r="S38" s="519"/>
      <c r="T38" s="1643"/>
      <c r="U38" s="1644"/>
      <c r="V38" s="567" t="str">
        <f t="shared" si="1"/>
        <v/>
      </c>
      <c r="W38" s="567" t="str">
        <f t="shared" si="2"/>
        <v/>
      </c>
      <c r="X38" s="567" t="str">
        <f t="shared" si="3"/>
        <v/>
      </c>
      <c r="Y38" s="567" t="str">
        <f t="shared" si="4"/>
        <v/>
      </c>
      <c r="Z38" s="567" t="str">
        <f t="shared" si="5"/>
        <v/>
      </c>
      <c r="AA38" s="567" t="str">
        <f t="shared" si="6"/>
        <v/>
      </c>
      <c r="AB38" s="567" t="str">
        <f t="shared" si="7"/>
        <v/>
      </c>
      <c r="AC38" s="567" t="str">
        <f t="shared" si="8"/>
        <v/>
      </c>
      <c r="AD38" s="567" t="str">
        <f t="shared" si="9"/>
        <v/>
      </c>
      <c r="AE38" s="567" t="str">
        <f t="shared" si="10"/>
        <v/>
      </c>
      <c r="AF38" s="567" t="str">
        <f t="shared" si="11"/>
        <v/>
      </c>
      <c r="AG38" s="567" t="str">
        <f t="shared" si="12"/>
        <v/>
      </c>
      <c r="AH38" s="567" t="str">
        <f t="shared" si="13"/>
        <v/>
      </c>
      <c r="AI38" s="567" t="str">
        <f t="shared" si="14"/>
        <v/>
      </c>
      <c r="AJ38" s="567" t="str">
        <f t="shared" si="15"/>
        <v/>
      </c>
      <c r="AK38" s="567" t="str">
        <f t="shared" si="16"/>
        <v/>
      </c>
      <c r="AL38" s="567" t="str">
        <f t="shared" si="17"/>
        <v/>
      </c>
      <c r="AM38" s="567" t="str">
        <f t="shared" si="18"/>
        <v/>
      </c>
      <c r="AN38" s="567" t="str">
        <f t="shared" si="19"/>
        <v/>
      </c>
      <c r="AO38" s="567" t="str">
        <f t="shared" si="20"/>
        <v/>
      </c>
      <c r="AP38" s="567" t="str">
        <f t="shared" si="173"/>
        <v/>
      </c>
      <c r="AQ38" s="567" t="str">
        <f t="shared" si="174"/>
        <v/>
      </c>
      <c r="AR38" s="567" t="str">
        <f t="shared" si="175"/>
        <v/>
      </c>
      <c r="AS38" s="567" t="str">
        <f t="shared" si="176"/>
        <v/>
      </c>
      <c r="AT38" s="567" t="str">
        <f t="shared" si="177"/>
        <v/>
      </c>
      <c r="AU38" s="567" t="str">
        <f t="shared" si="178"/>
        <v/>
      </c>
      <c r="AV38" s="567" t="str">
        <f t="shared" si="179"/>
        <v/>
      </c>
      <c r="AW38" s="567" t="str">
        <f t="shared" si="180"/>
        <v/>
      </c>
      <c r="AX38" s="567" t="str">
        <f t="shared" si="181"/>
        <v/>
      </c>
      <c r="AY38" s="567" t="str">
        <f t="shared" si="182"/>
        <v/>
      </c>
      <c r="AZ38" s="567" t="str">
        <f t="shared" si="183"/>
        <v/>
      </c>
      <c r="BA38" s="567" t="str">
        <f t="shared" si="184"/>
        <v/>
      </c>
      <c r="BB38" s="567" t="str">
        <f t="shared" si="185"/>
        <v/>
      </c>
      <c r="BC38" s="567" t="str">
        <f t="shared" si="186"/>
        <v/>
      </c>
      <c r="BD38" s="567" t="str">
        <f t="shared" si="187"/>
        <v/>
      </c>
      <c r="BE38" s="567" t="str">
        <f t="shared" si="188"/>
        <v/>
      </c>
      <c r="BF38" s="567" t="str">
        <f t="shared" si="189"/>
        <v/>
      </c>
      <c r="BG38" s="567" t="str">
        <f t="shared" si="190"/>
        <v/>
      </c>
      <c r="BH38" s="567" t="str">
        <f t="shared" si="191"/>
        <v/>
      </c>
      <c r="BI38" s="567" t="str">
        <f t="shared" si="192"/>
        <v/>
      </c>
      <c r="BJ38" s="567" t="str">
        <f t="shared" si="193"/>
        <v/>
      </c>
      <c r="BK38" s="567" t="str">
        <f t="shared" si="194"/>
        <v/>
      </c>
      <c r="BL38" s="567" t="str">
        <f t="shared" si="195"/>
        <v/>
      </c>
      <c r="BM38" s="567" t="str">
        <f t="shared" si="196"/>
        <v/>
      </c>
      <c r="BN38" s="567" t="str">
        <f t="shared" si="197"/>
        <v/>
      </c>
      <c r="BO38" s="567" t="str">
        <f t="shared" si="198"/>
        <v/>
      </c>
      <c r="BP38" s="567" t="str">
        <f t="shared" si="199"/>
        <v/>
      </c>
      <c r="BQ38" s="567" t="str">
        <f t="shared" si="200"/>
        <v/>
      </c>
      <c r="BR38" s="567" t="str">
        <f t="shared" si="201"/>
        <v/>
      </c>
      <c r="BS38" s="567" t="str">
        <f t="shared" si="202"/>
        <v/>
      </c>
      <c r="BT38" s="567" t="str">
        <f t="shared" si="21"/>
        <v/>
      </c>
      <c r="BU38" s="567" t="str">
        <f t="shared" si="22"/>
        <v/>
      </c>
      <c r="BV38" s="567" t="str">
        <f t="shared" si="23"/>
        <v/>
      </c>
      <c r="BW38" s="567" t="str">
        <f t="shared" si="24"/>
        <v/>
      </c>
      <c r="BX38" s="567" t="str">
        <f t="shared" si="25"/>
        <v/>
      </c>
      <c r="BY38" s="567" t="str">
        <f t="shared" si="26"/>
        <v/>
      </c>
      <c r="BZ38" s="567" t="str">
        <f t="shared" si="27"/>
        <v/>
      </c>
      <c r="CA38" s="567" t="str">
        <f t="shared" si="28"/>
        <v/>
      </c>
      <c r="CB38" s="567" t="str">
        <f t="shared" si="29"/>
        <v/>
      </c>
      <c r="CC38" s="567" t="str">
        <f t="shared" si="30"/>
        <v/>
      </c>
      <c r="CD38" s="567" t="str">
        <f t="shared" si="31"/>
        <v/>
      </c>
      <c r="CE38" s="567" t="str">
        <f t="shared" si="32"/>
        <v/>
      </c>
      <c r="CF38" s="567" t="str">
        <f t="shared" si="33"/>
        <v/>
      </c>
      <c r="CG38" s="567" t="str">
        <f t="shared" si="34"/>
        <v/>
      </c>
      <c r="CH38" s="567" t="str">
        <f t="shared" si="35"/>
        <v/>
      </c>
      <c r="CI38" s="567" t="str">
        <f t="shared" si="36"/>
        <v/>
      </c>
      <c r="CJ38" s="567" t="str">
        <f t="shared" si="37"/>
        <v/>
      </c>
      <c r="CK38" s="567" t="str">
        <f t="shared" si="38"/>
        <v/>
      </c>
      <c r="CL38" s="567" t="str">
        <f t="shared" si="39"/>
        <v/>
      </c>
      <c r="CM38" s="567" t="str">
        <f t="shared" si="40"/>
        <v/>
      </c>
      <c r="CN38" s="567" t="str">
        <f t="shared" si="41"/>
        <v/>
      </c>
      <c r="CO38" s="567" t="str">
        <f t="shared" si="42"/>
        <v/>
      </c>
      <c r="CP38" s="567" t="str">
        <f t="shared" si="43"/>
        <v/>
      </c>
      <c r="CQ38" s="567" t="str">
        <f t="shared" si="44"/>
        <v/>
      </c>
      <c r="CR38" s="567" t="str">
        <f t="shared" si="45"/>
        <v/>
      </c>
      <c r="CS38" s="567" t="str">
        <f t="shared" si="46"/>
        <v/>
      </c>
      <c r="CT38" s="567" t="str">
        <f t="shared" si="47"/>
        <v/>
      </c>
      <c r="CU38" s="567" t="str">
        <f t="shared" si="48"/>
        <v/>
      </c>
      <c r="CV38" s="567" t="str">
        <f t="shared" si="49"/>
        <v/>
      </c>
      <c r="CW38" s="567" t="str">
        <f t="shared" si="50"/>
        <v/>
      </c>
      <c r="CX38" s="567" t="str">
        <f t="shared" si="51"/>
        <v/>
      </c>
      <c r="CY38" s="567" t="str">
        <f t="shared" si="52"/>
        <v/>
      </c>
      <c r="CZ38" s="567" t="str">
        <f t="shared" si="53"/>
        <v/>
      </c>
      <c r="DA38" s="567" t="str">
        <f t="shared" si="54"/>
        <v/>
      </c>
      <c r="DB38" s="567" t="str">
        <f t="shared" si="55"/>
        <v/>
      </c>
      <c r="DC38" s="567" t="str">
        <f t="shared" si="56"/>
        <v/>
      </c>
      <c r="DD38" s="567" t="str">
        <f t="shared" si="57"/>
        <v/>
      </c>
      <c r="DE38" s="567" t="str">
        <f t="shared" si="58"/>
        <v/>
      </c>
      <c r="DF38" s="567" t="str">
        <f t="shared" si="59"/>
        <v/>
      </c>
      <c r="DG38" s="567" t="str">
        <f t="shared" si="60"/>
        <v/>
      </c>
      <c r="DH38" s="567" t="str">
        <f t="shared" si="61"/>
        <v/>
      </c>
      <c r="DI38" s="567" t="str">
        <f t="shared" si="62"/>
        <v/>
      </c>
      <c r="DJ38" s="567" t="str">
        <f t="shared" si="63"/>
        <v/>
      </c>
      <c r="DK38" s="567" t="str">
        <f t="shared" si="64"/>
        <v/>
      </c>
      <c r="DL38" s="567" t="str">
        <f t="shared" si="65"/>
        <v/>
      </c>
      <c r="DM38" s="567" t="str">
        <f t="shared" si="66"/>
        <v/>
      </c>
      <c r="DN38" s="567" t="str">
        <f t="shared" si="67"/>
        <v/>
      </c>
      <c r="DO38" s="567" t="str">
        <f t="shared" si="68"/>
        <v/>
      </c>
      <c r="DP38" s="567" t="str">
        <f t="shared" si="69"/>
        <v/>
      </c>
      <c r="DQ38" s="567" t="str">
        <f t="shared" si="70"/>
        <v/>
      </c>
      <c r="DR38" s="567" t="str">
        <f t="shared" si="71"/>
        <v/>
      </c>
      <c r="DS38" s="567" t="str">
        <f t="shared" si="72"/>
        <v/>
      </c>
      <c r="DT38" s="567" t="str">
        <f t="shared" si="73"/>
        <v/>
      </c>
      <c r="DU38" s="567" t="str">
        <f t="shared" si="74"/>
        <v/>
      </c>
      <c r="DV38" s="567" t="str">
        <f t="shared" si="75"/>
        <v/>
      </c>
      <c r="DW38" s="567" t="str">
        <f t="shared" si="76"/>
        <v/>
      </c>
      <c r="DX38" s="567" t="str">
        <f t="shared" si="77"/>
        <v/>
      </c>
      <c r="DY38" s="567" t="str">
        <f t="shared" si="78"/>
        <v/>
      </c>
      <c r="DZ38" s="567" t="str">
        <f t="shared" si="79"/>
        <v/>
      </c>
      <c r="EA38" s="567" t="str">
        <f t="shared" si="80"/>
        <v/>
      </c>
      <c r="EB38" s="567" t="str">
        <f t="shared" si="81"/>
        <v/>
      </c>
      <c r="EC38" s="567" t="str">
        <f t="shared" si="82"/>
        <v/>
      </c>
      <c r="ED38" s="567" t="str">
        <f t="shared" si="83"/>
        <v/>
      </c>
      <c r="EE38" s="567" t="str">
        <f t="shared" si="84"/>
        <v/>
      </c>
      <c r="EF38" s="567" t="str">
        <f t="shared" si="85"/>
        <v/>
      </c>
      <c r="EG38" s="567" t="str">
        <f t="shared" si="86"/>
        <v/>
      </c>
      <c r="EH38" s="567" t="str">
        <f t="shared" si="87"/>
        <v/>
      </c>
      <c r="EI38" s="567" t="str">
        <f t="shared" si="88"/>
        <v/>
      </c>
      <c r="EJ38" s="567" t="str">
        <f t="shared" si="89"/>
        <v/>
      </c>
      <c r="EK38" s="567" t="str">
        <f t="shared" si="90"/>
        <v/>
      </c>
      <c r="EL38" s="567" t="str">
        <f t="shared" si="91"/>
        <v/>
      </c>
      <c r="EM38" s="567" t="str">
        <f t="shared" si="92"/>
        <v/>
      </c>
      <c r="EN38" s="567" t="str">
        <f t="shared" si="93"/>
        <v/>
      </c>
      <c r="EO38" s="567" t="str">
        <f t="shared" si="94"/>
        <v/>
      </c>
      <c r="EP38" s="567" t="str">
        <f t="shared" si="95"/>
        <v/>
      </c>
      <c r="EQ38" s="567" t="str">
        <f t="shared" si="96"/>
        <v/>
      </c>
      <c r="ER38" s="567" t="str">
        <f t="shared" si="97"/>
        <v/>
      </c>
      <c r="ES38" s="567" t="str">
        <f t="shared" si="98"/>
        <v/>
      </c>
      <c r="ET38" s="567" t="str">
        <f t="shared" si="99"/>
        <v/>
      </c>
      <c r="EU38" s="567" t="str">
        <f t="shared" si="100"/>
        <v/>
      </c>
      <c r="EV38" s="577" t="str">
        <f t="shared" si="101"/>
        <v/>
      </c>
      <c r="EW38" s="577" t="str">
        <f t="shared" si="102"/>
        <v/>
      </c>
      <c r="EX38" s="577" t="str">
        <f t="shared" si="103"/>
        <v/>
      </c>
      <c r="EY38" s="577" t="str">
        <f t="shared" si="104"/>
        <v/>
      </c>
      <c r="EZ38" s="577" t="str">
        <f t="shared" si="105"/>
        <v/>
      </c>
      <c r="FA38" s="577" t="str">
        <f t="shared" si="106"/>
        <v/>
      </c>
      <c r="FB38" s="577" t="str">
        <f t="shared" si="107"/>
        <v/>
      </c>
      <c r="FC38" s="577" t="str">
        <f t="shared" si="108"/>
        <v/>
      </c>
      <c r="FD38" s="577" t="str">
        <f t="shared" si="109"/>
        <v/>
      </c>
      <c r="FE38" s="577" t="str">
        <f t="shared" si="110"/>
        <v/>
      </c>
      <c r="FF38" s="577" t="str">
        <f t="shared" si="111"/>
        <v/>
      </c>
      <c r="FG38" s="577" t="str">
        <f t="shared" si="112"/>
        <v/>
      </c>
      <c r="FH38" s="577" t="str">
        <f t="shared" si="113"/>
        <v/>
      </c>
      <c r="FI38" s="577" t="str">
        <f t="shared" si="114"/>
        <v/>
      </c>
      <c r="FJ38" s="577" t="str">
        <f t="shared" si="115"/>
        <v/>
      </c>
      <c r="FK38" s="577" t="str">
        <f t="shared" si="116"/>
        <v/>
      </c>
      <c r="FL38" s="577" t="str">
        <f t="shared" si="117"/>
        <v/>
      </c>
      <c r="FM38" s="577" t="str">
        <f t="shared" si="118"/>
        <v/>
      </c>
      <c r="FN38" s="577" t="str">
        <f t="shared" si="119"/>
        <v/>
      </c>
      <c r="FO38" s="577" t="str">
        <f t="shared" si="120"/>
        <v/>
      </c>
      <c r="FP38" s="577" t="str">
        <f t="shared" si="121"/>
        <v/>
      </c>
      <c r="FQ38" s="577" t="str">
        <f t="shared" si="122"/>
        <v/>
      </c>
      <c r="FR38" s="577" t="str">
        <f t="shared" si="123"/>
        <v/>
      </c>
      <c r="FS38" s="577" t="str">
        <f t="shared" si="124"/>
        <v/>
      </c>
      <c r="FT38" s="577" t="str">
        <f t="shared" si="125"/>
        <v/>
      </c>
      <c r="FU38" s="577" t="str">
        <f t="shared" si="126"/>
        <v/>
      </c>
      <c r="FV38" s="577" t="str">
        <f t="shared" si="127"/>
        <v/>
      </c>
      <c r="FW38" s="577" t="str">
        <f t="shared" si="128"/>
        <v/>
      </c>
      <c r="FX38" s="577" t="str">
        <f t="shared" si="129"/>
        <v/>
      </c>
      <c r="FY38" s="577" t="str">
        <f t="shared" si="130"/>
        <v/>
      </c>
      <c r="FZ38" s="577" t="str">
        <f t="shared" si="131"/>
        <v/>
      </c>
      <c r="GA38" s="577" t="str">
        <f t="shared" si="132"/>
        <v/>
      </c>
      <c r="GB38" s="577" t="str">
        <f t="shared" si="133"/>
        <v/>
      </c>
      <c r="GC38" s="577" t="str">
        <f t="shared" si="134"/>
        <v/>
      </c>
      <c r="GD38" s="577" t="str">
        <f t="shared" si="135"/>
        <v/>
      </c>
      <c r="GE38" s="577" t="str">
        <f t="shared" si="136"/>
        <v/>
      </c>
      <c r="GF38" s="577" t="str">
        <f t="shared" si="137"/>
        <v/>
      </c>
      <c r="GG38" s="577" t="str">
        <f t="shared" si="138"/>
        <v/>
      </c>
      <c r="GH38" s="577" t="str">
        <f t="shared" si="139"/>
        <v/>
      </c>
      <c r="GI38" s="577" t="str">
        <f t="shared" si="140"/>
        <v/>
      </c>
      <c r="GJ38" s="577" t="str">
        <f t="shared" si="141"/>
        <v/>
      </c>
      <c r="GK38" s="577" t="str">
        <f t="shared" si="142"/>
        <v/>
      </c>
      <c r="GL38" s="577" t="str">
        <f t="shared" si="143"/>
        <v/>
      </c>
      <c r="GM38" s="577" t="str">
        <f t="shared" si="144"/>
        <v/>
      </c>
      <c r="GN38" s="577" t="str">
        <f t="shared" si="145"/>
        <v/>
      </c>
      <c r="GO38" s="578" t="str">
        <f t="shared" si="146"/>
        <v/>
      </c>
      <c r="GP38" s="578" t="str">
        <f t="shared" si="147"/>
        <v/>
      </c>
      <c r="GQ38" s="578" t="str">
        <f t="shared" si="148"/>
        <v/>
      </c>
      <c r="GR38" s="578" t="str">
        <f t="shared" si="149"/>
        <v/>
      </c>
      <c r="GS38" s="578" t="str">
        <f t="shared" si="150"/>
        <v/>
      </c>
      <c r="GT38" s="567" t="str">
        <f t="shared" si="151"/>
        <v/>
      </c>
      <c r="GU38" s="567" t="str">
        <f t="shared" si="152"/>
        <v/>
      </c>
      <c r="GV38" s="567" t="str">
        <f t="shared" si="153"/>
        <v/>
      </c>
      <c r="GW38" s="567" t="str">
        <f t="shared" si="154"/>
        <v/>
      </c>
      <c r="GX38" s="567" t="str">
        <f t="shared" si="155"/>
        <v/>
      </c>
      <c r="GY38" s="567" t="str">
        <f t="shared" si="156"/>
        <v/>
      </c>
      <c r="GZ38" s="567" t="str">
        <f t="shared" si="157"/>
        <v/>
      </c>
      <c r="HA38" s="567" t="str">
        <f t="shared" si="158"/>
        <v/>
      </c>
      <c r="HB38" s="567" t="str">
        <f t="shared" si="159"/>
        <v/>
      </c>
      <c r="HC38" s="567" t="str">
        <f t="shared" si="160"/>
        <v/>
      </c>
      <c r="HD38" s="567" t="str">
        <f t="shared" si="161"/>
        <v/>
      </c>
      <c r="HE38" s="567" t="str">
        <f t="shared" si="162"/>
        <v/>
      </c>
      <c r="HF38" s="567" t="str">
        <f t="shared" si="163"/>
        <v/>
      </c>
      <c r="HG38" s="567" t="str">
        <f t="shared" si="164"/>
        <v/>
      </c>
      <c r="HH38" s="567" t="str">
        <f t="shared" si="165"/>
        <v/>
      </c>
      <c r="HI38" s="567" t="str">
        <f t="shared" si="166"/>
        <v/>
      </c>
      <c r="HJ38" s="567" t="str">
        <f t="shared" si="167"/>
        <v/>
      </c>
      <c r="HK38" s="567" t="str">
        <f t="shared" si="168"/>
        <v/>
      </c>
      <c r="HL38" s="567" t="str">
        <f t="shared" si="169"/>
        <v/>
      </c>
      <c r="HM38" s="567" t="str">
        <f t="shared" si="170"/>
        <v/>
      </c>
    </row>
    <row r="39" spans="1:221" ht="13.15" customHeight="1">
      <c r="A39" s="126" t="str">
        <f t="shared" si="171"/>
        <v/>
      </c>
      <c r="B39" s="1203" t="s">
        <v>1886</v>
      </c>
      <c r="C39" s="1204"/>
      <c r="D39" s="1205"/>
      <c r="E39" s="1206"/>
      <c r="F39" s="1206"/>
      <c r="G39" s="1206"/>
      <c r="H39" s="1206"/>
      <c r="I39" s="1206"/>
      <c r="J39" s="1207"/>
      <c r="K39" s="198">
        <f t="shared" ref="K39:K46" si="205">MAX(0,H39-I39)</f>
        <v>0</v>
      </c>
      <c r="L39" s="198">
        <f t="shared" si="0"/>
        <v>0</v>
      </c>
      <c r="M39" s="1099"/>
      <c r="N39" s="1099"/>
      <c r="O39" s="1099"/>
      <c r="P39" s="518" t="str">
        <f t="shared" si="203"/>
        <v/>
      </c>
      <c r="Q39" s="519" t="str">
        <f>IF(H39="","",P39/($P$6*VLOOKUP(C39,'DCA Underwriting Assumptions'!$J$82:$K$87,2,FALSE)))</f>
        <v/>
      </c>
      <c r="R39" s="607"/>
      <c r="S39" s="519"/>
      <c r="T39" s="1643"/>
      <c r="U39" s="1644"/>
      <c r="V39" s="567" t="str">
        <f t="shared" si="1"/>
        <v/>
      </c>
      <c r="W39" s="567" t="str">
        <f t="shared" si="2"/>
        <v/>
      </c>
      <c r="X39" s="567" t="str">
        <f t="shared" si="3"/>
        <v/>
      </c>
      <c r="Y39" s="567" t="str">
        <f t="shared" si="4"/>
        <v/>
      </c>
      <c r="Z39" s="567" t="str">
        <f t="shared" si="5"/>
        <v/>
      </c>
      <c r="AA39" s="567" t="str">
        <f t="shared" si="6"/>
        <v/>
      </c>
      <c r="AB39" s="567" t="str">
        <f t="shared" si="7"/>
        <v/>
      </c>
      <c r="AC39" s="567" t="str">
        <f t="shared" si="8"/>
        <v/>
      </c>
      <c r="AD39" s="567" t="str">
        <f t="shared" si="9"/>
        <v/>
      </c>
      <c r="AE39" s="567" t="str">
        <f t="shared" si="10"/>
        <v/>
      </c>
      <c r="AF39" s="567" t="str">
        <f t="shared" si="11"/>
        <v/>
      </c>
      <c r="AG39" s="567" t="str">
        <f t="shared" si="12"/>
        <v/>
      </c>
      <c r="AH39" s="567" t="str">
        <f t="shared" si="13"/>
        <v/>
      </c>
      <c r="AI39" s="567" t="str">
        <f t="shared" si="14"/>
        <v/>
      </c>
      <c r="AJ39" s="567" t="str">
        <f t="shared" si="15"/>
        <v/>
      </c>
      <c r="AK39" s="567" t="str">
        <f t="shared" si="16"/>
        <v/>
      </c>
      <c r="AL39" s="567" t="str">
        <f t="shared" si="17"/>
        <v/>
      </c>
      <c r="AM39" s="567" t="str">
        <f t="shared" si="18"/>
        <v/>
      </c>
      <c r="AN39" s="567" t="str">
        <f t="shared" si="19"/>
        <v/>
      </c>
      <c r="AO39" s="567" t="str">
        <f t="shared" si="20"/>
        <v/>
      </c>
      <c r="AP39" s="567" t="str">
        <f t="shared" si="173"/>
        <v/>
      </c>
      <c r="AQ39" s="567" t="str">
        <f t="shared" si="174"/>
        <v/>
      </c>
      <c r="AR39" s="567" t="str">
        <f t="shared" si="175"/>
        <v/>
      </c>
      <c r="AS39" s="567" t="str">
        <f t="shared" si="176"/>
        <v/>
      </c>
      <c r="AT39" s="567" t="str">
        <f t="shared" si="177"/>
        <v/>
      </c>
      <c r="AU39" s="567" t="str">
        <f t="shared" si="178"/>
        <v/>
      </c>
      <c r="AV39" s="567" t="str">
        <f t="shared" si="179"/>
        <v/>
      </c>
      <c r="AW39" s="567" t="str">
        <f t="shared" si="180"/>
        <v/>
      </c>
      <c r="AX39" s="567" t="str">
        <f t="shared" si="181"/>
        <v/>
      </c>
      <c r="AY39" s="567" t="str">
        <f t="shared" si="182"/>
        <v/>
      </c>
      <c r="AZ39" s="567" t="str">
        <f t="shared" si="183"/>
        <v/>
      </c>
      <c r="BA39" s="567" t="str">
        <f t="shared" si="184"/>
        <v/>
      </c>
      <c r="BB39" s="567" t="str">
        <f t="shared" si="185"/>
        <v/>
      </c>
      <c r="BC39" s="567" t="str">
        <f t="shared" si="186"/>
        <v/>
      </c>
      <c r="BD39" s="567" t="str">
        <f t="shared" si="187"/>
        <v/>
      </c>
      <c r="BE39" s="567" t="str">
        <f t="shared" si="188"/>
        <v/>
      </c>
      <c r="BF39" s="567" t="str">
        <f t="shared" si="189"/>
        <v/>
      </c>
      <c r="BG39" s="567" t="str">
        <f t="shared" si="190"/>
        <v/>
      </c>
      <c r="BH39" s="567" t="str">
        <f t="shared" si="191"/>
        <v/>
      </c>
      <c r="BI39" s="567" t="str">
        <f t="shared" si="192"/>
        <v/>
      </c>
      <c r="BJ39" s="567" t="str">
        <f t="shared" si="193"/>
        <v/>
      </c>
      <c r="BK39" s="567" t="str">
        <f t="shared" si="194"/>
        <v/>
      </c>
      <c r="BL39" s="567" t="str">
        <f t="shared" si="195"/>
        <v/>
      </c>
      <c r="BM39" s="567" t="str">
        <f t="shared" si="196"/>
        <v/>
      </c>
      <c r="BN39" s="567" t="str">
        <f t="shared" si="197"/>
        <v/>
      </c>
      <c r="BO39" s="567" t="str">
        <f t="shared" si="198"/>
        <v/>
      </c>
      <c r="BP39" s="567" t="str">
        <f t="shared" si="199"/>
        <v/>
      </c>
      <c r="BQ39" s="567" t="str">
        <f t="shared" si="200"/>
        <v/>
      </c>
      <c r="BR39" s="567" t="str">
        <f t="shared" si="201"/>
        <v/>
      </c>
      <c r="BS39" s="567" t="str">
        <f t="shared" si="202"/>
        <v/>
      </c>
      <c r="BT39" s="567" t="str">
        <f t="shared" si="21"/>
        <v/>
      </c>
      <c r="BU39" s="567" t="str">
        <f t="shared" si="22"/>
        <v/>
      </c>
      <c r="BV39" s="567" t="str">
        <f t="shared" si="23"/>
        <v/>
      </c>
      <c r="BW39" s="567" t="str">
        <f t="shared" si="24"/>
        <v/>
      </c>
      <c r="BX39" s="567" t="str">
        <f t="shared" si="25"/>
        <v/>
      </c>
      <c r="BY39" s="567" t="str">
        <f t="shared" si="26"/>
        <v/>
      </c>
      <c r="BZ39" s="567" t="str">
        <f t="shared" si="27"/>
        <v/>
      </c>
      <c r="CA39" s="567" t="str">
        <f t="shared" si="28"/>
        <v/>
      </c>
      <c r="CB39" s="567" t="str">
        <f t="shared" si="29"/>
        <v/>
      </c>
      <c r="CC39" s="567" t="str">
        <f t="shared" si="30"/>
        <v/>
      </c>
      <c r="CD39" s="567" t="str">
        <f t="shared" si="31"/>
        <v/>
      </c>
      <c r="CE39" s="567" t="str">
        <f t="shared" si="32"/>
        <v/>
      </c>
      <c r="CF39" s="567" t="str">
        <f t="shared" si="33"/>
        <v/>
      </c>
      <c r="CG39" s="567" t="str">
        <f t="shared" si="34"/>
        <v/>
      </c>
      <c r="CH39" s="567" t="str">
        <f t="shared" si="35"/>
        <v/>
      </c>
      <c r="CI39" s="567" t="str">
        <f t="shared" si="36"/>
        <v/>
      </c>
      <c r="CJ39" s="567" t="str">
        <f t="shared" si="37"/>
        <v/>
      </c>
      <c r="CK39" s="567" t="str">
        <f t="shared" si="38"/>
        <v/>
      </c>
      <c r="CL39" s="567" t="str">
        <f t="shared" si="39"/>
        <v/>
      </c>
      <c r="CM39" s="567" t="str">
        <f t="shared" si="40"/>
        <v/>
      </c>
      <c r="CN39" s="567" t="str">
        <f t="shared" si="41"/>
        <v/>
      </c>
      <c r="CO39" s="567" t="str">
        <f t="shared" si="42"/>
        <v/>
      </c>
      <c r="CP39" s="567" t="str">
        <f t="shared" si="43"/>
        <v/>
      </c>
      <c r="CQ39" s="567" t="str">
        <f t="shared" si="44"/>
        <v/>
      </c>
      <c r="CR39" s="567" t="str">
        <f t="shared" si="45"/>
        <v/>
      </c>
      <c r="CS39" s="567" t="str">
        <f t="shared" si="46"/>
        <v/>
      </c>
      <c r="CT39" s="567" t="str">
        <f t="shared" si="47"/>
        <v/>
      </c>
      <c r="CU39" s="567" t="str">
        <f t="shared" si="48"/>
        <v/>
      </c>
      <c r="CV39" s="567" t="str">
        <f t="shared" si="49"/>
        <v/>
      </c>
      <c r="CW39" s="567" t="str">
        <f t="shared" si="50"/>
        <v/>
      </c>
      <c r="CX39" s="567" t="str">
        <f t="shared" si="51"/>
        <v/>
      </c>
      <c r="CY39" s="567" t="str">
        <f t="shared" si="52"/>
        <v/>
      </c>
      <c r="CZ39" s="567" t="str">
        <f t="shared" si="53"/>
        <v/>
      </c>
      <c r="DA39" s="567" t="str">
        <f t="shared" si="54"/>
        <v/>
      </c>
      <c r="DB39" s="567" t="str">
        <f t="shared" si="55"/>
        <v/>
      </c>
      <c r="DC39" s="567" t="str">
        <f t="shared" si="56"/>
        <v/>
      </c>
      <c r="DD39" s="567" t="str">
        <f t="shared" si="57"/>
        <v/>
      </c>
      <c r="DE39" s="567" t="str">
        <f t="shared" si="58"/>
        <v/>
      </c>
      <c r="DF39" s="567" t="str">
        <f t="shared" si="59"/>
        <v/>
      </c>
      <c r="DG39" s="567" t="str">
        <f t="shared" si="60"/>
        <v/>
      </c>
      <c r="DH39" s="567" t="str">
        <f t="shared" si="61"/>
        <v/>
      </c>
      <c r="DI39" s="567" t="str">
        <f t="shared" si="62"/>
        <v/>
      </c>
      <c r="DJ39" s="567" t="str">
        <f t="shared" si="63"/>
        <v/>
      </c>
      <c r="DK39" s="567" t="str">
        <f t="shared" si="64"/>
        <v/>
      </c>
      <c r="DL39" s="567" t="str">
        <f t="shared" si="65"/>
        <v/>
      </c>
      <c r="DM39" s="567" t="str">
        <f t="shared" si="66"/>
        <v/>
      </c>
      <c r="DN39" s="567" t="str">
        <f t="shared" si="67"/>
        <v/>
      </c>
      <c r="DO39" s="567" t="str">
        <f t="shared" si="68"/>
        <v/>
      </c>
      <c r="DP39" s="567" t="str">
        <f t="shared" si="69"/>
        <v/>
      </c>
      <c r="DQ39" s="567" t="str">
        <f t="shared" si="70"/>
        <v/>
      </c>
      <c r="DR39" s="567" t="str">
        <f t="shared" si="71"/>
        <v/>
      </c>
      <c r="DS39" s="567" t="str">
        <f t="shared" si="72"/>
        <v/>
      </c>
      <c r="DT39" s="567" t="str">
        <f t="shared" si="73"/>
        <v/>
      </c>
      <c r="DU39" s="567" t="str">
        <f t="shared" si="74"/>
        <v/>
      </c>
      <c r="DV39" s="567" t="str">
        <f t="shared" si="75"/>
        <v/>
      </c>
      <c r="DW39" s="567" t="str">
        <f t="shared" si="76"/>
        <v/>
      </c>
      <c r="DX39" s="567" t="str">
        <f t="shared" si="77"/>
        <v/>
      </c>
      <c r="DY39" s="567" t="str">
        <f t="shared" si="78"/>
        <v/>
      </c>
      <c r="DZ39" s="567" t="str">
        <f t="shared" si="79"/>
        <v/>
      </c>
      <c r="EA39" s="567" t="str">
        <f t="shared" si="80"/>
        <v/>
      </c>
      <c r="EB39" s="567" t="str">
        <f t="shared" si="81"/>
        <v/>
      </c>
      <c r="EC39" s="567" t="str">
        <f t="shared" si="82"/>
        <v/>
      </c>
      <c r="ED39" s="567" t="str">
        <f t="shared" si="83"/>
        <v/>
      </c>
      <c r="EE39" s="567" t="str">
        <f t="shared" si="84"/>
        <v/>
      </c>
      <c r="EF39" s="567" t="str">
        <f t="shared" si="85"/>
        <v/>
      </c>
      <c r="EG39" s="567" t="str">
        <f t="shared" si="86"/>
        <v/>
      </c>
      <c r="EH39" s="567" t="str">
        <f t="shared" si="87"/>
        <v/>
      </c>
      <c r="EI39" s="567" t="str">
        <f t="shared" si="88"/>
        <v/>
      </c>
      <c r="EJ39" s="567" t="str">
        <f t="shared" si="89"/>
        <v/>
      </c>
      <c r="EK39" s="567" t="str">
        <f t="shared" si="90"/>
        <v/>
      </c>
      <c r="EL39" s="567" t="str">
        <f t="shared" si="91"/>
        <v/>
      </c>
      <c r="EM39" s="567" t="str">
        <f t="shared" si="92"/>
        <v/>
      </c>
      <c r="EN39" s="567" t="str">
        <f t="shared" si="93"/>
        <v/>
      </c>
      <c r="EO39" s="567" t="str">
        <f t="shared" si="94"/>
        <v/>
      </c>
      <c r="EP39" s="567" t="str">
        <f t="shared" si="95"/>
        <v/>
      </c>
      <c r="EQ39" s="567" t="str">
        <f t="shared" si="96"/>
        <v/>
      </c>
      <c r="ER39" s="567" t="str">
        <f t="shared" si="97"/>
        <v/>
      </c>
      <c r="ES39" s="567" t="str">
        <f t="shared" si="98"/>
        <v/>
      </c>
      <c r="ET39" s="567" t="str">
        <f t="shared" si="99"/>
        <v/>
      </c>
      <c r="EU39" s="567" t="str">
        <f t="shared" si="100"/>
        <v/>
      </c>
      <c r="EV39" s="577" t="str">
        <f t="shared" si="101"/>
        <v/>
      </c>
      <c r="EW39" s="577" t="str">
        <f t="shared" si="102"/>
        <v/>
      </c>
      <c r="EX39" s="577" t="str">
        <f t="shared" si="103"/>
        <v/>
      </c>
      <c r="EY39" s="577" t="str">
        <f t="shared" si="104"/>
        <v/>
      </c>
      <c r="EZ39" s="577" t="str">
        <f t="shared" si="105"/>
        <v/>
      </c>
      <c r="FA39" s="577" t="str">
        <f t="shared" si="106"/>
        <v/>
      </c>
      <c r="FB39" s="577" t="str">
        <f t="shared" si="107"/>
        <v/>
      </c>
      <c r="FC39" s="577" t="str">
        <f t="shared" si="108"/>
        <v/>
      </c>
      <c r="FD39" s="577" t="str">
        <f t="shared" si="109"/>
        <v/>
      </c>
      <c r="FE39" s="577" t="str">
        <f t="shared" si="110"/>
        <v/>
      </c>
      <c r="FF39" s="577" t="str">
        <f t="shared" si="111"/>
        <v/>
      </c>
      <c r="FG39" s="577" t="str">
        <f t="shared" si="112"/>
        <v/>
      </c>
      <c r="FH39" s="577" t="str">
        <f t="shared" si="113"/>
        <v/>
      </c>
      <c r="FI39" s="577" t="str">
        <f t="shared" si="114"/>
        <v/>
      </c>
      <c r="FJ39" s="577" t="str">
        <f t="shared" si="115"/>
        <v/>
      </c>
      <c r="FK39" s="577" t="str">
        <f t="shared" si="116"/>
        <v/>
      </c>
      <c r="FL39" s="577" t="str">
        <f t="shared" si="117"/>
        <v/>
      </c>
      <c r="FM39" s="577" t="str">
        <f t="shared" si="118"/>
        <v/>
      </c>
      <c r="FN39" s="577" t="str">
        <f t="shared" si="119"/>
        <v/>
      </c>
      <c r="FO39" s="577" t="str">
        <f t="shared" si="120"/>
        <v/>
      </c>
      <c r="FP39" s="577" t="str">
        <f t="shared" si="121"/>
        <v/>
      </c>
      <c r="FQ39" s="577" t="str">
        <f t="shared" si="122"/>
        <v/>
      </c>
      <c r="FR39" s="577" t="str">
        <f t="shared" si="123"/>
        <v/>
      </c>
      <c r="FS39" s="577" t="str">
        <f t="shared" si="124"/>
        <v/>
      </c>
      <c r="FT39" s="577" t="str">
        <f t="shared" si="125"/>
        <v/>
      </c>
      <c r="FU39" s="577" t="str">
        <f t="shared" si="126"/>
        <v/>
      </c>
      <c r="FV39" s="577" t="str">
        <f t="shared" si="127"/>
        <v/>
      </c>
      <c r="FW39" s="577" t="str">
        <f t="shared" si="128"/>
        <v/>
      </c>
      <c r="FX39" s="577" t="str">
        <f t="shared" si="129"/>
        <v/>
      </c>
      <c r="FY39" s="577" t="str">
        <f t="shared" si="130"/>
        <v/>
      </c>
      <c r="FZ39" s="577" t="str">
        <f t="shared" si="131"/>
        <v/>
      </c>
      <c r="GA39" s="577" t="str">
        <f t="shared" si="132"/>
        <v/>
      </c>
      <c r="GB39" s="577" t="str">
        <f t="shared" si="133"/>
        <v/>
      </c>
      <c r="GC39" s="577" t="str">
        <f t="shared" si="134"/>
        <v/>
      </c>
      <c r="GD39" s="577" t="str">
        <f t="shared" si="135"/>
        <v/>
      </c>
      <c r="GE39" s="577" t="str">
        <f t="shared" si="136"/>
        <v/>
      </c>
      <c r="GF39" s="577" t="str">
        <f t="shared" si="137"/>
        <v/>
      </c>
      <c r="GG39" s="577" t="str">
        <f t="shared" si="138"/>
        <v/>
      </c>
      <c r="GH39" s="577" t="str">
        <f t="shared" si="139"/>
        <v/>
      </c>
      <c r="GI39" s="577" t="str">
        <f t="shared" si="140"/>
        <v/>
      </c>
      <c r="GJ39" s="577" t="str">
        <f t="shared" si="141"/>
        <v/>
      </c>
      <c r="GK39" s="577" t="str">
        <f t="shared" si="142"/>
        <v/>
      </c>
      <c r="GL39" s="577" t="str">
        <f t="shared" si="143"/>
        <v/>
      </c>
      <c r="GM39" s="577" t="str">
        <f t="shared" si="144"/>
        <v/>
      </c>
      <c r="GN39" s="577" t="str">
        <f t="shared" si="145"/>
        <v/>
      </c>
      <c r="GO39" s="578" t="str">
        <f t="shared" si="146"/>
        <v/>
      </c>
      <c r="GP39" s="578" t="str">
        <f t="shared" si="147"/>
        <v/>
      </c>
      <c r="GQ39" s="578" t="str">
        <f t="shared" si="148"/>
        <v/>
      </c>
      <c r="GR39" s="578" t="str">
        <f t="shared" si="149"/>
        <v/>
      </c>
      <c r="GS39" s="578" t="str">
        <f t="shared" si="150"/>
        <v/>
      </c>
      <c r="GT39" s="567" t="str">
        <f t="shared" si="151"/>
        <v/>
      </c>
      <c r="GU39" s="567" t="str">
        <f t="shared" si="152"/>
        <v/>
      </c>
      <c r="GV39" s="567" t="str">
        <f t="shared" si="153"/>
        <v/>
      </c>
      <c r="GW39" s="567" t="str">
        <f t="shared" si="154"/>
        <v/>
      </c>
      <c r="GX39" s="567" t="str">
        <f t="shared" si="155"/>
        <v/>
      </c>
      <c r="GY39" s="567" t="str">
        <f t="shared" si="156"/>
        <v/>
      </c>
      <c r="GZ39" s="567" t="str">
        <f t="shared" si="157"/>
        <v/>
      </c>
      <c r="HA39" s="567" t="str">
        <f t="shared" si="158"/>
        <v/>
      </c>
      <c r="HB39" s="567" t="str">
        <f t="shared" si="159"/>
        <v/>
      </c>
      <c r="HC39" s="567" t="str">
        <f t="shared" si="160"/>
        <v/>
      </c>
      <c r="HD39" s="567" t="str">
        <f t="shared" si="161"/>
        <v/>
      </c>
      <c r="HE39" s="567" t="str">
        <f t="shared" si="162"/>
        <v/>
      </c>
      <c r="HF39" s="567" t="str">
        <f t="shared" si="163"/>
        <v/>
      </c>
      <c r="HG39" s="567" t="str">
        <f t="shared" si="164"/>
        <v/>
      </c>
      <c r="HH39" s="567" t="str">
        <f t="shared" si="165"/>
        <v/>
      </c>
      <c r="HI39" s="567" t="str">
        <f t="shared" si="166"/>
        <v/>
      </c>
      <c r="HJ39" s="567" t="str">
        <f t="shared" si="167"/>
        <v/>
      </c>
      <c r="HK39" s="567" t="str">
        <f t="shared" si="168"/>
        <v/>
      </c>
      <c r="HL39" s="567" t="str">
        <f t="shared" si="169"/>
        <v/>
      </c>
      <c r="HM39" s="567" t="str">
        <f t="shared" si="170"/>
        <v/>
      </c>
    </row>
    <row r="40" spans="1:221" ht="13.15" customHeight="1">
      <c r="A40" s="126" t="str">
        <f t="shared" si="171"/>
        <v/>
      </c>
      <c r="B40" s="1203" t="s">
        <v>1886</v>
      </c>
      <c r="C40" s="1204"/>
      <c r="D40" s="1205"/>
      <c r="E40" s="1206"/>
      <c r="F40" s="1206"/>
      <c r="G40" s="1206"/>
      <c r="H40" s="1206"/>
      <c r="I40" s="1206"/>
      <c r="J40" s="1207"/>
      <c r="K40" s="198">
        <f t="shared" si="205"/>
        <v>0</v>
      </c>
      <c r="L40" s="198">
        <f t="shared" si="0"/>
        <v>0</v>
      </c>
      <c r="M40" s="1099"/>
      <c r="N40" s="1099"/>
      <c r="O40" s="1099"/>
      <c r="P40" s="518" t="str">
        <f t="shared" si="203"/>
        <v/>
      </c>
      <c r="Q40" s="519" t="str">
        <f>IF(H40="","",P40/($P$6*VLOOKUP(C40,'DCA Underwriting Assumptions'!$J$82:$K$87,2,FALSE)))</f>
        <v/>
      </c>
      <c r="R40" s="607"/>
      <c r="S40" s="519"/>
      <c r="T40" s="1643"/>
      <c r="U40" s="1644"/>
      <c r="V40" s="567" t="str">
        <f t="shared" si="1"/>
        <v/>
      </c>
      <c r="W40" s="567" t="str">
        <f t="shared" si="2"/>
        <v/>
      </c>
      <c r="X40" s="567" t="str">
        <f t="shared" si="3"/>
        <v/>
      </c>
      <c r="Y40" s="567" t="str">
        <f t="shared" si="4"/>
        <v/>
      </c>
      <c r="Z40" s="567" t="str">
        <f t="shared" si="5"/>
        <v/>
      </c>
      <c r="AA40" s="567" t="str">
        <f t="shared" si="6"/>
        <v/>
      </c>
      <c r="AB40" s="567" t="str">
        <f t="shared" si="7"/>
        <v/>
      </c>
      <c r="AC40" s="567" t="str">
        <f t="shared" si="8"/>
        <v/>
      </c>
      <c r="AD40" s="567" t="str">
        <f t="shared" si="9"/>
        <v/>
      </c>
      <c r="AE40" s="567" t="str">
        <f t="shared" si="10"/>
        <v/>
      </c>
      <c r="AF40" s="567" t="str">
        <f t="shared" si="11"/>
        <v/>
      </c>
      <c r="AG40" s="567" t="str">
        <f t="shared" si="12"/>
        <v/>
      </c>
      <c r="AH40" s="567" t="str">
        <f t="shared" si="13"/>
        <v/>
      </c>
      <c r="AI40" s="567" t="str">
        <f t="shared" si="14"/>
        <v/>
      </c>
      <c r="AJ40" s="567" t="str">
        <f t="shared" si="15"/>
        <v/>
      </c>
      <c r="AK40" s="567" t="str">
        <f t="shared" si="16"/>
        <v/>
      </c>
      <c r="AL40" s="567" t="str">
        <f t="shared" si="17"/>
        <v/>
      </c>
      <c r="AM40" s="567" t="str">
        <f t="shared" si="18"/>
        <v/>
      </c>
      <c r="AN40" s="567" t="str">
        <f t="shared" si="19"/>
        <v/>
      </c>
      <c r="AO40" s="567" t="str">
        <f t="shared" si="20"/>
        <v/>
      </c>
      <c r="AP40" s="567" t="str">
        <f t="shared" si="173"/>
        <v/>
      </c>
      <c r="AQ40" s="567" t="str">
        <f t="shared" si="174"/>
        <v/>
      </c>
      <c r="AR40" s="567" t="str">
        <f t="shared" si="175"/>
        <v/>
      </c>
      <c r="AS40" s="567" t="str">
        <f t="shared" si="176"/>
        <v/>
      </c>
      <c r="AT40" s="567" t="str">
        <f t="shared" si="177"/>
        <v/>
      </c>
      <c r="AU40" s="567" t="str">
        <f t="shared" si="178"/>
        <v/>
      </c>
      <c r="AV40" s="567" t="str">
        <f t="shared" si="179"/>
        <v/>
      </c>
      <c r="AW40" s="567" t="str">
        <f t="shared" si="180"/>
        <v/>
      </c>
      <c r="AX40" s="567" t="str">
        <f t="shared" si="181"/>
        <v/>
      </c>
      <c r="AY40" s="567" t="str">
        <f t="shared" si="182"/>
        <v/>
      </c>
      <c r="AZ40" s="567" t="str">
        <f t="shared" si="183"/>
        <v/>
      </c>
      <c r="BA40" s="567" t="str">
        <f t="shared" si="184"/>
        <v/>
      </c>
      <c r="BB40" s="567" t="str">
        <f t="shared" si="185"/>
        <v/>
      </c>
      <c r="BC40" s="567" t="str">
        <f t="shared" si="186"/>
        <v/>
      </c>
      <c r="BD40" s="567" t="str">
        <f t="shared" si="187"/>
        <v/>
      </c>
      <c r="BE40" s="567" t="str">
        <f t="shared" si="188"/>
        <v/>
      </c>
      <c r="BF40" s="567" t="str">
        <f t="shared" si="189"/>
        <v/>
      </c>
      <c r="BG40" s="567" t="str">
        <f t="shared" si="190"/>
        <v/>
      </c>
      <c r="BH40" s="567" t="str">
        <f t="shared" si="191"/>
        <v/>
      </c>
      <c r="BI40" s="567" t="str">
        <f t="shared" si="192"/>
        <v/>
      </c>
      <c r="BJ40" s="567" t="str">
        <f t="shared" si="193"/>
        <v/>
      </c>
      <c r="BK40" s="567" t="str">
        <f t="shared" si="194"/>
        <v/>
      </c>
      <c r="BL40" s="567" t="str">
        <f t="shared" si="195"/>
        <v/>
      </c>
      <c r="BM40" s="567" t="str">
        <f t="shared" si="196"/>
        <v/>
      </c>
      <c r="BN40" s="567" t="str">
        <f t="shared" si="197"/>
        <v/>
      </c>
      <c r="BO40" s="567" t="str">
        <f t="shared" si="198"/>
        <v/>
      </c>
      <c r="BP40" s="567" t="str">
        <f t="shared" si="199"/>
        <v/>
      </c>
      <c r="BQ40" s="567" t="str">
        <f t="shared" si="200"/>
        <v/>
      </c>
      <c r="BR40" s="567" t="str">
        <f t="shared" si="201"/>
        <v/>
      </c>
      <c r="BS40" s="567" t="str">
        <f t="shared" si="202"/>
        <v/>
      </c>
      <c r="BT40" s="567" t="str">
        <f t="shared" si="21"/>
        <v/>
      </c>
      <c r="BU40" s="567" t="str">
        <f t="shared" si="22"/>
        <v/>
      </c>
      <c r="BV40" s="567" t="str">
        <f t="shared" si="23"/>
        <v/>
      </c>
      <c r="BW40" s="567" t="str">
        <f t="shared" si="24"/>
        <v/>
      </c>
      <c r="BX40" s="567" t="str">
        <f t="shared" si="25"/>
        <v/>
      </c>
      <c r="BY40" s="567" t="str">
        <f t="shared" si="26"/>
        <v/>
      </c>
      <c r="BZ40" s="567" t="str">
        <f t="shared" si="27"/>
        <v/>
      </c>
      <c r="CA40" s="567" t="str">
        <f t="shared" si="28"/>
        <v/>
      </c>
      <c r="CB40" s="567" t="str">
        <f t="shared" si="29"/>
        <v/>
      </c>
      <c r="CC40" s="567" t="str">
        <f t="shared" si="30"/>
        <v/>
      </c>
      <c r="CD40" s="567" t="str">
        <f t="shared" si="31"/>
        <v/>
      </c>
      <c r="CE40" s="567" t="str">
        <f t="shared" si="32"/>
        <v/>
      </c>
      <c r="CF40" s="567" t="str">
        <f t="shared" si="33"/>
        <v/>
      </c>
      <c r="CG40" s="567" t="str">
        <f t="shared" si="34"/>
        <v/>
      </c>
      <c r="CH40" s="567" t="str">
        <f t="shared" si="35"/>
        <v/>
      </c>
      <c r="CI40" s="567" t="str">
        <f t="shared" si="36"/>
        <v/>
      </c>
      <c r="CJ40" s="567" t="str">
        <f t="shared" si="37"/>
        <v/>
      </c>
      <c r="CK40" s="567" t="str">
        <f t="shared" si="38"/>
        <v/>
      </c>
      <c r="CL40" s="567" t="str">
        <f t="shared" si="39"/>
        <v/>
      </c>
      <c r="CM40" s="567" t="str">
        <f t="shared" si="40"/>
        <v/>
      </c>
      <c r="CN40" s="567" t="str">
        <f t="shared" si="41"/>
        <v/>
      </c>
      <c r="CO40" s="567" t="str">
        <f t="shared" si="42"/>
        <v/>
      </c>
      <c r="CP40" s="567" t="str">
        <f t="shared" si="43"/>
        <v/>
      </c>
      <c r="CQ40" s="567" t="str">
        <f t="shared" si="44"/>
        <v/>
      </c>
      <c r="CR40" s="567" t="str">
        <f t="shared" si="45"/>
        <v/>
      </c>
      <c r="CS40" s="567" t="str">
        <f t="shared" si="46"/>
        <v/>
      </c>
      <c r="CT40" s="567" t="str">
        <f t="shared" si="47"/>
        <v/>
      </c>
      <c r="CU40" s="567" t="str">
        <f t="shared" si="48"/>
        <v/>
      </c>
      <c r="CV40" s="567" t="str">
        <f t="shared" si="49"/>
        <v/>
      </c>
      <c r="CW40" s="567" t="str">
        <f t="shared" si="50"/>
        <v/>
      </c>
      <c r="CX40" s="567" t="str">
        <f t="shared" si="51"/>
        <v/>
      </c>
      <c r="CY40" s="567" t="str">
        <f t="shared" si="52"/>
        <v/>
      </c>
      <c r="CZ40" s="567" t="str">
        <f t="shared" si="53"/>
        <v/>
      </c>
      <c r="DA40" s="567" t="str">
        <f t="shared" si="54"/>
        <v/>
      </c>
      <c r="DB40" s="567" t="str">
        <f t="shared" si="55"/>
        <v/>
      </c>
      <c r="DC40" s="567" t="str">
        <f t="shared" si="56"/>
        <v/>
      </c>
      <c r="DD40" s="567" t="str">
        <f t="shared" si="57"/>
        <v/>
      </c>
      <c r="DE40" s="567" t="str">
        <f t="shared" si="58"/>
        <v/>
      </c>
      <c r="DF40" s="567" t="str">
        <f t="shared" si="59"/>
        <v/>
      </c>
      <c r="DG40" s="567" t="str">
        <f t="shared" si="60"/>
        <v/>
      </c>
      <c r="DH40" s="567" t="str">
        <f t="shared" si="61"/>
        <v/>
      </c>
      <c r="DI40" s="567" t="str">
        <f t="shared" si="62"/>
        <v/>
      </c>
      <c r="DJ40" s="567" t="str">
        <f t="shared" si="63"/>
        <v/>
      </c>
      <c r="DK40" s="567" t="str">
        <f t="shared" si="64"/>
        <v/>
      </c>
      <c r="DL40" s="567" t="str">
        <f t="shared" si="65"/>
        <v/>
      </c>
      <c r="DM40" s="567" t="str">
        <f t="shared" si="66"/>
        <v/>
      </c>
      <c r="DN40" s="567" t="str">
        <f t="shared" si="67"/>
        <v/>
      </c>
      <c r="DO40" s="567" t="str">
        <f t="shared" si="68"/>
        <v/>
      </c>
      <c r="DP40" s="567" t="str">
        <f t="shared" si="69"/>
        <v/>
      </c>
      <c r="DQ40" s="567" t="str">
        <f t="shared" si="70"/>
        <v/>
      </c>
      <c r="DR40" s="567" t="str">
        <f t="shared" si="71"/>
        <v/>
      </c>
      <c r="DS40" s="567" t="str">
        <f t="shared" si="72"/>
        <v/>
      </c>
      <c r="DT40" s="567" t="str">
        <f t="shared" si="73"/>
        <v/>
      </c>
      <c r="DU40" s="567" t="str">
        <f t="shared" si="74"/>
        <v/>
      </c>
      <c r="DV40" s="567" t="str">
        <f t="shared" si="75"/>
        <v/>
      </c>
      <c r="DW40" s="567" t="str">
        <f t="shared" si="76"/>
        <v/>
      </c>
      <c r="DX40" s="567" t="str">
        <f t="shared" si="77"/>
        <v/>
      </c>
      <c r="DY40" s="567" t="str">
        <f t="shared" si="78"/>
        <v/>
      </c>
      <c r="DZ40" s="567" t="str">
        <f t="shared" si="79"/>
        <v/>
      </c>
      <c r="EA40" s="567" t="str">
        <f t="shared" si="80"/>
        <v/>
      </c>
      <c r="EB40" s="567" t="str">
        <f t="shared" si="81"/>
        <v/>
      </c>
      <c r="EC40" s="567" t="str">
        <f t="shared" si="82"/>
        <v/>
      </c>
      <c r="ED40" s="567" t="str">
        <f t="shared" si="83"/>
        <v/>
      </c>
      <c r="EE40" s="567" t="str">
        <f t="shared" si="84"/>
        <v/>
      </c>
      <c r="EF40" s="567" t="str">
        <f t="shared" si="85"/>
        <v/>
      </c>
      <c r="EG40" s="567" t="str">
        <f t="shared" si="86"/>
        <v/>
      </c>
      <c r="EH40" s="567" t="str">
        <f t="shared" si="87"/>
        <v/>
      </c>
      <c r="EI40" s="567" t="str">
        <f t="shared" si="88"/>
        <v/>
      </c>
      <c r="EJ40" s="567" t="str">
        <f t="shared" si="89"/>
        <v/>
      </c>
      <c r="EK40" s="567" t="str">
        <f t="shared" si="90"/>
        <v/>
      </c>
      <c r="EL40" s="567" t="str">
        <f t="shared" si="91"/>
        <v/>
      </c>
      <c r="EM40" s="567" t="str">
        <f t="shared" si="92"/>
        <v/>
      </c>
      <c r="EN40" s="567" t="str">
        <f t="shared" si="93"/>
        <v/>
      </c>
      <c r="EO40" s="567" t="str">
        <f t="shared" si="94"/>
        <v/>
      </c>
      <c r="EP40" s="567" t="str">
        <f t="shared" si="95"/>
        <v/>
      </c>
      <c r="EQ40" s="567" t="str">
        <f t="shared" si="96"/>
        <v/>
      </c>
      <c r="ER40" s="567" t="str">
        <f t="shared" si="97"/>
        <v/>
      </c>
      <c r="ES40" s="567" t="str">
        <f t="shared" si="98"/>
        <v/>
      </c>
      <c r="ET40" s="567" t="str">
        <f t="shared" si="99"/>
        <v/>
      </c>
      <c r="EU40" s="567" t="str">
        <f t="shared" si="100"/>
        <v/>
      </c>
      <c r="EV40" s="577" t="str">
        <f t="shared" si="101"/>
        <v/>
      </c>
      <c r="EW40" s="577" t="str">
        <f t="shared" si="102"/>
        <v/>
      </c>
      <c r="EX40" s="577" t="str">
        <f t="shared" si="103"/>
        <v/>
      </c>
      <c r="EY40" s="577" t="str">
        <f t="shared" si="104"/>
        <v/>
      </c>
      <c r="EZ40" s="577" t="str">
        <f t="shared" si="105"/>
        <v/>
      </c>
      <c r="FA40" s="577" t="str">
        <f t="shared" si="106"/>
        <v/>
      </c>
      <c r="FB40" s="577" t="str">
        <f t="shared" si="107"/>
        <v/>
      </c>
      <c r="FC40" s="577" t="str">
        <f t="shared" si="108"/>
        <v/>
      </c>
      <c r="FD40" s="577" t="str">
        <f t="shared" si="109"/>
        <v/>
      </c>
      <c r="FE40" s="577" t="str">
        <f t="shared" si="110"/>
        <v/>
      </c>
      <c r="FF40" s="577" t="str">
        <f t="shared" si="111"/>
        <v/>
      </c>
      <c r="FG40" s="577" t="str">
        <f t="shared" si="112"/>
        <v/>
      </c>
      <c r="FH40" s="577" t="str">
        <f t="shared" si="113"/>
        <v/>
      </c>
      <c r="FI40" s="577" t="str">
        <f t="shared" si="114"/>
        <v/>
      </c>
      <c r="FJ40" s="577" t="str">
        <f t="shared" si="115"/>
        <v/>
      </c>
      <c r="FK40" s="577" t="str">
        <f t="shared" si="116"/>
        <v/>
      </c>
      <c r="FL40" s="577" t="str">
        <f t="shared" si="117"/>
        <v/>
      </c>
      <c r="FM40" s="577" t="str">
        <f t="shared" si="118"/>
        <v/>
      </c>
      <c r="FN40" s="577" t="str">
        <f t="shared" si="119"/>
        <v/>
      </c>
      <c r="FO40" s="577" t="str">
        <f t="shared" si="120"/>
        <v/>
      </c>
      <c r="FP40" s="577" t="str">
        <f t="shared" si="121"/>
        <v/>
      </c>
      <c r="FQ40" s="577" t="str">
        <f t="shared" si="122"/>
        <v/>
      </c>
      <c r="FR40" s="577" t="str">
        <f t="shared" si="123"/>
        <v/>
      </c>
      <c r="FS40" s="577" t="str">
        <f t="shared" si="124"/>
        <v/>
      </c>
      <c r="FT40" s="577" t="str">
        <f t="shared" si="125"/>
        <v/>
      </c>
      <c r="FU40" s="577" t="str">
        <f t="shared" si="126"/>
        <v/>
      </c>
      <c r="FV40" s="577" t="str">
        <f t="shared" si="127"/>
        <v/>
      </c>
      <c r="FW40" s="577" t="str">
        <f t="shared" si="128"/>
        <v/>
      </c>
      <c r="FX40" s="577" t="str">
        <f t="shared" si="129"/>
        <v/>
      </c>
      <c r="FY40" s="577" t="str">
        <f t="shared" si="130"/>
        <v/>
      </c>
      <c r="FZ40" s="577" t="str">
        <f t="shared" si="131"/>
        <v/>
      </c>
      <c r="GA40" s="577" t="str">
        <f t="shared" si="132"/>
        <v/>
      </c>
      <c r="GB40" s="577" t="str">
        <f t="shared" si="133"/>
        <v/>
      </c>
      <c r="GC40" s="577" t="str">
        <f t="shared" si="134"/>
        <v/>
      </c>
      <c r="GD40" s="577" t="str">
        <f t="shared" si="135"/>
        <v/>
      </c>
      <c r="GE40" s="577" t="str">
        <f t="shared" si="136"/>
        <v/>
      </c>
      <c r="GF40" s="577" t="str">
        <f t="shared" si="137"/>
        <v/>
      </c>
      <c r="GG40" s="577" t="str">
        <f t="shared" si="138"/>
        <v/>
      </c>
      <c r="GH40" s="577" t="str">
        <f t="shared" si="139"/>
        <v/>
      </c>
      <c r="GI40" s="577" t="str">
        <f t="shared" si="140"/>
        <v/>
      </c>
      <c r="GJ40" s="577" t="str">
        <f t="shared" si="141"/>
        <v/>
      </c>
      <c r="GK40" s="577" t="str">
        <f t="shared" si="142"/>
        <v/>
      </c>
      <c r="GL40" s="577" t="str">
        <f t="shared" si="143"/>
        <v/>
      </c>
      <c r="GM40" s="577" t="str">
        <f t="shared" si="144"/>
        <v/>
      </c>
      <c r="GN40" s="577" t="str">
        <f t="shared" si="145"/>
        <v/>
      </c>
      <c r="GO40" s="578" t="str">
        <f t="shared" si="146"/>
        <v/>
      </c>
      <c r="GP40" s="578" t="str">
        <f t="shared" si="147"/>
        <v/>
      </c>
      <c r="GQ40" s="578" t="str">
        <f t="shared" si="148"/>
        <v/>
      </c>
      <c r="GR40" s="578" t="str">
        <f t="shared" si="149"/>
        <v/>
      </c>
      <c r="GS40" s="578" t="str">
        <f t="shared" si="150"/>
        <v/>
      </c>
      <c r="GT40" s="567" t="str">
        <f t="shared" si="151"/>
        <v/>
      </c>
      <c r="GU40" s="567" t="str">
        <f t="shared" si="152"/>
        <v/>
      </c>
      <c r="GV40" s="567" t="str">
        <f t="shared" si="153"/>
        <v/>
      </c>
      <c r="GW40" s="567" t="str">
        <f t="shared" si="154"/>
        <v/>
      </c>
      <c r="GX40" s="567" t="str">
        <f t="shared" si="155"/>
        <v/>
      </c>
      <c r="GY40" s="567" t="str">
        <f t="shared" si="156"/>
        <v/>
      </c>
      <c r="GZ40" s="567" t="str">
        <f t="shared" si="157"/>
        <v/>
      </c>
      <c r="HA40" s="567" t="str">
        <f t="shared" si="158"/>
        <v/>
      </c>
      <c r="HB40" s="567" t="str">
        <f t="shared" si="159"/>
        <v/>
      </c>
      <c r="HC40" s="567" t="str">
        <f t="shared" si="160"/>
        <v/>
      </c>
      <c r="HD40" s="567" t="str">
        <f t="shared" si="161"/>
        <v/>
      </c>
      <c r="HE40" s="567" t="str">
        <f t="shared" si="162"/>
        <v/>
      </c>
      <c r="HF40" s="567" t="str">
        <f t="shared" si="163"/>
        <v/>
      </c>
      <c r="HG40" s="567" t="str">
        <f t="shared" si="164"/>
        <v/>
      </c>
      <c r="HH40" s="567" t="str">
        <f t="shared" si="165"/>
        <v/>
      </c>
      <c r="HI40" s="567" t="str">
        <f t="shared" si="166"/>
        <v/>
      </c>
      <c r="HJ40" s="567" t="str">
        <f t="shared" si="167"/>
        <v/>
      </c>
      <c r="HK40" s="567" t="str">
        <f t="shared" si="168"/>
        <v/>
      </c>
      <c r="HL40" s="567" t="str">
        <f t="shared" si="169"/>
        <v/>
      </c>
      <c r="HM40" s="567" t="str">
        <f t="shared" si="170"/>
        <v/>
      </c>
    </row>
    <row r="41" spans="1:221" ht="13.15" customHeight="1">
      <c r="A41" s="126" t="str">
        <f t="shared" si="171"/>
        <v/>
      </c>
      <c r="B41" s="1203" t="s">
        <v>1886</v>
      </c>
      <c r="C41" s="1204"/>
      <c r="D41" s="1205"/>
      <c r="E41" s="1206"/>
      <c r="F41" s="1206"/>
      <c r="G41" s="1206"/>
      <c r="H41" s="1206"/>
      <c r="I41" s="1206"/>
      <c r="J41" s="1207"/>
      <c r="K41" s="198">
        <f t="shared" si="205"/>
        <v>0</v>
      </c>
      <c r="L41" s="198">
        <f t="shared" si="0"/>
        <v>0</v>
      </c>
      <c r="M41" s="1099"/>
      <c r="N41" s="1099"/>
      <c r="O41" s="1099"/>
      <c r="P41" s="518" t="str">
        <f t="shared" si="203"/>
        <v/>
      </c>
      <c r="Q41" s="519" t="str">
        <f>IF(H41="","",P41/($P$6*VLOOKUP(C41,'DCA Underwriting Assumptions'!$J$82:$K$87,2,FALSE)))</f>
        <v/>
      </c>
      <c r="R41" s="607"/>
      <c r="S41" s="519"/>
      <c r="T41" s="1643"/>
      <c r="U41" s="1644"/>
      <c r="V41" s="567" t="str">
        <f t="shared" si="1"/>
        <v/>
      </c>
      <c r="W41" s="567" t="str">
        <f t="shared" si="2"/>
        <v/>
      </c>
      <c r="X41" s="567" t="str">
        <f t="shared" si="3"/>
        <v/>
      </c>
      <c r="Y41" s="567" t="str">
        <f t="shared" si="4"/>
        <v/>
      </c>
      <c r="Z41" s="567" t="str">
        <f t="shared" si="5"/>
        <v/>
      </c>
      <c r="AA41" s="567" t="str">
        <f t="shared" si="6"/>
        <v/>
      </c>
      <c r="AB41" s="567" t="str">
        <f t="shared" si="7"/>
        <v/>
      </c>
      <c r="AC41" s="567" t="str">
        <f t="shared" si="8"/>
        <v/>
      </c>
      <c r="AD41" s="567" t="str">
        <f t="shared" si="9"/>
        <v/>
      </c>
      <c r="AE41" s="567" t="str">
        <f t="shared" si="10"/>
        <v/>
      </c>
      <c r="AF41" s="567" t="str">
        <f t="shared" si="11"/>
        <v/>
      </c>
      <c r="AG41" s="567" t="str">
        <f t="shared" si="12"/>
        <v/>
      </c>
      <c r="AH41" s="567" t="str">
        <f t="shared" si="13"/>
        <v/>
      </c>
      <c r="AI41" s="567" t="str">
        <f t="shared" si="14"/>
        <v/>
      </c>
      <c r="AJ41" s="567" t="str">
        <f t="shared" si="15"/>
        <v/>
      </c>
      <c r="AK41" s="567" t="str">
        <f t="shared" si="16"/>
        <v/>
      </c>
      <c r="AL41" s="567" t="str">
        <f t="shared" si="17"/>
        <v/>
      </c>
      <c r="AM41" s="567" t="str">
        <f t="shared" si="18"/>
        <v/>
      </c>
      <c r="AN41" s="567" t="str">
        <f t="shared" si="19"/>
        <v/>
      </c>
      <c r="AO41" s="567" t="str">
        <f t="shared" si="20"/>
        <v/>
      </c>
      <c r="AP41" s="567" t="str">
        <f t="shared" si="173"/>
        <v/>
      </c>
      <c r="AQ41" s="567" t="str">
        <f t="shared" si="174"/>
        <v/>
      </c>
      <c r="AR41" s="567" t="str">
        <f t="shared" si="175"/>
        <v/>
      </c>
      <c r="AS41" s="567" t="str">
        <f t="shared" si="176"/>
        <v/>
      </c>
      <c r="AT41" s="567" t="str">
        <f t="shared" si="177"/>
        <v/>
      </c>
      <c r="AU41" s="567" t="str">
        <f t="shared" si="178"/>
        <v/>
      </c>
      <c r="AV41" s="567" t="str">
        <f t="shared" si="179"/>
        <v/>
      </c>
      <c r="AW41" s="567" t="str">
        <f t="shared" si="180"/>
        <v/>
      </c>
      <c r="AX41" s="567" t="str">
        <f t="shared" si="181"/>
        <v/>
      </c>
      <c r="AY41" s="567" t="str">
        <f t="shared" si="182"/>
        <v/>
      </c>
      <c r="AZ41" s="567" t="str">
        <f t="shared" si="183"/>
        <v/>
      </c>
      <c r="BA41" s="567" t="str">
        <f t="shared" si="184"/>
        <v/>
      </c>
      <c r="BB41" s="567" t="str">
        <f t="shared" si="185"/>
        <v/>
      </c>
      <c r="BC41" s="567" t="str">
        <f t="shared" si="186"/>
        <v/>
      </c>
      <c r="BD41" s="567" t="str">
        <f t="shared" si="187"/>
        <v/>
      </c>
      <c r="BE41" s="567" t="str">
        <f t="shared" si="188"/>
        <v/>
      </c>
      <c r="BF41" s="567" t="str">
        <f t="shared" si="189"/>
        <v/>
      </c>
      <c r="BG41" s="567" t="str">
        <f t="shared" si="190"/>
        <v/>
      </c>
      <c r="BH41" s="567" t="str">
        <f t="shared" si="191"/>
        <v/>
      </c>
      <c r="BI41" s="567" t="str">
        <f t="shared" si="192"/>
        <v/>
      </c>
      <c r="BJ41" s="567" t="str">
        <f t="shared" si="193"/>
        <v/>
      </c>
      <c r="BK41" s="567" t="str">
        <f t="shared" si="194"/>
        <v/>
      </c>
      <c r="BL41" s="567" t="str">
        <f t="shared" si="195"/>
        <v/>
      </c>
      <c r="BM41" s="567" t="str">
        <f t="shared" si="196"/>
        <v/>
      </c>
      <c r="BN41" s="567" t="str">
        <f t="shared" si="197"/>
        <v/>
      </c>
      <c r="BO41" s="567" t="str">
        <f t="shared" si="198"/>
        <v/>
      </c>
      <c r="BP41" s="567" t="str">
        <f t="shared" si="199"/>
        <v/>
      </c>
      <c r="BQ41" s="567" t="str">
        <f t="shared" si="200"/>
        <v/>
      </c>
      <c r="BR41" s="567" t="str">
        <f t="shared" si="201"/>
        <v/>
      </c>
      <c r="BS41" s="567" t="str">
        <f t="shared" si="202"/>
        <v/>
      </c>
      <c r="BT41" s="567" t="str">
        <f t="shared" si="21"/>
        <v/>
      </c>
      <c r="BU41" s="567" t="str">
        <f t="shared" si="22"/>
        <v/>
      </c>
      <c r="BV41" s="567" t="str">
        <f t="shared" si="23"/>
        <v/>
      </c>
      <c r="BW41" s="567" t="str">
        <f t="shared" si="24"/>
        <v/>
      </c>
      <c r="BX41" s="567" t="str">
        <f t="shared" si="25"/>
        <v/>
      </c>
      <c r="BY41" s="567" t="str">
        <f t="shared" si="26"/>
        <v/>
      </c>
      <c r="BZ41" s="567" t="str">
        <f t="shared" si="27"/>
        <v/>
      </c>
      <c r="CA41" s="567" t="str">
        <f t="shared" si="28"/>
        <v/>
      </c>
      <c r="CB41" s="567" t="str">
        <f t="shared" si="29"/>
        <v/>
      </c>
      <c r="CC41" s="567" t="str">
        <f t="shared" si="30"/>
        <v/>
      </c>
      <c r="CD41" s="567" t="str">
        <f t="shared" si="31"/>
        <v/>
      </c>
      <c r="CE41" s="567" t="str">
        <f t="shared" si="32"/>
        <v/>
      </c>
      <c r="CF41" s="567" t="str">
        <f t="shared" si="33"/>
        <v/>
      </c>
      <c r="CG41" s="567" t="str">
        <f t="shared" si="34"/>
        <v/>
      </c>
      <c r="CH41" s="567" t="str">
        <f t="shared" si="35"/>
        <v/>
      </c>
      <c r="CI41" s="567" t="str">
        <f t="shared" si="36"/>
        <v/>
      </c>
      <c r="CJ41" s="567" t="str">
        <f t="shared" si="37"/>
        <v/>
      </c>
      <c r="CK41" s="567" t="str">
        <f t="shared" si="38"/>
        <v/>
      </c>
      <c r="CL41" s="567" t="str">
        <f t="shared" si="39"/>
        <v/>
      </c>
      <c r="CM41" s="567" t="str">
        <f t="shared" si="40"/>
        <v/>
      </c>
      <c r="CN41" s="567" t="str">
        <f t="shared" si="41"/>
        <v/>
      </c>
      <c r="CO41" s="567" t="str">
        <f t="shared" si="42"/>
        <v/>
      </c>
      <c r="CP41" s="567" t="str">
        <f t="shared" si="43"/>
        <v/>
      </c>
      <c r="CQ41" s="567" t="str">
        <f t="shared" si="44"/>
        <v/>
      </c>
      <c r="CR41" s="567" t="str">
        <f t="shared" si="45"/>
        <v/>
      </c>
      <c r="CS41" s="567" t="str">
        <f t="shared" si="46"/>
        <v/>
      </c>
      <c r="CT41" s="567" t="str">
        <f t="shared" si="47"/>
        <v/>
      </c>
      <c r="CU41" s="567" t="str">
        <f t="shared" si="48"/>
        <v/>
      </c>
      <c r="CV41" s="567" t="str">
        <f t="shared" si="49"/>
        <v/>
      </c>
      <c r="CW41" s="567" t="str">
        <f t="shared" si="50"/>
        <v/>
      </c>
      <c r="CX41" s="567" t="str">
        <f t="shared" si="51"/>
        <v/>
      </c>
      <c r="CY41" s="567" t="str">
        <f t="shared" si="52"/>
        <v/>
      </c>
      <c r="CZ41" s="567" t="str">
        <f t="shared" si="53"/>
        <v/>
      </c>
      <c r="DA41" s="567" t="str">
        <f t="shared" si="54"/>
        <v/>
      </c>
      <c r="DB41" s="567" t="str">
        <f t="shared" si="55"/>
        <v/>
      </c>
      <c r="DC41" s="567" t="str">
        <f t="shared" si="56"/>
        <v/>
      </c>
      <c r="DD41" s="567" t="str">
        <f t="shared" si="57"/>
        <v/>
      </c>
      <c r="DE41" s="567" t="str">
        <f t="shared" si="58"/>
        <v/>
      </c>
      <c r="DF41" s="567" t="str">
        <f t="shared" si="59"/>
        <v/>
      </c>
      <c r="DG41" s="567" t="str">
        <f t="shared" si="60"/>
        <v/>
      </c>
      <c r="DH41" s="567" t="str">
        <f t="shared" si="61"/>
        <v/>
      </c>
      <c r="DI41" s="567" t="str">
        <f t="shared" si="62"/>
        <v/>
      </c>
      <c r="DJ41" s="567" t="str">
        <f t="shared" si="63"/>
        <v/>
      </c>
      <c r="DK41" s="567" t="str">
        <f t="shared" si="64"/>
        <v/>
      </c>
      <c r="DL41" s="567" t="str">
        <f t="shared" si="65"/>
        <v/>
      </c>
      <c r="DM41" s="567" t="str">
        <f t="shared" si="66"/>
        <v/>
      </c>
      <c r="DN41" s="567" t="str">
        <f t="shared" si="67"/>
        <v/>
      </c>
      <c r="DO41" s="567" t="str">
        <f t="shared" si="68"/>
        <v/>
      </c>
      <c r="DP41" s="567" t="str">
        <f t="shared" si="69"/>
        <v/>
      </c>
      <c r="DQ41" s="567" t="str">
        <f t="shared" si="70"/>
        <v/>
      </c>
      <c r="DR41" s="567" t="str">
        <f t="shared" si="71"/>
        <v/>
      </c>
      <c r="DS41" s="567" t="str">
        <f t="shared" si="72"/>
        <v/>
      </c>
      <c r="DT41" s="567" t="str">
        <f t="shared" si="73"/>
        <v/>
      </c>
      <c r="DU41" s="567" t="str">
        <f t="shared" si="74"/>
        <v/>
      </c>
      <c r="DV41" s="567" t="str">
        <f t="shared" si="75"/>
        <v/>
      </c>
      <c r="DW41" s="567" t="str">
        <f t="shared" si="76"/>
        <v/>
      </c>
      <c r="DX41" s="567" t="str">
        <f t="shared" si="77"/>
        <v/>
      </c>
      <c r="DY41" s="567" t="str">
        <f t="shared" si="78"/>
        <v/>
      </c>
      <c r="DZ41" s="567" t="str">
        <f t="shared" si="79"/>
        <v/>
      </c>
      <c r="EA41" s="567" t="str">
        <f t="shared" si="80"/>
        <v/>
      </c>
      <c r="EB41" s="567" t="str">
        <f t="shared" si="81"/>
        <v/>
      </c>
      <c r="EC41" s="567" t="str">
        <f t="shared" si="82"/>
        <v/>
      </c>
      <c r="ED41" s="567" t="str">
        <f t="shared" si="83"/>
        <v/>
      </c>
      <c r="EE41" s="567" t="str">
        <f t="shared" si="84"/>
        <v/>
      </c>
      <c r="EF41" s="567" t="str">
        <f t="shared" si="85"/>
        <v/>
      </c>
      <c r="EG41" s="567" t="str">
        <f t="shared" si="86"/>
        <v/>
      </c>
      <c r="EH41" s="567" t="str">
        <f t="shared" si="87"/>
        <v/>
      </c>
      <c r="EI41" s="567" t="str">
        <f t="shared" si="88"/>
        <v/>
      </c>
      <c r="EJ41" s="567" t="str">
        <f t="shared" si="89"/>
        <v/>
      </c>
      <c r="EK41" s="567" t="str">
        <f t="shared" si="90"/>
        <v/>
      </c>
      <c r="EL41" s="567" t="str">
        <f t="shared" si="91"/>
        <v/>
      </c>
      <c r="EM41" s="567" t="str">
        <f t="shared" si="92"/>
        <v/>
      </c>
      <c r="EN41" s="567" t="str">
        <f t="shared" si="93"/>
        <v/>
      </c>
      <c r="EO41" s="567" t="str">
        <f t="shared" si="94"/>
        <v/>
      </c>
      <c r="EP41" s="567" t="str">
        <f t="shared" si="95"/>
        <v/>
      </c>
      <c r="EQ41" s="567" t="str">
        <f t="shared" si="96"/>
        <v/>
      </c>
      <c r="ER41" s="567" t="str">
        <f t="shared" si="97"/>
        <v/>
      </c>
      <c r="ES41" s="567" t="str">
        <f t="shared" si="98"/>
        <v/>
      </c>
      <c r="ET41" s="567" t="str">
        <f t="shared" si="99"/>
        <v/>
      </c>
      <c r="EU41" s="567" t="str">
        <f t="shared" si="100"/>
        <v/>
      </c>
      <c r="EV41" s="577" t="str">
        <f t="shared" si="101"/>
        <v/>
      </c>
      <c r="EW41" s="577" t="str">
        <f t="shared" si="102"/>
        <v/>
      </c>
      <c r="EX41" s="577" t="str">
        <f t="shared" si="103"/>
        <v/>
      </c>
      <c r="EY41" s="577" t="str">
        <f t="shared" si="104"/>
        <v/>
      </c>
      <c r="EZ41" s="577" t="str">
        <f t="shared" si="105"/>
        <v/>
      </c>
      <c r="FA41" s="577" t="str">
        <f t="shared" si="106"/>
        <v/>
      </c>
      <c r="FB41" s="577" t="str">
        <f t="shared" si="107"/>
        <v/>
      </c>
      <c r="FC41" s="577" t="str">
        <f t="shared" si="108"/>
        <v/>
      </c>
      <c r="FD41" s="577" t="str">
        <f t="shared" si="109"/>
        <v/>
      </c>
      <c r="FE41" s="577" t="str">
        <f t="shared" si="110"/>
        <v/>
      </c>
      <c r="FF41" s="577" t="str">
        <f t="shared" si="111"/>
        <v/>
      </c>
      <c r="FG41" s="577" t="str">
        <f t="shared" si="112"/>
        <v/>
      </c>
      <c r="FH41" s="577" t="str">
        <f t="shared" si="113"/>
        <v/>
      </c>
      <c r="FI41" s="577" t="str">
        <f t="shared" si="114"/>
        <v/>
      </c>
      <c r="FJ41" s="577" t="str">
        <f t="shared" si="115"/>
        <v/>
      </c>
      <c r="FK41" s="577" t="str">
        <f t="shared" si="116"/>
        <v/>
      </c>
      <c r="FL41" s="577" t="str">
        <f t="shared" si="117"/>
        <v/>
      </c>
      <c r="FM41" s="577" t="str">
        <f t="shared" si="118"/>
        <v/>
      </c>
      <c r="FN41" s="577" t="str">
        <f t="shared" si="119"/>
        <v/>
      </c>
      <c r="FO41" s="577" t="str">
        <f t="shared" si="120"/>
        <v/>
      </c>
      <c r="FP41" s="577" t="str">
        <f t="shared" si="121"/>
        <v/>
      </c>
      <c r="FQ41" s="577" t="str">
        <f t="shared" si="122"/>
        <v/>
      </c>
      <c r="FR41" s="577" t="str">
        <f t="shared" si="123"/>
        <v/>
      </c>
      <c r="FS41" s="577" t="str">
        <f t="shared" si="124"/>
        <v/>
      </c>
      <c r="FT41" s="577" t="str">
        <f t="shared" si="125"/>
        <v/>
      </c>
      <c r="FU41" s="577" t="str">
        <f t="shared" si="126"/>
        <v/>
      </c>
      <c r="FV41" s="577" t="str">
        <f t="shared" si="127"/>
        <v/>
      </c>
      <c r="FW41" s="577" t="str">
        <f t="shared" si="128"/>
        <v/>
      </c>
      <c r="FX41" s="577" t="str">
        <f t="shared" si="129"/>
        <v/>
      </c>
      <c r="FY41" s="577" t="str">
        <f t="shared" si="130"/>
        <v/>
      </c>
      <c r="FZ41" s="577" t="str">
        <f t="shared" si="131"/>
        <v/>
      </c>
      <c r="GA41" s="577" t="str">
        <f t="shared" si="132"/>
        <v/>
      </c>
      <c r="GB41" s="577" t="str">
        <f t="shared" si="133"/>
        <v/>
      </c>
      <c r="GC41" s="577" t="str">
        <f t="shared" si="134"/>
        <v/>
      </c>
      <c r="GD41" s="577" t="str">
        <f t="shared" si="135"/>
        <v/>
      </c>
      <c r="GE41" s="577" t="str">
        <f t="shared" si="136"/>
        <v/>
      </c>
      <c r="GF41" s="577" t="str">
        <f t="shared" si="137"/>
        <v/>
      </c>
      <c r="GG41" s="577" t="str">
        <f t="shared" si="138"/>
        <v/>
      </c>
      <c r="GH41" s="577" t="str">
        <f t="shared" si="139"/>
        <v/>
      </c>
      <c r="GI41" s="577" t="str">
        <f t="shared" si="140"/>
        <v/>
      </c>
      <c r="GJ41" s="577" t="str">
        <f t="shared" si="141"/>
        <v/>
      </c>
      <c r="GK41" s="577" t="str">
        <f t="shared" si="142"/>
        <v/>
      </c>
      <c r="GL41" s="577" t="str">
        <f t="shared" si="143"/>
        <v/>
      </c>
      <c r="GM41" s="577" t="str">
        <f t="shared" si="144"/>
        <v/>
      </c>
      <c r="GN41" s="577" t="str">
        <f t="shared" si="145"/>
        <v/>
      </c>
      <c r="GO41" s="578" t="str">
        <f t="shared" si="146"/>
        <v/>
      </c>
      <c r="GP41" s="578" t="str">
        <f t="shared" si="147"/>
        <v/>
      </c>
      <c r="GQ41" s="578" t="str">
        <f t="shared" si="148"/>
        <v/>
      </c>
      <c r="GR41" s="578" t="str">
        <f t="shared" si="149"/>
        <v/>
      </c>
      <c r="GS41" s="578" t="str">
        <f t="shared" si="150"/>
        <v/>
      </c>
      <c r="GT41" s="567" t="str">
        <f t="shared" si="151"/>
        <v/>
      </c>
      <c r="GU41" s="567" t="str">
        <f t="shared" si="152"/>
        <v/>
      </c>
      <c r="GV41" s="567" t="str">
        <f t="shared" si="153"/>
        <v/>
      </c>
      <c r="GW41" s="567" t="str">
        <f t="shared" si="154"/>
        <v/>
      </c>
      <c r="GX41" s="567" t="str">
        <f t="shared" si="155"/>
        <v/>
      </c>
      <c r="GY41" s="567" t="str">
        <f t="shared" si="156"/>
        <v/>
      </c>
      <c r="GZ41" s="567" t="str">
        <f t="shared" si="157"/>
        <v/>
      </c>
      <c r="HA41" s="567" t="str">
        <f t="shared" si="158"/>
        <v/>
      </c>
      <c r="HB41" s="567" t="str">
        <f t="shared" si="159"/>
        <v/>
      </c>
      <c r="HC41" s="567" t="str">
        <f t="shared" si="160"/>
        <v/>
      </c>
      <c r="HD41" s="567" t="str">
        <f t="shared" si="161"/>
        <v/>
      </c>
      <c r="HE41" s="567" t="str">
        <f t="shared" si="162"/>
        <v/>
      </c>
      <c r="HF41" s="567" t="str">
        <f t="shared" si="163"/>
        <v/>
      </c>
      <c r="HG41" s="567" t="str">
        <f t="shared" si="164"/>
        <v/>
      </c>
      <c r="HH41" s="567" t="str">
        <f t="shared" si="165"/>
        <v/>
      </c>
      <c r="HI41" s="567" t="str">
        <f t="shared" si="166"/>
        <v/>
      </c>
      <c r="HJ41" s="567" t="str">
        <f t="shared" si="167"/>
        <v/>
      </c>
      <c r="HK41" s="567" t="str">
        <f t="shared" si="168"/>
        <v/>
      </c>
      <c r="HL41" s="567" t="str">
        <f t="shared" si="169"/>
        <v/>
      </c>
      <c r="HM41" s="567" t="str">
        <f t="shared" si="170"/>
        <v/>
      </c>
    </row>
    <row r="42" spans="1:221" ht="13.15" customHeight="1">
      <c r="A42" s="126" t="str">
        <f t="shared" si="171"/>
        <v/>
      </c>
      <c r="B42" s="1203" t="s">
        <v>1886</v>
      </c>
      <c r="C42" s="1204"/>
      <c r="D42" s="1205"/>
      <c r="E42" s="1206"/>
      <c r="F42" s="1206"/>
      <c r="G42" s="1206"/>
      <c r="H42" s="1206"/>
      <c r="I42" s="1206"/>
      <c r="J42" s="1207"/>
      <c r="K42" s="198">
        <f t="shared" si="205"/>
        <v>0</v>
      </c>
      <c r="L42" s="198">
        <f t="shared" si="0"/>
        <v>0</v>
      </c>
      <c r="M42" s="1099"/>
      <c r="N42" s="1099"/>
      <c r="O42" s="1099"/>
      <c r="P42" s="518" t="str">
        <f t="shared" si="203"/>
        <v/>
      </c>
      <c r="Q42" s="519" t="str">
        <f>IF(H42="","",P42/($P$6*VLOOKUP(C42,'DCA Underwriting Assumptions'!$J$82:$K$87,2,FALSE)))</f>
        <v/>
      </c>
      <c r="R42" s="607"/>
      <c r="S42" s="519"/>
      <c r="T42" s="1643"/>
      <c r="U42" s="1644"/>
      <c r="V42" s="567" t="str">
        <f t="shared" si="1"/>
        <v/>
      </c>
      <c r="W42" s="567" t="str">
        <f t="shared" si="2"/>
        <v/>
      </c>
      <c r="X42" s="567" t="str">
        <f t="shared" si="3"/>
        <v/>
      </c>
      <c r="Y42" s="567" t="str">
        <f t="shared" si="4"/>
        <v/>
      </c>
      <c r="Z42" s="567" t="str">
        <f t="shared" si="5"/>
        <v/>
      </c>
      <c r="AA42" s="567" t="str">
        <f t="shared" si="6"/>
        <v/>
      </c>
      <c r="AB42" s="567" t="str">
        <f t="shared" si="7"/>
        <v/>
      </c>
      <c r="AC42" s="567" t="str">
        <f t="shared" si="8"/>
        <v/>
      </c>
      <c r="AD42" s="567" t="str">
        <f t="shared" si="9"/>
        <v/>
      </c>
      <c r="AE42" s="567" t="str">
        <f t="shared" si="10"/>
        <v/>
      </c>
      <c r="AF42" s="567" t="str">
        <f t="shared" si="11"/>
        <v/>
      </c>
      <c r="AG42" s="567" t="str">
        <f t="shared" si="12"/>
        <v/>
      </c>
      <c r="AH42" s="567" t="str">
        <f t="shared" si="13"/>
        <v/>
      </c>
      <c r="AI42" s="567" t="str">
        <f t="shared" si="14"/>
        <v/>
      </c>
      <c r="AJ42" s="567" t="str">
        <f t="shared" si="15"/>
        <v/>
      </c>
      <c r="AK42" s="567" t="str">
        <f t="shared" si="16"/>
        <v/>
      </c>
      <c r="AL42" s="567" t="str">
        <f t="shared" si="17"/>
        <v/>
      </c>
      <c r="AM42" s="567" t="str">
        <f t="shared" si="18"/>
        <v/>
      </c>
      <c r="AN42" s="567" t="str">
        <f t="shared" si="19"/>
        <v/>
      </c>
      <c r="AO42" s="567" t="str">
        <f t="shared" si="20"/>
        <v/>
      </c>
      <c r="AP42" s="567" t="str">
        <f t="shared" si="173"/>
        <v/>
      </c>
      <c r="AQ42" s="567" t="str">
        <f t="shared" si="174"/>
        <v/>
      </c>
      <c r="AR42" s="567" t="str">
        <f t="shared" si="175"/>
        <v/>
      </c>
      <c r="AS42" s="567" t="str">
        <f t="shared" si="176"/>
        <v/>
      </c>
      <c r="AT42" s="567" t="str">
        <f t="shared" si="177"/>
        <v/>
      </c>
      <c r="AU42" s="567" t="str">
        <f t="shared" si="178"/>
        <v/>
      </c>
      <c r="AV42" s="567" t="str">
        <f t="shared" si="179"/>
        <v/>
      </c>
      <c r="AW42" s="567" t="str">
        <f t="shared" si="180"/>
        <v/>
      </c>
      <c r="AX42" s="567" t="str">
        <f t="shared" si="181"/>
        <v/>
      </c>
      <c r="AY42" s="567" t="str">
        <f t="shared" si="182"/>
        <v/>
      </c>
      <c r="AZ42" s="567" t="str">
        <f t="shared" si="183"/>
        <v/>
      </c>
      <c r="BA42" s="567" t="str">
        <f t="shared" si="184"/>
        <v/>
      </c>
      <c r="BB42" s="567" t="str">
        <f t="shared" si="185"/>
        <v/>
      </c>
      <c r="BC42" s="567" t="str">
        <f t="shared" si="186"/>
        <v/>
      </c>
      <c r="BD42" s="567" t="str">
        <f t="shared" si="187"/>
        <v/>
      </c>
      <c r="BE42" s="567" t="str">
        <f t="shared" si="188"/>
        <v/>
      </c>
      <c r="BF42" s="567" t="str">
        <f t="shared" si="189"/>
        <v/>
      </c>
      <c r="BG42" s="567" t="str">
        <f t="shared" si="190"/>
        <v/>
      </c>
      <c r="BH42" s="567" t="str">
        <f t="shared" si="191"/>
        <v/>
      </c>
      <c r="BI42" s="567" t="str">
        <f t="shared" si="192"/>
        <v/>
      </c>
      <c r="BJ42" s="567" t="str">
        <f t="shared" si="193"/>
        <v/>
      </c>
      <c r="BK42" s="567" t="str">
        <f t="shared" si="194"/>
        <v/>
      </c>
      <c r="BL42" s="567" t="str">
        <f t="shared" si="195"/>
        <v/>
      </c>
      <c r="BM42" s="567" t="str">
        <f t="shared" si="196"/>
        <v/>
      </c>
      <c r="BN42" s="567" t="str">
        <f t="shared" si="197"/>
        <v/>
      </c>
      <c r="BO42" s="567" t="str">
        <f t="shared" si="198"/>
        <v/>
      </c>
      <c r="BP42" s="567" t="str">
        <f t="shared" si="199"/>
        <v/>
      </c>
      <c r="BQ42" s="567" t="str">
        <f t="shared" si="200"/>
        <v/>
      </c>
      <c r="BR42" s="567" t="str">
        <f t="shared" si="201"/>
        <v/>
      </c>
      <c r="BS42" s="567" t="str">
        <f t="shared" si="202"/>
        <v/>
      </c>
      <c r="BT42" s="567" t="str">
        <f t="shared" si="21"/>
        <v/>
      </c>
      <c r="BU42" s="567" t="str">
        <f t="shared" si="22"/>
        <v/>
      </c>
      <c r="BV42" s="567" t="str">
        <f t="shared" si="23"/>
        <v/>
      </c>
      <c r="BW42" s="567" t="str">
        <f t="shared" si="24"/>
        <v/>
      </c>
      <c r="BX42" s="567" t="str">
        <f t="shared" si="25"/>
        <v/>
      </c>
      <c r="BY42" s="567" t="str">
        <f t="shared" si="26"/>
        <v/>
      </c>
      <c r="BZ42" s="567" t="str">
        <f t="shared" si="27"/>
        <v/>
      </c>
      <c r="CA42" s="567" t="str">
        <f t="shared" si="28"/>
        <v/>
      </c>
      <c r="CB42" s="567" t="str">
        <f t="shared" si="29"/>
        <v/>
      </c>
      <c r="CC42" s="567" t="str">
        <f t="shared" si="30"/>
        <v/>
      </c>
      <c r="CD42" s="567" t="str">
        <f t="shared" si="31"/>
        <v/>
      </c>
      <c r="CE42" s="567" t="str">
        <f t="shared" si="32"/>
        <v/>
      </c>
      <c r="CF42" s="567" t="str">
        <f t="shared" si="33"/>
        <v/>
      </c>
      <c r="CG42" s="567" t="str">
        <f t="shared" si="34"/>
        <v/>
      </c>
      <c r="CH42" s="567" t="str">
        <f t="shared" si="35"/>
        <v/>
      </c>
      <c r="CI42" s="567" t="str">
        <f t="shared" si="36"/>
        <v/>
      </c>
      <c r="CJ42" s="567" t="str">
        <f t="shared" si="37"/>
        <v/>
      </c>
      <c r="CK42" s="567" t="str">
        <f t="shared" si="38"/>
        <v/>
      </c>
      <c r="CL42" s="567" t="str">
        <f t="shared" si="39"/>
        <v/>
      </c>
      <c r="CM42" s="567" t="str">
        <f t="shared" si="40"/>
        <v/>
      </c>
      <c r="CN42" s="567" t="str">
        <f t="shared" si="41"/>
        <v/>
      </c>
      <c r="CO42" s="567" t="str">
        <f t="shared" si="42"/>
        <v/>
      </c>
      <c r="CP42" s="567" t="str">
        <f t="shared" si="43"/>
        <v/>
      </c>
      <c r="CQ42" s="567" t="str">
        <f t="shared" si="44"/>
        <v/>
      </c>
      <c r="CR42" s="567" t="str">
        <f t="shared" si="45"/>
        <v/>
      </c>
      <c r="CS42" s="567" t="str">
        <f t="shared" si="46"/>
        <v/>
      </c>
      <c r="CT42" s="567" t="str">
        <f t="shared" si="47"/>
        <v/>
      </c>
      <c r="CU42" s="567" t="str">
        <f t="shared" si="48"/>
        <v/>
      </c>
      <c r="CV42" s="567" t="str">
        <f t="shared" si="49"/>
        <v/>
      </c>
      <c r="CW42" s="567" t="str">
        <f t="shared" si="50"/>
        <v/>
      </c>
      <c r="CX42" s="567" t="str">
        <f t="shared" si="51"/>
        <v/>
      </c>
      <c r="CY42" s="567" t="str">
        <f t="shared" si="52"/>
        <v/>
      </c>
      <c r="CZ42" s="567" t="str">
        <f t="shared" si="53"/>
        <v/>
      </c>
      <c r="DA42" s="567" t="str">
        <f t="shared" si="54"/>
        <v/>
      </c>
      <c r="DB42" s="567" t="str">
        <f t="shared" si="55"/>
        <v/>
      </c>
      <c r="DC42" s="567" t="str">
        <f t="shared" si="56"/>
        <v/>
      </c>
      <c r="DD42" s="567" t="str">
        <f t="shared" si="57"/>
        <v/>
      </c>
      <c r="DE42" s="567" t="str">
        <f t="shared" si="58"/>
        <v/>
      </c>
      <c r="DF42" s="567" t="str">
        <f t="shared" si="59"/>
        <v/>
      </c>
      <c r="DG42" s="567" t="str">
        <f t="shared" si="60"/>
        <v/>
      </c>
      <c r="DH42" s="567" t="str">
        <f t="shared" si="61"/>
        <v/>
      </c>
      <c r="DI42" s="567" t="str">
        <f t="shared" si="62"/>
        <v/>
      </c>
      <c r="DJ42" s="567" t="str">
        <f t="shared" si="63"/>
        <v/>
      </c>
      <c r="DK42" s="567" t="str">
        <f t="shared" si="64"/>
        <v/>
      </c>
      <c r="DL42" s="567" t="str">
        <f t="shared" si="65"/>
        <v/>
      </c>
      <c r="DM42" s="567" t="str">
        <f t="shared" si="66"/>
        <v/>
      </c>
      <c r="DN42" s="567" t="str">
        <f t="shared" si="67"/>
        <v/>
      </c>
      <c r="DO42" s="567" t="str">
        <f t="shared" si="68"/>
        <v/>
      </c>
      <c r="DP42" s="567" t="str">
        <f t="shared" si="69"/>
        <v/>
      </c>
      <c r="DQ42" s="567" t="str">
        <f t="shared" si="70"/>
        <v/>
      </c>
      <c r="DR42" s="567" t="str">
        <f t="shared" si="71"/>
        <v/>
      </c>
      <c r="DS42" s="567" t="str">
        <f t="shared" si="72"/>
        <v/>
      </c>
      <c r="DT42" s="567" t="str">
        <f t="shared" si="73"/>
        <v/>
      </c>
      <c r="DU42" s="567" t="str">
        <f t="shared" si="74"/>
        <v/>
      </c>
      <c r="DV42" s="567" t="str">
        <f t="shared" si="75"/>
        <v/>
      </c>
      <c r="DW42" s="567" t="str">
        <f t="shared" si="76"/>
        <v/>
      </c>
      <c r="DX42" s="567" t="str">
        <f t="shared" si="77"/>
        <v/>
      </c>
      <c r="DY42" s="567" t="str">
        <f t="shared" si="78"/>
        <v/>
      </c>
      <c r="DZ42" s="567" t="str">
        <f t="shared" si="79"/>
        <v/>
      </c>
      <c r="EA42" s="567" t="str">
        <f t="shared" si="80"/>
        <v/>
      </c>
      <c r="EB42" s="567" t="str">
        <f t="shared" si="81"/>
        <v/>
      </c>
      <c r="EC42" s="567" t="str">
        <f t="shared" si="82"/>
        <v/>
      </c>
      <c r="ED42" s="567" t="str">
        <f t="shared" si="83"/>
        <v/>
      </c>
      <c r="EE42" s="567" t="str">
        <f t="shared" si="84"/>
        <v/>
      </c>
      <c r="EF42" s="567" t="str">
        <f t="shared" si="85"/>
        <v/>
      </c>
      <c r="EG42" s="567" t="str">
        <f t="shared" si="86"/>
        <v/>
      </c>
      <c r="EH42" s="567" t="str">
        <f t="shared" si="87"/>
        <v/>
      </c>
      <c r="EI42" s="567" t="str">
        <f t="shared" si="88"/>
        <v/>
      </c>
      <c r="EJ42" s="567" t="str">
        <f t="shared" si="89"/>
        <v/>
      </c>
      <c r="EK42" s="567" t="str">
        <f t="shared" si="90"/>
        <v/>
      </c>
      <c r="EL42" s="567" t="str">
        <f t="shared" si="91"/>
        <v/>
      </c>
      <c r="EM42" s="567" t="str">
        <f t="shared" si="92"/>
        <v/>
      </c>
      <c r="EN42" s="567" t="str">
        <f t="shared" si="93"/>
        <v/>
      </c>
      <c r="EO42" s="567" t="str">
        <f t="shared" si="94"/>
        <v/>
      </c>
      <c r="EP42" s="567" t="str">
        <f t="shared" si="95"/>
        <v/>
      </c>
      <c r="EQ42" s="567" t="str">
        <f t="shared" si="96"/>
        <v/>
      </c>
      <c r="ER42" s="567" t="str">
        <f t="shared" si="97"/>
        <v/>
      </c>
      <c r="ES42" s="567" t="str">
        <f t="shared" si="98"/>
        <v/>
      </c>
      <c r="ET42" s="567" t="str">
        <f t="shared" si="99"/>
        <v/>
      </c>
      <c r="EU42" s="567" t="str">
        <f t="shared" si="100"/>
        <v/>
      </c>
      <c r="EV42" s="577" t="str">
        <f t="shared" si="101"/>
        <v/>
      </c>
      <c r="EW42" s="577" t="str">
        <f t="shared" si="102"/>
        <v/>
      </c>
      <c r="EX42" s="577" t="str">
        <f t="shared" si="103"/>
        <v/>
      </c>
      <c r="EY42" s="577" t="str">
        <f t="shared" si="104"/>
        <v/>
      </c>
      <c r="EZ42" s="577" t="str">
        <f t="shared" si="105"/>
        <v/>
      </c>
      <c r="FA42" s="577" t="str">
        <f t="shared" si="106"/>
        <v/>
      </c>
      <c r="FB42" s="577" t="str">
        <f t="shared" si="107"/>
        <v/>
      </c>
      <c r="FC42" s="577" t="str">
        <f t="shared" si="108"/>
        <v/>
      </c>
      <c r="FD42" s="577" t="str">
        <f t="shared" si="109"/>
        <v/>
      </c>
      <c r="FE42" s="577" t="str">
        <f t="shared" si="110"/>
        <v/>
      </c>
      <c r="FF42" s="577" t="str">
        <f t="shared" si="111"/>
        <v/>
      </c>
      <c r="FG42" s="577" t="str">
        <f t="shared" si="112"/>
        <v/>
      </c>
      <c r="FH42" s="577" t="str">
        <f t="shared" si="113"/>
        <v/>
      </c>
      <c r="FI42" s="577" t="str">
        <f t="shared" si="114"/>
        <v/>
      </c>
      <c r="FJ42" s="577" t="str">
        <f t="shared" si="115"/>
        <v/>
      </c>
      <c r="FK42" s="577" t="str">
        <f t="shared" si="116"/>
        <v/>
      </c>
      <c r="FL42" s="577" t="str">
        <f t="shared" si="117"/>
        <v/>
      </c>
      <c r="FM42" s="577" t="str">
        <f t="shared" si="118"/>
        <v/>
      </c>
      <c r="FN42" s="577" t="str">
        <f t="shared" si="119"/>
        <v/>
      </c>
      <c r="FO42" s="577" t="str">
        <f t="shared" si="120"/>
        <v/>
      </c>
      <c r="FP42" s="577" t="str">
        <f t="shared" si="121"/>
        <v/>
      </c>
      <c r="FQ42" s="577" t="str">
        <f t="shared" si="122"/>
        <v/>
      </c>
      <c r="FR42" s="577" t="str">
        <f t="shared" si="123"/>
        <v/>
      </c>
      <c r="FS42" s="577" t="str">
        <f t="shared" si="124"/>
        <v/>
      </c>
      <c r="FT42" s="577" t="str">
        <f t="shared" si="125"/>
        <v/>
      </c>
      <c r="FU42" s="577" t="str">
        <f t="shared" si="126"/>
        <v/>
      </c>
      <c r="FV42" s="577" t="str">
        <f t="shared" si="127"/>
        <v/>
      </c>
      <c r="FW42" s="577" t="str">
        <f t="shared" si="128"/>
        <v/>
      </c>
      <c r="FX42" s="577" t="str">
        <f t="shared" si="129"/>
        <v/>
      </c>
      <c r="FY42" s="577" t="str">
        <f t="shared" si="130"/>
        <v/>
      </c>
      <c r="FZ42" s="577" t="str">
        <f t="shared" si="131"/>
        <v/>
      </c>
      <c r="GA42" s="577" t="str">
        <f t="shared" si="132"/>
        <v/>
      </c>
      <c r="GB42" s="577" t="str">
        <f t="shared" si="133"/>
        <v/>
      </c>
      <c r="GC42" s="577" t="str">
        <f t="shared" si="134"/>
        <v/>
      </c>
      <c r="GD42" s="577" t="str">
        <f t="shared" si="135"/>
        <v/>
      </c>
      <c r="GE42" s="577" t="str">
        <f t="shared" si="136"/>
        <v/>
      </c>
      <c r="GF42" s="577" t="str">
        <f t="shared" si="137"/>
        <v/>
      </c>
      <c r="GG42" s="577" t="str">
        <f t="shared" si="138"/>
        <v/>
      </c>
      <c r="GH42" s="577" t="str">
        <f t="shared" si="139"/>
        <v/>
      </c>
      <c r="GI42" s="577" t="str">
        <f t="shared" si="140"/>
        <v/>
      </c>
      <c r="GJ42" s="577" t="str">
        <f t="shared" si="141"/>
        <v/>
      </c>
      <c r="GK42" s="577" t="str">
        <f t="shared" si="142"/>
        <v/>
      </c>
      <c r="GL42" s="577" t="str">
        <f t="shared" si="143"/>
        <v/>
      </c>
      <c r="GM42" s="577" t="str">
        <f t="shared" si="144"/>
        <v/>
      </c>
      <c r="GN42" s="577" t="str">
        <f t="shared" si="145"/>
        <v/>
      </c>
      <c r="GO42" s="578" t="str">
        <f t="shared" si="146"/>
        <v/>
      </c>
      <c r="GP42" s="578" t="str">
        <f t="shared" si="147"/>
        <v/>
      </c>
      <c r="GQ42" s="578" t="str">
        <f t="shared" si="148"/>
        <v/>
      </c>
      <c r="GR42" s="578" t="str">
        <f t="shared" si="149"/>
        <v/>
      </c>
      <c r="GS42" s="578" t="str">
        <f t="shared" si="150"/>
        <v/>
      </c>
      <c r="GT42" s="567" t="str">
        <f t="shared" si="151"/>
        <v/>
      </c>
      <c r="GU42" s="567" t="str">
        <f t="shared" si="152"/>
        <v/>
      </c>
      <c r="GV42" s="567" t="str">
        <f t="shared" si="153"/>
        <v/>
      </c>
      <c r="GW42" s="567" t="str">
        <f t="shared" si="154"/>
        <v/>
      </c>
      <c r="GX42" s="567" t="str">
        <f t="shared" si="155"/>
        <v/>
      </c>
      <c r="GY42" s="567" t="str">
        <f t="shared" si="156"/>
        <v/>
      </c>
      <c r="GZ42" s="567" t="str">
        <f t="shared" si="157"/>
        <v/>
      </c>
      <c r="HA42" s="567" t="str">
        <f t="shared" si="158"/>
        <v/>
      </c>
      <c r="HB42" s="567" t="str">
        <f t="shared" si="159"/>
        <v/>
      </c>
      <c r="HC42" s="567" t="str">
        <f t="shared" si="160"/>
        <v/>
      </c>
      <c r="HD42" s="567" t="str">
        <f t="shared" si="161"/>
        <v/>
      </c>
      <c r="HE42" s="567" t="str">
        <f t="shared" si="162"/>
        <v/>
      </c>
      <c r="HF42" s="567" t="str">
        <f t="shared" si="163"/>
        <v/>
      </c>
      <c r="HG42" s="567" t="str">
        <f t="shared" si="164"/>
        <v/>
      </c>
      <c r="HH42" s="567" t="str">
        <f t="shared" si="165"/>
        <v/>
      </c>
      <c r="HI42" s="567" t="str">
        <f t="shared" si="166"/>
        <v/>
      </c>
      <c r="HJ42" s="567" t="str">
        <f t="shared" si="167"/>
        <v/>
      </c>
      <c r="HK42" s="567" t="str">
        <f t="shared" si="168"/>
        <v/>
      </c>
      <c r="HL42" s="567" t="str">
        <f t="shared" si="169"/>
        <v/>
      </c>
      <c r="HM42" s="567" t="str">
        <f t="shared" si="170"/>
        <v/>
      </c>
    </row>
    <row r="43" spans="1:221" ht="13.15" customHeight="1">
      <c r="A43" s="126" t="str">
        <f t="shared" si="171"/>
        <v/>
      </c>
      <c r="B43" s="1203" t="s">
        <v>1886</v>
      </c>
      <c r="C43" s="1204"/>
      <c r="D43" s="1205"/>
      <c r="E43" s="1206"/>
      <c r="F43" s="1206"/>
      <c r="G43" s="1206"/>
      <c r="H43" s="1206"/>
      <c r="I43" s="1206"/>
      <c r="J43" s="1207"/>
      <c r="K43" s="198">
        <f t="shared" si="205"/>
        <v>0</v>
      </c>
      <c r="L43" s="198">
        <f t="shared" si="0"/>
        <v>0</v>
      </c>
      <c r="M43" s="1099"/>
      <c r="N43" s="1099"/>
      <c r="O43" s="1099"/>
      <c r="P43" s="518" t="str">
        <f t="shared" si="203"/>
        <v/>
      </c>
      <c r="Q43" s="519" t="str">
        <f>IF(H43="","",P43/($P$6*VLOOKUP(C43,'DCA Underwriting Assumptions'!$J$82:$K$87,2,FALSE)))</f>
        <v/>
      </c>
      <c r="R43" s="607"/>
      <c r="S43" s="519"/>
      <c r="T43" s="1643"/>
      <c r="U43" s="1644"/>
      <c r="V43" s="567" t="str">
        <f t="shared" si="1"/>
        <v/>
      </c>
      <c r="W43" s="567" t="str">
        <f t="shared" si="2"/>
        <v/>
      </c>
      <c r="X43" s="567" t="str">
        <f t="shared" si="3"/>
        <v/>
      </c>
      <c r="Y43" s="567" t="str">
        <f t="shared" si="4"/>
        <v/>
      </c>
      <c r="Z43" s="567" t="str">
        <f t="shared" si="5"/>
        <v/>
      </c>
      <c r="AA43" s="567" t="str">
        <f t="shared" si="6"/>
        <v/>
      </c>
      <c r="AB43" s="567" t="str">
        <f t="shared" si="7"/>
        <v/>
      </c>
      <c r="AC43" s="567" t="str">
        <f t="shared" si="8"/>
        <v/>
      </c>
      <c r="AD43" s="567" t="str">
        <f t="shared" si="9"/>
        <v/>
      </c>
      <c r="AE43" s="567" t="str">
        <f t="shared" si="10"/>
        <v/>
      </c>
      <c r="AF43" s="567" t="str">
        <f t="shared" si="11"/>
        <v/>
      </c>
      <c r="AG43" s="567" t="str">
        <f t="shared" si="12"/>
        <v/>
      </c>
      <c r="AH43" s="567" t="str">
        <f t="shared" si="13"/>
        <v/>
      </c>
      <c r="AI43" s="567" t="str">
        <f t="shared" si="14"/>
        <v/>
      </c>
      <c r="AJ43" s="567" t="str">
        <f t="shared" si="15"/>
        <v/>
      </c>
      <c r="AK43" s="567" t="str">
        <f t="shared" si="16"/>
        <v/>
      </c>
      <c r="AL43" s="567" t="str">
        <f t="shared" si="17"/>
        <v/>
      </c>
      <c r="AM43" s="567" t="str">
        <f t="shared" si="18"/>
        <v/>
      </c>
      <c r="AN43" s="567" t="str">
        <f t="shared" si="19"/>
        <v/>
      </c>
      <c r="AO43" s="567" t="str">
        <f t="shared" si="20"/>
        <v/>
      </c>
      <c r="AP43" s="567" t="str">
        <f t="shared" si="173"/>
        <v/>
      </c>
      <c r="AQ43" s="567" t="str">
        <f t="shared" si="174"/>
        <v/>
      </c>
      <c r="AR43" s="567" t="str">
        <f t="shared" si="175"/>
        <v/>
      </c>
      <c r="AS43" s="567" t="str">
        <f t="shared" si="176"/>
        <v/>
      </c>
      <c r="AT43" s="567" t="str">
        <f t="shared" si="177"/>
        <v/>
      </c>
      <c r="AU43" s="567" t="str">
        <f t="shared" si="178"/>
        <v/>
      </c>
      <c r="AV43" s="567" t="str">
        <f t="shared" si="179"/>
        <v/>
      </c>
      <c r="AW43" s="567" t="str">
        <f t="shared" si="180"/>
        <v/>
      </c>
      <c r="AX43" s="567" t="str">
        <f t="shared" si="181"/>
        <v/>
      </c>
      <c r="AY43" s="567" t="str">
        <f t="shared" si="182"/>
        <v/>
      </c>
      <c r="AZ43" s="567" t="str">
        <f t="shared" si="183"/>
        <v/>
      </c>
      <c r="BA43" s="567" t="str">
        <f t="shared" si="184"/>
        <v/>
      </c>
      <c r="BB43" s="567" t="str">
        <f t="shared" si="185"/>
        <v/>
      </c>
      <c r="BC43" s="567" t="str">
        <f t="shared" si="186"/>
        <v/>
      </c>
      <c r="BD43" s="567" t="str">
        <f t="shared" si="187"/>
        <v/>
      </c>
      <c r="BE43" s="567" t="str">
        <f t="shared" si="188"/>
        <v/>
      </c>
      <c r="BF43" s="567" t="str">
        <f t="shared" si="189"/>
        <v/>
      </c>
      <c r="BG43" s="567" t="str">
        <f t="shared" si="190"/>
        <v/>
      </c>
      <c r="BH43" s="567" t="str">
        <f t="shared" si="191"/>
        <v/>
      </c>
      <c r="BI43" s="567" t="str">
        <f t="shared" si="192"/>
        <v/>
      </c>
      <c r="BJ43" s="567" t="str">
        <f t="shared" si="193"/>
        <v/>
      </c>
      <c r="BK43" s="567" t="str">
        <f t="shared" si="194"/>
        <v/>
      </c>
      <c r="BL43" s="567" t="str">
        <f t="shared" si="195"/>
        <v/>
      </c>
      <c r="BM43" s="567" t="str">
        <f t="shared" si="196"/>
        <v/>
      </c>
      <c r="BN43" s="567" t="str">
        <f t="shared" si="197"/>
        <v/>
      </c>
      <c r="BO43" s="567" t="str">
        <f t="shared" si="198"/>
        <v/>
      </c>
      <c r="BP43" s="567" t="str">
        <f t="shared" si="199"/>
        <v/>
      </c>
      <c r="BQ43" s="567" t="str">
        <f t="shared" si="200"/>
        <v/>
      </c>
      <c r="BR43" s="567" t="str">
        <f t="shared" si="201"/>
        <v/>
      </c>
      <c r="BS43" s="567" t="str">
        <f t="shared" si="202"/>
        <v/>
      </c>
      <c r="BT43" s="567" t="str">
        <f t="shared" si="21"/>
        <v/>
      </c>
      <c r="BU43" s="567" t="str">
        <f t="shared" si="22"/>
        <v/>
      </c>
      <c r="BV43" s="567" t="str">
        <f t="shared" si="23"/>
        <v/>
      </c>
      <c r="BW43" s="567" t="str">
        <f t="shared" si="24"/>
        <v/>
      </c>
      <c r="BX43" s="567" t="str">
        <f t="shared" si="25"/>
        <v/>
      </c>
      <c r="BY43" s="567" t="str">
        <f t="shared" si="26"/>
        <v/>
      </c>
      <c r="BZ43" s="567" t="str">
        <f t="shared" si="27"/>
        <v/>
      </c>
      <c r="CA43" s="567" t="str">
        <f t="shared" si="28"/>
        <v/>
      </c>
      <c r="CB43" s="567" t="str">
        <f t="shared" si="29"/>
        <v/>
      </c>
      <c r="CC43" s="567" t="str">
        <f t="shared" si="30"/>
        <v/>
      </c>
      <c r="CD43" s="567" t="str">
        <f t="shared" si="31"/>
        <v/>
      </c>
      <c r="CE43" s="567" t="str">
        <f t="shared" si="32"/>
        <v/>
      </c>
      <c r="CF43" s="567" t="str">
        <f t="shared" si="33"/>
        <v/>
      </c>
      <c r="CG43" s="567" t="str">
        <f t="shared" si="34"/>
        <v/>
      </c>
      <c r="CH43" s="567" t="str">
        <f t="shared" si="35"/>
        <v/>
      </c>
      <c r="CI43" s="567" t="str">
        <f t="shared" si="36"/>
        <v/>
      </c>
      <c r="CJ43" s="567" t="str">
        <f t="shared" si="37"/>
        <v/>
      </c>
      <c r="CK43" s="567" t="str">
        <f t="shared" si="38"/>
        <v/>
      </c>
      <c r="CL43" s="567" t="str">
        <f t="shared" si="39"/>
        <v/>
      </c>
      <c r="CM43" s="567" t="str">
        <f t="shared" si="40"/>
        <v/>
      </c>
      <c r="CN43" s="567" t="str">
        <f t="shared" si="41"/>
        <v/>
      </c>
      <c r="CO43" s="567" t="str">
        <f t="shared" si="42"/>
        <v/>
      </c>
      <c r="CP43" s="567" t="str">
        <f t="shared" si="43"/>
        <v/>
      </c>
      <c r="CQ43" s="567" t="str">
        <f t="shared" si="44"/>
        <v/>
      </c>
      <c r="CR43" s="567" t="str">
        <f t="shared" si="45"/>
        <v/>
      </c>
      <c r="CS43" s="567" t="str">
        <f t="shared" si="46"/>
        <v/>
      </c>
      <c r="CT43" s="567" t="str">
        <f t="shared" si="47"/>
        <v/>
      </c>
      <c r="CU43" s="567" t="str">
        <f t="shared" si="48"/>
        <v/>
      </c>
      <c r="CV43" s="567" t="str">
        <f t="shared" si="49"/>
        <v/>
      </c>
      <c r="CW43" s="567" t="str">
        <f t="shared" si="50"/>
        <v/>
      </c>
      <c r="CX43" s="567" t="str">
        <f t="shared" si="51"/>
        <v/>
      </c>
      <c r="CY43" s="567" t="str">
        <f t="shared" si="52"/>
        <v/>
      </c>
      <c r="CZ43" s="567" t="str">
        <f t="shared" si="53"/>
        <v/>
      </c>
      <c r="DA43" s="567" t="str">
        <f t="shared" si="54"/>
        <v/>
      </c>
      <c r="DB43" s="567" t="str">
        <f t="shared" si="55"/>
        <v/>
      </c>
      <c r="DC43" s="567" t="str">
        <f t="shared" si="56"/>
        <v/>
      </c>
      <c r="DD43" s="567" t="str">
        <f t="shared" si="57"/>
        <v/>
      </c>
      <c r="DE43" s="567" t="str">
        <f t="shared" si="58"/>
        <v/>
      </c>
      <c r="DF43" s="567" t="str">
        <f t="shared" si="59"/>
        <v/>
      </c>
      <c r="DG43" s="567" t="str">
        <f t="shared" si="60"/>
        <v/>
      </c>
      <c r="DH43" s="567" t="str">
        <f t="shared" si="61"/>
        <v/>
      </c>
      <c r="DI43" s="567" t="str">
        <f t="shared" si="62"/>
        <v/>
      </c>
      <c r="DJ43" s="567" t="str">
        <f t="shared" si="63"/>
        <v/>
      </c>
      <c r="DK43" s="567" t="str">
        <f t="shared" si="64"/>
        <v/>
      </c>
      <c r="DL43" s="567" t="str">
        <f t="shared" si="65"/>
        <v/>
      </c>
      <c r="DM43" s="567" t="str">
        <f t="shared" si="66"/>
        <v/>
      </c>
      <c r="DN43" s="567" t="str">
        <f t="shared" si="67"/>
        <v/>
      </c>
      <c r="DO43" s="567" t="str">
        <f t="shared" si="68"/>
        <v/>
      </c>
      <c r="DP43" s="567" t="str">
        <f t="shared" si="69"/>
        <v/>
      </c>
      <c r="DQ43" s="567" t="str">
        <f t="shared" si="70"/>
        <v/>
      </c>
      <c r="DR43" s="567" t="str">
        <f t="shared" si="71"/>
        <v/>
      </c>
      <c r="DS43" s="567" t="str">
        <f t="shared" si="72"/>
        <v/>
      </c>
      <c r="DT43" s="567" t="str">
        <f t="shared" si="73"/>
        <v/>
      </c>
      <c r="DU43" s="567" t="str">
        <f t="shared" si="74"/>
        <v/>
      </c>
      <c r="DV43" s="567" t="str">
        <f t="shared" si="75"/>
        <v/>
      </c>
      <c r="DW43" s="567" t="str">
        <f t="shared" si="76"/>
        <v/>
      </c>
      <c r="DX43" s="567" t="str">
        <f t="shared" si="77"/>
        <v/>
      </c>
      <c r="DY43" s="567" t="str">
        <f t="shared" si="78"/>
        <v/>
      </c>
      <c r="DZ43" s="567" t="str">
        <f t="shared" si="79"/>
        <v/>
      </c>
      <c r="EA43" s="567" t="str">
        <f t="shared" si="80"/>
        <v/>
      </c>
      <c r="EB43" s="567" t="str">
        <f t="shared" si="81"/>
        <v/>
      </c>
      <c r="EC43" s="567" t="str">
        <f t="shared" si="82"/>
        <v/>
      </c>
      <c r="ED43" s="567" t="str">
        <f t="shared" si="83"/>
        <v/>
      </c>
      <c r="EE43" s="567" t="str">
        <f t="shared" si="84"/>
        <v/>
      </c>
      <c r="EF43" s="567" t="str">
        <f t="shared" si="85"/>
        <v/>
      </c>
      <c r="EG43" s="567" t="str">
        <f t="shared" si="86"/>
        <v/>
      </c>
      <c r="EH43" s="567" t="str">
        <f t="shared" si="87"/>
        <v/>
      </c>
      <c r="EI43" s="567" t="str">
        <f t="shared" si="88"/>
        <v/>
      </c>
      <c r="EJ43" s="567" t="str">
        <f t="shared" si="89"/>
        <v/>
      </c>
      <c r="EK43" s="567" t="str">
        <f t="shared" si="90"/>
        <v/>
      </c>
      <c r="EL43" s="567" t="str">
        <f t="shared" si="91"/>
        <v/>
      </c>
      <c r="EM43" s="567" t="str">
        <f t="shared" si="92"/>
        <v/>
      </c>
      <c r="EN43" s="567" t="str">
        <f t="shared" si="93"/>
        <v/>
      </c>
      <c r="EO43" s="567" t="str">
        <f t="shared" si="94"/>
        <v/>
      </c>
      <c r="EP43" s="567" t="str">
        <f t="shared" si="95"/>
        <v/>
      </c>
      <c r="EQ43" s="567" t="str">
        <f t="shared" si="96"/>
        <v/>
      </c>
      <c r="ER43" s="567" t="str">
        <f t="shared" si="97"/>
        <v/>
      </c>
      <c r="ES43" s="567" t="str">
        <f t="shared" si="98"/>
        <v/>
      </c>
      <c r="ET43" s="567" t="str">
        <f t="shared" si="99"/>
        <v/>
      </c>
      <c r="EU43" s="567" t="str">
        <f t="shared" si="100"/>
        <v/>
      </c>
      <c r="EV43" s="577" t="str">
        <f t="shared" si="101"/>
        <v/>
      </c>
      <c r="EW43" s="577" t="str">
        <f t="shared" si="102"/>
        <v/>
      </c>
      <c r="EX43" s="577" t="str">
        <f t="shared" si="103"/>
        <v/>
      </c>
      <c r="EY43" s="577" t="str">
        <f t="shared" si="104"/>
        <v/>
      </c>
      <c r="EZ43" s="577" t="str">
        <f t="shared" si="105"/>
        <v/>
      </c>
      <c r="FA43" s="577" t="str">
        <f t="shared" si="106"/>
        <v/>
      </c>
      <c r="FB43" s="577" t="str">
        <f t="shared" si="107"/>
        <v/>
      </c>
      <c r="FC43" s="577" t="str">
        <f t="shared" si="108"/>
        <v/>
      </c>
      <c r="FD43" s="577" t="str">
        <f t="shared" si="109"/>
        <v/>
      </c>
      <c r="FE43" s="577" t="str">
        <f t="shared" si="110"/>
        <v/>
      </c>
      <c r="FF43" s="577" t="str">
        <f t="shared" si="111"/>
        <v/>
      </c>
      <c r="FG43" s="577" t="str">
        <f t="shared" si="112"/>
        <v/>
      </c>
      <c r="FH43" s="577" t="str">
        <f t="shared" si="113"/>
        <v/>
      </c>
      <c r="FI43" s="577" t="str">
        <f t="shared" si="114"/>
        <v/>
      </c>
      <c r="FJ43" s="577" t="str">
        <f t="shared" si="115"/>
        <v/>
      </c>
      <c r="FK43" s="577" t="str">
        <f t="shared" si="116"/>
        <v/>
      </c>
      <c r="FL43" s="577" t="str">
        <f t="shared" si="117"/>
        <v/>
      </c>
      <c r="FM43" s="577" t="str">
        <f t="shared" si="118"/>
        <v/>
      </c>
      <c r="FN43" s="577" t="str">
        <f t="shared" si="119"/>
        <v/>
      </c>
      <c r="FO43" s="577" t="str">
        <f t="shared" si="120"/>
        <v/>
      </c>
      <c r="FP43" s="577" t="str">
        <f t="shared" si="121"/>
        <v/>
      </c>
      <c r="FQ43" s="577" t="str">
        <f t="shared" si="122"/>
        <v/>
      </c>
      <c r="FR43" s="577" t="str">
        <f t="shared" si="123"/>
        <v/>
      </c>
      <c r="FS43" s="577" t="str">
        <f t="shared" si="124"/>
        <v/>
      </c>
      <c r="FT43" s="577" t="str">
        <f t="shared" si="125"/>
        <v/>
      </c>
      <c r="FU43" s="577" t="str">
        <f t="shared" si="126"/>
        <v/>
      </c>
      <c r="FV43" s="577" t="str">
        <f t="shared" si="127"/>
        <v/>
      </c>
      <c r="FW43" s="577" t="str">
        <f t="shared" si="128"/>
        <v/>
      </c>
      <c r="FX43" s="577" t="str">
        <f t="shared" si="129"/>
        <v/>
      </c>
      <c r="FY43" s="577" t="str">
        <f t="shared" si="130"/>
        <v/>
      </c>
      <c r="FZ43" s="577" t="str">
        <f t="shared" si="131"/>
        <v/>
      </c>
      <c r="GA43" s="577" t="str">
        <f t="shared" si="132"/>
        <v/>
      </c>
      <c r="GB43" s="577" t="str">
        <f t="shared" si="133"/>
        <v/>
      </c>
      <c r="GC43" s="577" t="str">
        <f t="shared" si="134"/>
        <v/>
      </c>
      <c r="GD43" s="577" t="str">
        <f t="shared" si="135"/>
        <v/>
      </c>
      <c r="GE43" s="577" t="str">
        <f t="shared" si="136"/>
        <v/>
      </c>
      <c r="GF43" s="577" t="str">
        <f t="shared" si="137"/>
        <v/>
      </c>
      <c r="GG43" s="577" t="str">
        <f t="shared" si="138"/>
        <v/>
      </c>
      <c r="GH43" s="577" t="str">
        <f t="shared" si="139"/>
        <v/>
      </c>
      <c r="GI43" s="577" t="str">
        <f t="shared" si="140"/>
        <v/>
      </c>
      <c r="GJ43" s="577" t="str">
        <f t="shared" si="141"/>
        <v/>
      </c>
      <c r="GK43" s="577" t="str">
        <f t="shared" si="142"/>
        <v/>
      </c>
      <c r="GL43" s="577" t="str">
        <f t="shared" si="143"/>
        <v/>
      </c>
      <c r="GM43" s="577" t="str">
        <f t="shared" si="144"/>
        <v/>
      </c>
      <c r="GN43" s="577" t="str">
        <f t="shared" si="145"/>
        <v/>
      </c>
      <c r="GO43" s="578" t="str">
        <f t="shared" si="146"/>
        <v/>
      </c>
      <c r="GP43" s="578" t="str">
        <f t="shared" si="147"/>
        <v/>
      </c>
      <c r="GQ43" s="578" t="str">
        <f t="shared" si="148"/>
        <v/>
      </c>
      <c r="GR43" s="578" t="str">
        <f t="shared" si="149"/>
        <v/>
      </c>
      <c r="GS43" s="578" t="str">
        <f t="shared" si="150"/>
        <v/>
      </c>
      <c r="GT43" s="567" t="str">
        <f t="shared" si="151"/>
        <v/>
      </c>
      <c r="GU43" s="567" t="str">
        <f t="shared" si="152"/>
        <v/>
      </c>
      <c r="GV43" s="567" t="str">
        <f t="shared" si="153"/>
        <v/>
      </c>
      <c r="GW43" s="567" t="str">
        <f t="shared" si="154"/>
        <v/>
      </c>
      <c r="GX43" s="567" t="str">
        <f t="shared" si="155"/>
        <v/>
      </c>
      <c r="GY43" s="567" t="str">
        <f t="shared" si="156"/>
        <v/>
      </c>
      <c r="GZ43" s="567" t="str">
        <f t="shared" si="157"/>
        <v/>
      </c>
      <c r="HA43" s="567" t="str">
        <f t="shared" si="158"/>
        <v/>
      </c>
      <c r="HB43" s="567" t="str">
        <f t="shared" si="159"/>
        <v/>
      </c>
      <c r="HC43" s="567" t="str">
        <f t="shared" si="160"/>
        <v/>
      </c>
      <c r="HD43" s="567" t="str">
        <f t="shared" si="161"/>
        <v/>
      </c>
      <c r="HE43" s="567" t="str">
        <f t="shared" si="162"/>
        <v/>
      </c>
      <c r="HF43" s="567" t="str">
        <f t="shared" si="163"/>
        <v/>
      </c>
      <c r="HG43" s="567" t="str">
        <f t="shared" si="164"/>
        <v/>
      </c>
      <c r="HH43" s="567" t="str">
        <f t="shared" si="165"/>
        <v/>
      </c>
      <c r="HI43" s="567" t="str">
        <f t="shared" si="166"/>
        <v/>
      </c>
      <c r="HJ43" s="567" t="str">
        <f t="shared" si="167"/>
        <v/>
      </c>
      <c r="HK43" s="567" t="str">
        <f t="shared" si="168"/>
        <v/>
      </c>
      <c r="HL43" s="567" t="str">
        <f t="shared" si="169"/>
        <v/>
      </c>
      <c r="HM43" s="567" t="str">
        <f t="shared" si="170"/>
        <v/>
      </c>
    </row>
    <row r="44" spans="1:221" ht="13.15" customHeight="1">
      <c r="A44" s="126" t="str">
        <f t="shared" si="171"/>
        <v/>
      </c>
      <c r="B44" s="1203" t="s">
        <v>1886</v>
      </c>
      <c r="C44" s="1204"/>
      <c r="D44" s="1205"/>
      <c r="E44" s="1206"/>
      <c r="F44" s="1206"/>
      <c r="G44" s="1206"/>
      <c r="H44" s="1206"/>
      <c r="I44" s="1206"/>
      <c r="J44" s="1207"/>
      <c r="K44" s="198">
        <f t="shared" si="205"/>
        <v>0</v>
      </c>
      <c r="L44" s="198">
        <f t="shared" si="0"/>
        <v>0</v>
      </c>
      <c r="M44" s="1099"/>
      <c r="N44" s="1099"/>
      <c r="O44" s="1099"/>
      <c r="P44" s="518" t="str">
        <f t="shared" si="203"/>
        <v/>
      </c>
      <c r="Q44" s="519" t="str">
        <f>IF(H44="","",P44/($P$6*VLOOKUP(C44,'DCA Underwriting Assumptions'!$J$82:$K$87,2,FALSE)))</f>
        <v/>
      </c>
      <c r="R44" s="607"/>
      <c r="S44" s="519"/>
      <c r="T44" s="1643"/>
      <c r="U44" s="1644"/>
      <c r="V44" s="567" t="str">
        <f t="shared" si="1"/>
        <v/>
      </c>
      <c r="W44" s="567" t="str">
        <f t="shared" si="2"/>
        <v/>
      </c>
      <c r="X44" s="567" t="str">
        <f t="shared" si="3"/>
        <v/>
      </c>
      <c r="Y44" s="567" t="str">
        <f t="shared" si="4"/>
        <v/>
      </c>
      <c r="Z44" s="567" t="str">
        <f t="shared" si="5"/>
        <v/>
      </c>
      <c r="AA44" s="567" t="str">
        <f t="shared" si="6"/>
        <v/>
      </c>
      <c r="AB44" s="567" t="str">
        <f t="shared" si="7"/>
        <v/>
      </c>
      <c r="AC44" s="567" t="str">
        <f t="shared" si="8"/>
        <v/>
      </c>
      <c r="AD44" s="567" t="str">
        <f t="shared" si="9"/>
        <v/>
      </c>
      <c r="AE44" s="567" t="str">
        <f t="shared" si="10"/>
        <v/>
      </c>
      <c r="AF44" s="567" t="str">
        <f t="shared" si="11"/>
        <v/>
      </c>
      <c r="AG44" s="567" t="str">
        <f t="shared" si="12"/>
        <v/>
      </c>
      <c r="AH44" s="567" t="str">
        <f t="shared" si="13"/>
        <v/>
      </c>
      <c r="AI44" s="567" t="str">
        <f t="shared" si="14"/>
        <v/>
      </c>
      <c r="AJ44" s="567" t="str">
        <f t="shared" si="15"/>
        <v/>
      </c>
      <c r="AK44" s="567" t="str">
        <f t="shared" si="16"/>
        <v/>
      </c>
      <c r="AL44" s="567" t="str">
        <f t="shared" si="17"/>
        <v/>
      </c>
      <c r="AM44" s="567" t="str">
        <f t="shared" si="18"/>
        <v/>
      </c>
      <c r="AN44" s="567" t="str">
        <f t="shared" si="19"/>
        <v/>
      </c>
      <c r="AO44" s="567" t="str">
        <f t="shared" si="20"/>
        <v/>
      </c>
      <c r="AP44" s="567" t="str">
        <f t="shared" si="173"/>
        <v/>
      </c>
      <c r="AQ44" s="567" t="str">
        <f t="shared" si="174"/>
        <v/>
      </c>
      <c r="AR44" s="567" t="str">
        <f t="shared" si="175"/>
        <v/>
      </c>
      <c r="AS44" s="567" t="str">
        <f t="shared" si="176"/>
        <v/>
      </c>
      <c r="AT44" s="567" t="str">
        <f t="shared" si="177"/>
        <v/>
      </c>
      <c r="AU44" s="567" t="str">
        <f t="shared" si="178"/>
        <v/>
      </c>
      <c r="AV44" s="567" t="str">
        <f t="shared" si="179"/>
        <v/>
      </c>
      <c r="AW44" s="567" t="str">
        <f t="shared" si="180"/>
        <v/>
      </c>
      <c r="AX44" s="567" t="str">
        <f t="shared" si="181"/>
        <v/>
      </c>
      <c r="AY44" s="567" t="str">
        <f t="shared" si="182"/>
        <v/>
      </c>
      <c r="AZ44" s="567" t="str">
        <f t="shared" si="183"/>
        <v/>
      </c>
      <c r="BA44" s="567" t="str">
        <f t="shared" si="184"/>
        <v/>
      </c>
      <c r="BB44" s="567" t="str">
        <f t="shared" si="185"/>
        <v/>
      </c>
      <c r="BC44" s="567" t="str">
        <f t="shared" si="186"/>
        <v/>
      </c>
      <c r="BD44" s="567" t="str">
        <f t="shared" si="187"/>
        <v/>
      </c>
      <c r="BE44" s="567" t="str">
        <f t="shared" si="188"/>
        <v/>
      </c>
      <c r="BF44" s="567" t="str">
        <f t="shared" si="189"/>
        <v/>
      </c>
      <c r="BG44" s="567" t="str">
        <f t="shared" si="190"/>
        <v/>
      </c>
      <c r="BH44" s="567" t="str">
        <f t="shared" si="191"/>
        <v/>
      </c>
      <c r="BI44" s="567" t="str">
        <f t="shared" si="192"/>
        <v/>
      </c>
      <c r="BJ44" s="567" t="str">
        <f t="shared" si="193"/>
        <v/>
      </c>
      <c r="BK44" s="567" t="str">
        <f t="shared" si="194"/>
        <v/>
      </c>
      <c r="BL44" s="567" t="str">
        <f t="shared" si="195"/>
        <v/>
      </c>
      <c r="BM44" s="567" t="str">
        <f t="shared" si="196"/>
        <v/>
      </c>
      <c r="BN44" s="567" t="str">
        <f t="shared" si="197"/>
        <v/>
      </c>
      <c r="BO44" s="567" t="str">
        <f t="shared" si="198"/>
        <v/>
      </c>
      <c r="BP44" s="567" t="str">
        <f t="shared" si="199"/>
        <v/>
      </c>
      <c r="BQ44" s="567" t="str">
        <f t="shared" si="200"/>
        <v/>
      </c>
      <c r="BR44" s="567" t="str">
        <f t="shared" si="201"/>
        <v/>
      </c>
      <c r="BS44" s="567" t="str">
        <f t="shared" si="202"/>
        <v/>
      </c>
      <c r="BT44" s="567" t="str">
        <f t="shared" si="21"/>
        <v/>
      </c>
      <c r="BU44" s="567" t="str">
        <f t="shared" si="22"/>
        <v/>
      </c>
      <c r="BV44" s="567" t="str">
        <f t="shared" si="23"/>
        <v/>
      </c>
      <c r="BW44" s="567" t="str">
        <f t="shared" si="24"/>
        <v/>
      </c>
      <c r="BX44" s="567" t="str">
        <f t="shared" si="25"/>
        <v/>
      </c>
      <c r="BY44" s="567" t="str">
        <f t="shared" si="26"/>
        <v/>
      </c>
      <c r="BZ44" s="567" t="str">
        <f t="shared" si="27"/>
        <v/>
      </c>
      <c r="CA44" s="567" t="str">
        <f t="shared" si="28"/>
        <v/>
      </c>
      <c r="CB44" s="567" t="str">
        <f t="shared" si="29"/>
        <v/>
      </c>
      <c r="CC44" s="567" t="str">
        <f t="shared" si="30"/>
        <v/>
      </c>
      <c r="CD44" s="567" t="str">
        <f t="shared" si="31"/>
        <v/>
      </c>
      <c r="CE44" s="567" t="str">
        <f t="shared" si="32"/>
        <v/>
      </c>
      <c r="CF44" s="567" t="str">
        <f t="shared" si="33"/>
        <v/>
      </c>
      <c r="CG44" s="567" t="str">
        <f t="shared" si="34"/>
        <v/>
      </c>
      <c r="CH44" s="567" t="str">
        <f t="shared" si="35"/>
        <v/>
      </c>
      <c r="CI44" s="567" t="str">
        <f t="shared" si="36"/>
        <v/>
      </c>
      <c r="CJ44" s="567" t="str">
        <f t="shared" si="37"/>
        <v/>
      </c>
      <c r="CK44" s="567" t="str">
        <f t="shared" si="38"/>
        <v/>
      </c>
      <c r="CL44" s="567" t="str">
        <f t="shared" si="39"/>
        <v/>
      </c>
      <c r="CM44" s="567" t="str">
        <f t="shared" si="40"/>
        <v/>
      </c>
      <c r="CN44" s="567" t="str">
        <f t="shared" si="41"/>
        <v/>
      </c>
      <c r="CO44" s="567" t="str">
        <f t="shared" si="42"/>
        <v/>
      </c>
      <c r="CP44" s="567" t="str">
        <f t="shared" si="43"/>
        <v/>
      </c>
      <c r="CQ44" s="567" t="str">
        <f t="shared" si="44"/>
        <v/>
      </c>
      <c r="CR44" s="567" t="str">
        <f t="shared" si="45"/>
        <v/>
      </c>
      <c r="CS44" s="567" t="str">
        <f t="shared" si="46"/>
        <v/>
      </c>
      <c r="CT44" s="567" t="str">
        <f t="shared" si="47"/>
        <v/>
      </c>
      <c r="CU44" s="567" t="str">
        <f t="shared" si="48"/>
        <v/>
      </c>
      <c r="CV44" s="567" t="str">
        <f t="shared" si="49"/>
        <v/>
      </c>
      <c r="CW44" s="567" t="str">
        <f t="shared" si="50"/>
        <v/>
      </c>
      <c r="CX44" s="567" t="str">
        <f t="shared" si="51"/>
        <v/>
      </c>
      <c r="CY44" s="567" t="str">
        <f t="shared" si="52"/>
        <v/>
      </c>
      <c r="CZ44" s="567" t="str">
        <f t="shared" si="53"/>
        <v/>
      </c>
      <c r="DA44" s="567" t="str">
        <f t="shared" si="54"/>
        <v/>
      </c>
      <c r="DB44" s="567" t="str">
        <f t="shared" si="55"/>
        <v/>
      </c>
      <c r="DC44" s="567" t="str">
        <f t="shared" si="56"/>
        <v/>
      </c>
      <c r="DD44" s="567" t="str">
        <f t="shared" si="57"/>
        <v/>
      </c>
      <c r="DE44" s="567" t="str">
        <f t="shared" si="58"/>
        <v/>
      </c>
      <c r="DF44" s="567" t="str">
        <f t="shared" si="59"/>
        <v/>
      </c>
      <c r="DG44" s="567" t="str">
        <f t="shared" si="60"/>
        <v/>
      </c>
      <c r="DH44" s="567" t="str">
        <f t="shared" si="61"/>
        <v/>
      </c>
      <c r="DI44" s="567" t="str">
        <f t="shared" si="62"/>
        <v/>
      </c>
      <c r="DJ44" s="567" t="str">
        <f t="shared" si="63"/>
        <v/>
      </c>
      <c r="DK44" s="567" t="str">
        <f t="shared" si="64"/>
        <v/>
      </c>
      <c r="DL44" s="567" t="str">
        <f t="shared" si="65"/>
        <v/>
      </c>
      <c r="DM44" s="567" t="str">
        <f t="shared" si="66"/>
        <v/>
      </c>
      <c r="DN44" s="567" t="str">
        <f t="shared" si="67"/>
        <v/>
      </c>
      <c r="DO44" s="567" t="str">
        <f t="shared" si="68"/>
        <v/>
      </c>
      <c r="DP44" s="567" t="str">
        <f t="shared" si="69"/>
        <v/>
      </c>
      <c r="DQ44" s="567" t="str">
        <f t="shared" si="70"/>
        <v/>
      </c>
      <c r="DR44" s="567" t="str">
        <f t="shared" si="71"/>
        <v/>
      </c>
      <c r="DS44" s="567" t="str">
        <f t="shared" si="72"/>
        <v/>
      </c>
      <c r="DT44" s="567" t="str">
        <f t="shared" si="73"/>
        <v/>
      </c>
      <c r="DU44" s="567" t="str">
        <f t="shared" si="74"/>
        <v/>
      </c>
      <c r="DV44" s="567" t="str">
        <f t="shared" si="75"/>
        <v/>
      </c>
      <c r="DW44" s="567" t="str">
        <f t="shared" si="76"/>
        <v/>
      </c>
      <c r="DX44" s="567" t="str">
        <f t="shared" si="77"/>
        <v/>
      </c>
      <c r="DY44" s="567" t="str">
        <f t="shared" si="78"/>
        <v/>
      </c>
      <c r="DZ44" s="567" t="str">
        <f t="shared" si="79"/>
        <v/>
      </c>
      <c r="EA44" s="567" t="str">
        <f t="shared" si="80"/>
        <v/>
      </c>
      <c r="EB44" s="567" t="str">
        <f t="shared" si="81"/>
        <v/>
      </c>
      <c r="EC44" s="567" t="str">
        <f t="shared" si="82"/>
        <v/>
      </c>
      <c r="ED44" s="567" t="str">
        <f t="shared" si="83"/>
        <v/>
      </c>
      <c r="EE44" s="567" t="str">
        <f t="shared" si="84"/>
        <v/>
      </c>
      <c r="EF44" s="567" t="str">
        <f t="shared" si="85"/>
        <v/>
      </c>
      <c r="EG44" s="567" t="str">
        <f t="shared" si="86"/>
        <v/>
      </c>
      <c r="EH44" s="567" t="str">
        <f t="shared" si="87"/>
        <v/>
      </c>
      <c r="EI44" s="567" t="str">
        <f t="shared" si="88"/>
        <v/>
      </c>
      <c r="EJ44" s="567" t="str">
        <f t="shared" si="89"/>
        <v/>
      </c>
      <c r="EK44" s="567" t="str">
        <f t="shared" si="90"/>
        <v/>
      </c>
      <c r="EL44" s="567" t="str">
        <f t="shared" si="91"/>
        <v/>
      </c>
      <c r="EM44" s="567" t="str">
        <f t="shared" si="92"/>
        <v/>
      </c>
      <c r="EN44" s="567" t="str">
        <f t="shared" si="93"/>
        <v/>
      </c>
      <c r="EO44" s="567" t="str">
        <f t="shared" si="94"/>
        <v/>
      </c>
      <c r="EP44" s="567" t="str">
        <f t="shared" si="95"/>
        <v/>
      </c>
      <c r="EQ44" s="567" t="str">
        <f t="shared" si="96"/>
        <v/>
      </c>
      <c r="ER44" s="567" t="str">
        <f t="shared" si="97"/>
        <v/>
      </c>
      <c r="ES44" s="567" t="str">
        <f t="shared" si="98"/>
        <v/>
      </c>
      <c r="ET44" s="567" t="str">
        <f t="shared" si="99"/>
        <v/>
      </c>
      <c r="EU44" s="567" t="str">
        <f t="shared" si="100"/>
        <v/>
      </c>
      <c r="EV44" s="577" t="str">
        <f t="shared" si="101"/>
        <v/>
      </c>
      <c r="EW44" s="577" t="str">
        <f t="shared" si="102"/>
        <v/>
      </c>
      <c r="EX44" s="577" t="str">
        <f t="shared" si="103"/>
        <v/>
      </c>
      <c r="EY44" s="577" t="str">
        <f t="shared" si="104"/>
        <v/>
      </c>
      <c r="EZ44" s="577" t="str">
        <f t="shared" si="105"/>
        <v/>
      </c>
      <c r="FA44" s="577" t="str">
        <f t="shared" si="106"/>
        <v/>
      </c>
      <c r="FB44" s="577" t="str">
        <f t="shared" si="107"/>
        <v/>
      </c>
      <c r="FC44" s="577" t="str">
        <f t="shared" si="108"/>
        <v/>
      </c>
      <c r="FD44" s="577" t="str">
        <f t="shared" si="109"/>
        <v/>
      </c>
      <c r="FE44" s="577" t="str">
        <f t="shared" si="110"/>
        <v/>
      </c>
      <c r="FF44" s="577" t="str">
        <f t="shared" si="111"/>
        <v/>
      </c>
      <c r="FG44" s="577" t="str">
        <f t="shared" si="112"/>
        <v/>
      </c>
      <c r="FH44" s="577" t="str">
        <f t="shared" si="113"/>
        <v/>
      </c>
      <c r="FI44" s="577" t="str">
        <f t="shared" si="114"/>
        <v/>
      </c>
      <c r="FJ44" s="577" t="str">
        <f t="shared" si="115"/>
        <v/>
      </c>
      <c r="FK44" s="577" t="str">
        <f t="shared" si="116"/>
        <v/>
      </c>
      <c r="FL44" s="577" t="str">
        <f t="shared" si="117"/>
        <v/>
      </c>
      <c r="FM44" s="577" t="str">
        <f t="shared" si="118"/>
        <v/>
      </c>
      <c r="FN44" s="577" t="str">
        <f t="shared" si="119"/>
        <v/>
      </c>
      <c r="FO44" s="577" t="str">
        <f t="shared" si="120"/>
        <v/>
      </c>
      <c r="FP44" s="577" t="str">
        <f t="shared" si="121"/>
        <v/>
      </c>
      <c r="FQ44" s="577" t="str">
        <f t="shared" si="122"/>
        <v/>
      </c>
      <c r="FR44" s="577" t="str">
        <f t="shared" si="123"/>
        <v/>
      </c>
      <c r="FS44" s="577" t="str">
        <f t="shared" si="124"/>
        <v/>
      </c>
      <c r="FT44" s="577" t="str">
        <f t="shared" si="125"/>
        <v/>
      </c>
      <c r="FU44" s="577" t="str">
        <f t="shared" si="126"/>
        <v/>
      </c>
      <c r="FV44" s="577" t="str">
        <f t="shared" si="127"/>
        <v/>
      </c>
      <c r="FW44" s="577" t="str">
        <f t="shared" si="128"/>
        <v/>
      </c>
      <c r="FX44" s="577" t="str">
        <f t="shared" si="129"/>
        <v/>
      </c>
      <c r="FY44" s="577" t="str">
        <f t="shared" si="130"/>
        <v/>
      </c>
      <c r="FZ44" s="577" t="str">
        <f t="shared" si="131"/>
        <v/>
      </c>
      <c r="GA44" s="577" t="str">
        <f t="shared" si="132"/>
        <v/>
      </c>
      <c r="GB44" s="577" t="str">
        <f t="shared" si="133"/>
        <v/>
      </c>
      <c r="GC44" s="577" t="str">
        <f t="shared" si="134"/>
        <v/>
      </c>
      <c r="GD44" s="577" t="str">
        <f t="shared" si="135"/>
        <v/>
      </c>
      <c r="GE44" s="577" t="str">
        <f t="shared" si="136"/>
        <v/>
      </c>
      <c r="GF44" s="577" t="str">
        <f t="shared" si="137"/>
        <v/>
      </c>
      <c r="GG44" s="577" t="str">
        <f t="shared" si="138"/>
        <v/>
      </c>
      <c r="GH44" s="577" t="str">
        <f t="shared" si="139"/>
        <v/>
      </c>
      <c r="GI44" s="577" t="str">
        <f t="shared" si="140"/>
        <v/>
      </c>
      <c r="GJ44" s="577" t="str">
        <f t="shared" si="141"/>
        <v/>
      </c>
      <c r="GK44" s="577" t="str">
        <f t="shared" si="142"/>
        <v/>
      </c>
      <c r="GL44" s="577" t="str">
        <f t="shared" si="143"/>
        <v/>
      </c>
      <c r="GM44" s="577" t="str">
        <f t="shared" si="144"/>
        <v/>
      </c>
      <c r="GN44" s="577" t="str">
        <f t="shared" si="145"/>
        <v/>
      </c>
      <c r="GO44" s="578" t="str">
        <f t="shared" si="146"/>
        <v/>
      </c>
      <c r="GP44" s="578" t="str">
        <f t="shared" si="147"/>
        <v/>
      </c>
      <c r="GQ44" s="578" t="str">
        <f t="shared" si="148"/>
        <v/>
      </c>
      <c r="GR44" s="578" t="str">
        <f t="shared" si="149"/>
        <v/>
      </c>
      <c r="GS44" s="578" t="str">
        <f t="shared" si="150"/>
        <v/>
      </c>
      <c r="GT44" s="567" t="str">
        <f t="shared" si="151"/>
        <v/>
      </c>
      <c r="GU44" s="567" t="str">
        <f t="shared" si="152"/>
        <v/>
      </c>
      <c r="GV44" s="567" t="str">
        <f t="shared" si="153"/>
        <v/>
      </c>
      <c r="GW44" s="567" t="str">
        <f t="shared" si="154"/>
        <v/>
      </c>
      <c r="GX44" s="567" t="str">
        <f t="shared" si="155"/>
        <v/>
      </c>
      <c r="GY44" s="567" t="str">
        <f t="shared" si="156"/>
        <v/>
      </c>
      <c r="GZ44" s="567" t="str">
        <f t="shared" si="157"/>
        <v/>
      </c>
      <c r="HA44" s="567" t="str">
        <f t="shared" si="158"/>
        <v/>
      </c>
      <c r="HB44" s="567" t="str">
        <f t="shared" si="159"/>
        <v/>
      </c>
      <c r="HC44" s="567" t="str">
        <f t="shared" si="160"/>
        <v/>
      </c>
      <c r="HD44" s="567" t="str">
        <f t="shared" si="161"/>
        <v/>
      </c>
      <c r="HE44" s="567" t="str">
        <f t="shared" si="162"/>
        <v/>
      </c>
      <c r="HF44" s="567" t="str">
        <f t="shared" si="163"/>
        <v/>
      </c>
      <c r="HG44" s="567" t="str">
        <f t="shared" si="164"/>
        <v/>
      </c>
      <c r="HH44" s="567" t="str">
        <f t="shared" si="165"/>
        <v/>
      </c>
      <c r="HI44" s="567" t="str">
        <f t="shared" si="166"/>
        <v/>
      </c>
      <c r="HJ44" s="567" t="str">
        <f t="shared" si="167"/>
        <v/>
      </c>
      <c r="HK44" s="567" t="str">
        <f t="shared" si="168"/>
        <v/>
      </c>
      <c r="HL44" s="567" t="str">
        <f t="shared" si="169"/>
        <v/>
      </c>
      <c r="HM44" s="567" t="str">
        <f t="shared" si="170"/>
        <v/>
      </c>
    </row>
    <row r="45" spans="1:221" ht="13.15" customHeight="1">
      <c r="A45" s="126" t="str">
        <f t="shared" si="171"/>
        <v/>
      </c>
      <c r="B45" s="1203" t="s">
        <v>1886</v>
      </c>
      <c r="C45" s="1204"/>
      <c r="D45" s="1205"/>
      <c r="E45" s="1206"/>
      <c r="F45" s="1206"/>
      <c r="G45" s="1206"/>
      <c r="H45" s="1206"/>
      <c r="I45" s="1206"/>
      <c r="J45" s="1207"/>
      <c r="K45" s="198">
        <f t="shared" si="205"/>
        <v>0</v>
      </c>
      <c r="L45" s="198">
        <f t="shared" si="0"/>
        <v>0</v>
      </c>
      <c r="M45" s="1099"/>
      <c r="N45" s="1099"/>
      <c r="O45" s="1099"/>
      <c r="P45" s="518" t="str">
        <f t="shared" si="203"/>
        <v/>
      </c>
      <c r="Q45" s="519" t="str">
        <f>IF(H45="","",P45/($P$6*VLOOKUP(C45,'DCA Underwriting Assumptions'!$J$82:$K$87,2,FALSE)))</f>
        <v/>
      </c>
      <c r="R45" s="607"/>
      <c r="S45" s="519"/>
      <c r="T45" s="1643"/>
      <c r="U45" s="1644"/>
      <c r="V45" s="567" t="str">
        <f t="shared" si="1"/>
        <v/>
      </c>
      <c r="W45" s="567" t="str">
        <f t="shared" si="2"/>
        <v/>
      </c>
      <c r="X45" s="567" t="str">
        <f t="shared" si="3"/>
        <v/>
      </c>
      <c r="Y45" s="567" t="str">
        <f t="shared" si="4"/>
        <v/>
      </c>
      <c r="Z45" s="567" t="str">
        <f t="shared" si="5"/>
        <v/>
      </c>
      <c r="AA45" s="567" t="str">
        <f t="shared" si="6"/>
        <v/>
      </c>
      <c r="AB45" s="567" t="str">
        <f t="shared" si="7"/>
        <v/>
      </c>
      <c r="AC45" s="567" t="str">
        <f t="shared" si="8"/>
        <v/>
      </c>
      <c r="AD45" s="567" t="str">
        <f t="shared" si="9"/>
        <v/>
      </c>
      <c r="AE45" s="567" t="str">
        <f t="shared" si="10"/>
        <v/>
      </c>
      <c r="AF45" s="567" t="str">
        <f t="shared" si="11"/>
        <v/>
      </c>
      <c r="AG45" s="567" t="str">
        <f t="shared" si="12"/>
        <v/>
      </c>
      <c r="AH45" s="567" t="str">
        <f t="shared" si="13"/>
        <v/>
      </c>
      <c r="AI45" s="567" t="str">
        <f t="shared" si="14"/>
        <v/>
      </c>
      <c r="AJ45" s="567" t="str">
        <f t="shared" si="15"/>
        <v/>
      </c>
      <c r="AK45" s="567" t="str">
        <f t="shared" si="16"/>
        <v/>
      </c>
      <c r="AL45" s="567" t="str">
        <f t="shared" si="17"/>
        <v/>
      </c>
      <c r="AM45" s="567" t="str">
        <f t="shared" si="18"/>
        <v/>
      </c>
      <c r="AN45" s="567" t="str">
        <f t="shared" si="19"/>
        <v/>
      </c>
      <c r="AO45" s="567" t="str">
        <f t="shared" si="20"/>
        <v/>
      </c>
      <c r="AP45" s="567" t="str">
        <f t="shared" si="173"/>
        <v/>
      </c>
      <c r="AQ45" s="567" t="str">
        <f t="shared" si="174"/>
        <v/>
      </c>
      <c r="AR45" s="567" t="str">
        <f t="shared" si="175"/>
        <v/>
      </c>
      <c r="AS45" s="567" t="str">
        <f t="shared" si="176"/>
        <v/>
      </c>
      <c r="AT45" s="567" t="str">
        <f t="shared" si="177"/>
        <v/>
      </c>
      <c r="AU45" s="567" t="str">
        <f t="shared" si="178"/>
        <v/>
      </c>
      <c r="AV45" s="567" t="str">
        <f t="shared" si="179"/>
        <v/>
      </c>
      <c r="AW45" s="567" t="str">
        <f t="shared" si="180"/>
        <v/>
      </c>
      <c r="AX45" s="567" t="str">
        <f t="shared" si="181"/>
        <v/>
      </c>
      <c r="AY45" s="567" t="str">
        <f t="shared" si="182"/>
        <v/>
      </c>
      <c r="AZ45" s="567" t="str">
        <f t="shared" si="183"/>
        <v/>
      </c>
      <c r="BA45" s="567" t="str">
        <f t="shared" si="184"/>
        <v/>
      </c>
      <c r="BB45" s="567" t="str">
        <f t="shared" si="185"/>
        <v/>
      </c>
      <c r="BC45" s="567" t="str">
        <f t="shared" si="186"/>
        <v/>
      </c>
      <c r="BD45" s="567" t="str">
        <f t="shared" si="187"/>
        <v/>
      </c>
      <c r="BE45" s="567" t="str">
        <f t="shared" si="188"/>
        <v/>
      </c>
      <c r="BF45" s="567" t="str">
        <f t="shared" si="189"/>
        <v/>
      </c>
      <c r="BG45" s="567" t="str">
        <f t="shared" si="190"/>
        <v/>
      </c>
      <c r="BH45" s="567" t="str">
        <f t="shared" si="191"/>
        <v/>
      </c>
      <c r="BI45" s="567" t="str">
        <f t="shared" si="192"/>
        <v/>
      </c>
      <c r="BJ45" s="567" t="str">
        <f t="shared" si="193"/>
        <v/>
      </c>
      <c r="BK45" s="567" t="str">
        <f t="shared" si="194"/>
        <v/>
      </c>
      <c r="BL45" s="567" t="str">
        <f t="shared" si="195"/>
        <v/>
      </c>
      <c r="BM45" s="567" t="str">
        <f t="shared" si="196"/>
        <v/>
      </c>
      <c r="BN45" s="567" t="str">
        <f t="shared" si="197"/>
        <v/>
      </c>
      <c r="BO45" s="567" t="str">
        <f t="shared" si="198"/>
        <v/>
      </c>
      <c r="BP45" s="567" t="str">
        <f t="shared" si="199"/>
        <v/>
      </c>
      <c r="BQ45" s="567" t="str">
        <f t="shared" si="200"/>
        <v/>
      </c>
      <c r="BR45" s="567" t="str">
        <f t="shared" si="201"/>
        <v/>
      </c>
      <c r="BS45" s="567" t="str">
        <f t="shared" si="202"/>
        <v/>
      </c>
      <c r="BT45" s="567" t="str">
        <f t="shared" si="21"/>
        <v/>
      </c>
      <c r="BU45" s="567" t="str">
        <f t="shared" si="22"/>
        <v/>
      </c>
      <c r="BV45" s="567" t="str">
        <f t="shared" si="23"/>
        <v/>
      </c>
      <c r="BW45" s="567" t="str">
        <f t="shared" si="24"/>
        <v/>
      </c>
      <c r="BX45" s="567" t="str">
        <f t="shared" si="25"/>
        <v/>
      </c>
      <c r="BY45" s="567" t="str">
        <f t="shared" si="26"/>
        <v/>
      </c>
      <c r="BZ45" s="567" t="str">
        <f t="shared" si="27"/>
        <v/>
      </c>
      <c r="CA45" s="567" t="str">
        <f t="shared" si="28"/>
        <v/>
      </c>
      <c r="CB45" s="567" t="str">
        <f t="shared" si="29"/>
        <v/>
      </c>
      <c r="CC45" s="567" t="str">
        <f t="shared" si="30"/>
        <v/>
      </c>
      <c r="CD45" s="567" t="str">
        <f t="shared" si="31"/>
        <v/>
      </c>
      <c r="CE45" s="567" t="str">
        <f t="shared" si="32"/>
        <v/>
      </c>
      <c r="CF45" s="567" t="str">
        <f t="shared" si="33"/>
        <v/>
      </c>
      <c r="CG45" s="567" t="str">
        <f t="shared" si="34"/>
        <v/>
      </c>
      <c r="CH45" s="567" t="str">
        <f t="shared" si="35"/>
        <v/>
      </c>
      <c r="CI45" s="567" t="str">
        <f t="shared" si="36"/>
        <v/>
      </c>
      <c r="CJ45" s="567" t="str">
        <f t="shared" si="37"/>
        <v/>
      </c>
      <c r="CK45" s="567" t="str">
        <f t="shared" si="38"/>
        <v/>
      </c>
      <c r="CL45" s="567" t="str">
        <f t="shared" si="39"/>
        <v/>
      </c>
      <c r="CM45" s="567" t="str">
        <f t="shared" si="40"/>
        <v/>
      </c>
      <c r="CN45" s="567" t="str">
        <f t="shared" si="41"/>
        <v/>
      </c>
      <c r="CO45" s="567" t="str">
        <f t="shared" si="42"/>
        <v/>
      </c>
      <c r="CP45" s="567" t="str">
        <f t="shared" si="43"/>
        <v/>
      </c>
      <c r="CQ45" s="567" t="str">
        <f t="shared" si="44"/>
        <v/>
      </c>
      <c r="CR45" s="567" t="str">
        <f t="shared" si="45"/>
        <v/>
      </c>
      <c r="CS45" s="567" t="str">
        <f t="shared" si="46"/>
        <v/>
      </c>
      <c r="CT45" s="567" t="str">
        <f t="shared" si="47"/>
        <v/>
      </c>
      <c r="CU45" s="567" t="str">
        <f t="shared" si="48"/>
        <v/>
      </c>
      <c r="CV45" s="567" t="str">
        <f t="shared" si="49"/>
        <v/>
      </c>
      <c r="CW45" s="567" t="str">
        <f t="shared" si="50"/>
        <v/>
      </c>
      <c r="CX45" s="567" t="str">
        <f t="shared" si="51"/>
        <v/>
      </c>
      <c r="CY45" s="567" t="str">
        <f t="shared" si="52"/>
        <v/>
      </c>
      <c r="CZ45" s="567" t="str">
        <f t="shared" si="53"/>
        <v/>
      </c>
      <c r="DA45" s="567" t="str">
        <f t="shared" si="54"/>
        <v/>
      </c>
      <c r="DB45" s="567" t="str">
        <f t="shared" si="55"/>
        <v/>
      </c>
      <c r="DC45" s="567" t="str">
        <f t="shared" si="56"/>
        <v/>
      </c>
      <c r="DD45" s="567" t="str">
        <f t="shared" si="57"/>
        <v/>
      </c>
      <c r="DE45" s="567" t="str">
        <f t="shared" si="58"/>
        <v/>
      </c>
      <c r="DF45" s="567" t="str">
        <f t="shared" si="59"/>
        <v/>
      </c>
      <c r="DG45" s="567" t="str">
        <f t="shared" si="60"/>
        <v/>
      </c>
      <c r="DH45" s="567" t="str">
        <f t="shared" si="61"/>
        <v/>
      </c>
      <c r="DI45" s="567" t="str">
        <f t="shared" si="62"/>
        <v/>
      </c>
      <c r="DJ45" s="567" t="str">
        <f t="shared" si="63"/>
        <v/>
      </c>
      <c r="DK45" s="567" t="str">
        <f t="shared" si="64"/>
        <v/>
      </c>
      <c r="DL45" s="567" t="str">
        <f t="shared" si="65"/>
        <v/>
      </c>
      <c r="DM45" s="567" t="str">
        <f t="shared" si="66"/>
        <v/>
      </c>
      <c r="DN45" s="567" t="str">
        <f t="shared" si="67"/>
        <v/>
      </c>
      <c r="DO45" s="567" t="str">
        <f t="shared" si="68"/>
        <v/>
      </c>
      <c r="DP45" s="567" t="str">
        <f t="shared" si="69"/>
        <v/>
      </c>
      <c r="DQ45" s="567" t="str">
        <f t="shared" si="70"/>
        <v/>
      </c>
      <c r="DR45" s="567" t="str">
        <f t="shared" si="71"/>
        <v/>
      </c>
      <c r="DS45" s="567" t="str">
        <f t="shared" si="72"/>
        <v/>
      </c>
      <c r="DT45" s="567" t="str">
        <f t="shared" si="73"/>
        <v/>
      </c>
      <c r="DU45" s="567" t="str">
        <f t="shared" si="74"/>
        <v/>
      </c>
      <c r="DV45" s="567" t="str">
        <f t="shared" si="75"/>
        <v/>
      </c>
      <c r="DW45" s="567" t="str">
        <f t="shared" si="76"/>
        <v/>
      </c>
      <c r="DX45" s="567" t="str">
        <f t="shared" si="77"/>
        <v/>
      </c>
      <c r="DY45" s="567" t="str">
        <f t="shared" si="78"/>
        <v/>
      </c>
      <c r="DZ45" s="567" t="str">
        <f t="shared" si="79"/>
        <v/>
      </c>
      <c r="EA45" s="567" t="str">
        <f t="shared" si="80"/>
        <v/>
      </c>
      <c r="EB45" s="567" t="str">
        <f t="shared" si="81"/>
        <v/>
      </c>
      <c r="EC45" s="567" t="str">
        <f t="shared" si="82"/>
        <v/>
      </c>
      <c r="ED45" s="567" t="str">
        <f t="shared" si="83"/>
        <v/>
      </c>
      <c r="EE45" s="567" t="str">
        <f t="shared" si="84"/>
        <v/>
      </c>
      <c r="EF45" s="567" t="str">
        <f t="shared" si="85"/>
        <v/>
      </c>
      <c r="EG45" s="567" t="str">
        <f t="shared" si="86"/>
        <v/>
      </c>
      <c r="EH45" s="567" t="str">
        <f t="shared" si="87"/>
        <v/>
      </c>
      <c r="EI45" s="567" t="str">
        <f t="shared" si="88"/>
        <v/>
      </c>
      <c r="EJ45" s="567" t="str">
        <f t="shared" si="89"/>
        <v/>
      </c>
      <c r="EK45" s="567" t="str">
        <f t="shared" si="90"/>
        <v/>
      </c>
      <c r="EL45" s="567" t="str">
        <f t="shared" si="91"/>
        <v/>
      </c>
      <c r="EM45" s="567" t="str">
        <f t="shared" si="92"/>
        <v/>
      </c>
      <c r="EN45" s="567" t="str">
        <f t="shared" si="93"/>
        <v/>
      </c>
      <c r="EO45" s="567" t="str">
        <f t="shared" si="94"/>
        <v/>
      </c>
      <c r="EP45" s="567" t="str">
        <f t="shared" si="95"/>
        <v/>
      </c>
      <c r="EQ45" s="567" t="str">
        <f t="shared" si="96"/>
        <v/>
      </c>
      <c r="ER45" s="567" t="str">
        <f t="shared" si="97"/>
        <v/>
      </c>
      <c r="ES45" s="567" t="str">
        <f t="shared" si="98"/>
        <v/>
      </c>
      <c r="ET45" s="567" t="str">
        <f t="shared" si="99"/>
        <v/>
      </c>
      <c r="EU45" s="567" t="str">
        <f t="shared" si="100"/>
        <v/>
      </c>
      <c r="EV45" s="577" t="str">
        <f t="shared" si="101"/>
        <v/>
      </c>
      <c r="EW45" s="577" t="str">
        <f t="shared" si="102"/>
        <v/>
      </c>
      <c r="EX45" s="577" t="str">
        <f t="shared" si="103"/>
        <v/>
      </c>
      <c r="EY45" s="577" t="str">
        <f t="shared" si="104"/>
        <v/>
      </c>
      <c r="EZ45" s="577" t="str">
        <f t="shared" si="105"/>
        <v/>
      </c>
      <c r="FA45" s="577" t="str">
        <f t="shared" si="106"/>
        <v/>
      </c>
      <c r="FB45" s="577" t="str">
        <f t="shared" si="107"/>
        <v/>
      </c>
      <c r="FC45" s="577" t="str">
        <f t="shared" si="108"/>
        <v/>
      </c>
      <c r="FD45" s="577" t="str">
        <f t="shared" si="109"/>
        <v/>
      </c>
      <c r="FE45" s="577" t="str">
        <f t="shared" si="110"/>
        <v/>
      </c>
      <c r="FF45" s="577" t="str">
        <f t="shared" si="111"/>
        <v/>
      </c>
      <c r="FG45" s="577" t="str">
        <f t="shared" si="112"/>
        <v/>
      </c>
      <c r="FH45" s="577" t="str">
        <f t="shared" si="113"/>
        <v/>
      </c>
      <c r="FI45" s="577" t="str">
        <f t="shared" si="114"/>
        <v/>
      </c>
      <c r="FJ45" s="577" t="str">
        <f t="shared" si="115"/>
        <v/>
      </c>
      <c r="FK45" s="577" t="str">
        <f t="shared" si="116"/>
        <v/>
      </c>
      <c r="FL45" s="577" t="str">
        <f t="shared" si="117"/>
        <v/>
      </c>
      <c r="FM45" s="577" t="str">
        <f t="shared" si="118"/>
        <v/>
      </c>
      <c r="FN45" s="577" t="str">
        <f t="shared" si="119"/>
        <v/>
      </c>
      <c r="FO45" s="577" t="str">
        <f t="shared" si="120"/>
        <v/>
      </c>
      <c r="FP45" s="577" t="str">
        <f t="shared" si="121"/>
        <v/>
      </c>
      <c r="FQ45" s="577" t="str">
        <f t="shared" si="122"/>
        <v/>
      </c>
      <c r="FR45" s="577" t="str">
        <f t="shared" si="123"/>
        <v/>
      </c>
      <c r="FS45" s="577" t="str">
        <f t="shared" si="124"/>
        <v/>
      </c>
      <c r="FT45" s="577" t="str">
        <f t="shared" si="125"/>
        <v/>
      </c>
      <c r="FU45" s="577" t="str">
        <f t="shared" si="126"/>
        <v/>
      </c>
      <c r="FV45" s="577" t="str">
        <f t="shared" si="127"/>
        <v/>
      </c>
      <c r="FW45" s="577" t="str">
        <f t="shared" si="128"/>
        <v/>
      </c>
      <c r="FX45" s="577" t="str">
        <f t="shared" si="129"/>
        <v/>
      </c>
      <c r="FY45" s="577" t="str">
        <f t="shared" si="130"/>
        <v/>
      </c>
      <c r="FZ45" s="577" t="str">
        <f t="shared" si="131"/>
        <v/>
      </c>
      <c r="GA45" s="577" t="str">
        <f t="shared" si="132"/>
        <v/>
      </c>
      <c r="GB45" s="577" t="str">
        <f t="shared" si="133"/>
        <v/>
      </c>
      <c r="GC45" s="577" t="str">
        <f t="shared" si="134"/>
        <v/>
      </c>
      <c r="GD45" s="577" t="str">
        <f t="shared" si="135"/>
        <v/>
      </c>
      <c r="GE45" s="577" t="str">
        <f t="shared" si="136"/>
        <v/>
      </c>
      <c r="GF45" s="577" t="str">
        <f t="shared" si="137"/>
        <v/>
      </c>
      <c r="GG45" s="577" t="str">
        <f t="shared" si="138"/>
        <v/>
      </c>
      <c r="GH45" s="577" t="str">
        <f t="shared" si="139"/>
        <v/>
      </c>
      <c r="GI45" s="577" t="str">
        <f t="shared" si="140"/>
        <v/>
      </c>
      <c r="GJ45" s="577" t="str">
        <f t="shared" si="141"/>
        <v/>
      </c>
      <c r="GK45" s="577" t="str">
        <f t="shared" si="142"/>
        <v/>
      </c>
      <c r="GL45" s="577" t="str">
        <f t="shared" si="143"/>
        <v/>
      </c>
      <c r="GM45" s="577" t="str">
        <f t="shared" si="144"/>
        <v/>
      </c>
      <c r="GN45" s="577" t="str">
        <f t="shared" si="145"/>
        <v/>
      </c>
      <c r="GO45" s="578" t="str">
        <f t="shared" si="146"/>
        <v/>
      </c>
      <c r="GP45" s="578" t="str">
        <f t="shared" si="147"/>
        <v/>
      </c>
      <c r="GQ45" s="578" t="str">
        <f t="shared" si="148"/>
        <v/>
      </c>
      <c r="GR45" s="578" t="str">
        <f t="shared" si="149"/>
        <v/>
      </c>
      <c r="GS45" s="578" t="str">
        <f t="shared" si="150"/>
        <v/>
      </c>
      <c r="GT45" s="567" t="str">
        <f t="shared" si="151"/>
        <v/>
      </c>
      <c r="GU45" s="567" t="str">
        <f t="shared" si="152"/>
        <v/>
      </c>
      <c r="GV45" s="567" t="str">
        <f t="shared" si="153"/>
        <v/>
      </c>
      <c r="GW45" s="567" t="str">
        <f t="shared" si="154"/>
        <v/>
      </c>
      <c r="GX45" s="567" t="str">
        <f t="shared" si="155"/>
        <v/>
      </c>
      <c r="GY45" s="567" t="str">
        <f t="shared" si="156"/>
        <v/>
      </c>
      <c r="GZ45" s="567" t="str">
        <f t="shared" si="157"/>
        <v/>
      </c>
      <c r="HA45" s="567" t="str">
        <f t="shared" si="158"/>
        <v/>
      </c>
      <c r="HB45" s="567" t="str">
        <f t="shared" si="159"/>
        <v/>
      </c>
      <c r="HC45" s="567" t="str">
        <f t="shared" si="160"/>
        <v/>
      </c>
      <c r="HD45" s="567" t="str">
        <f t="shared" si="161"/>
        <v/>
      </c>
      <c r="HE45" s="567" t="str">
        <f t="shared" si="162"/>
        <v/>
      </c>
      <c r="HF45" s="567" t="str">
        <f t="shared" si="163"/>
        <v/>
      </c>
      <c r="HG45" s="567" t="str">
        <f t="shared" si="164"/>
        <v/>
      </c>
      <c r="HH45" s="567" t="str">
        <f t="shared" si="165"/>
        <v/>
      </c>
      <c r="HI45" s="567" t="str">
        <f t="shared" si="166"/>
        <v/>
      </c>
      <c r="HJ45" s="567" t="str">
        <f t="shared" si="167"/>
        <v/>
      </c>
      <c r="HK45" s="567" t="str">
        <f t="shared" si="168"/>
        <v/>
      </c>
      <c r="HL45" s="567" t="str">
        <f t="shared" si="169"/>
        <v/>
      </c>
      <c r="HM45" s="567" t="str">
        <f t="shared" si="170"/>
        <v/>
      </c>
    </row>
    <row r="46" spans="1:221" ht="13.15" customHeight="1">
      <c r="A46" s="126" t="str">
        <f t="shared" si="171"/>
        <v/>
      </c>
      <c r="B46" s="1203" t="s">
        <v>1886</v>
      </c>
      <c r="C46" s="1204"/>
      <c r="D46" s="1205"/>
      <c r="E46" s="1206"/>
      <c r="F46" s="1206"/>
      <c r="G46" s="1206"/>
      <c r="H46" s="1206"/>
      <c r="I46" s="1206"/>
      <c r="J46" s="1207"/>
      <c r="K46" s="198">
        <f t="shared" si="205"/>
        <v>0</v>
      </c>
      <c r="L46" s="198">
        <f t="shared" si="0"/>
        <v>0</v>
      </c>
      <c r="M46" s="1099"/>
      <c r="N46" s="1099"/>
      <c r="O46" s="1099"/>
      <c r="P46" s="518" t="str">
        <f t="shared" si="203"/>
        <v/>
      </c>
      <c r="Q46" s="519" t="str">
        <f>IF(H46="","",P46/($P$6*VLOOKUP(C46,'DCA Underwriting Assumptions'!$J$82:$K$87,2,FALSE)))</f>
        <v/>
      </c>
      <c r="R46" s="607"/>
      <c r="S46" s="519"/>
      <c r="T46" s="1643"/>
      <c r="U46" s="1644"/>
      <c r="V46" s="567" t="str">
        <f t="shared" si="1"/>
        <v/>
      </c>
      <c r="W46" s="567" t="str">
        <f t="shared" si="2"/>
        <v/>
      </c>
      <c r="X46" s="567" t="str">
        <f t="shared" si="3"/>
        <v/>
      </c>
      <c r="Y46" s="567" t="str">
        <f t="shared" si="4"/>
        <v/>
      </c>
      <c r="Z46" s="567" t="str">
        <f t="shared" si="5"/>
        <v/>
      </c>
      <c r="AA46" s="567" t="str">
        <f t="shared" si="6"/>
        <v/>
      </c>
      <c r="AB46" s="567" t="str">
        <f t="shared" si="7"/>
        <v/>
      </c>
      <c r="AC46" s="567" t="str">
        <f t="shared" si="8"/>
        <v/>
      </c>
      <c r="AD46" s="567" t="str">
        <f t="shared" si="9"/>
        <v/>
      </c>
      <c r="AE46" s="567" t="str">
        <f t="shared" si="10"/>
        <v/>
      </c>
      <c r="AF46" s="567" t="str">
        <f t="shared" si="11"/>
        <v/>
      </c>
      <c r="AG46" s="567" t="str">
        <f t="shared" si="12"/>
        <v/>
      </c>
      <c r="AH46" s="567" t="str">
        <f t="shared" si="13"/>
        <v/>
      </c>
      <c r="AI46" s="567" t="str">
        <f t="shared" si="14"/>
        <v/>
      </c>
      <c r="AJ46" s="567" t="str">
        <f t="shared" si="15"/>
        <v/>
      </c>
      <c r="AK46" s="567" t="str">
        <f t="shared" si="16"/>
        <v/>
      </c>
      <c r="AL46" s="567" t="str">
        <f t="shared" si="17"/>
        <v/>
      </c>
      <c r="AM46" s="567" t="str">
        <f t="shared" si="18"/>
        <v/>
      </c>
      <c r="AN46" s="567" t="str">
        <f t="shared" si="19"/>
        <v/>
      </c>
      <c r="AO46" s="567" t="str">
        <f t="shared" si="20"/>
        <v/>
      </c>
      <c r="AP46" s="567" t="str">
        <f t="shared" si="173"/>
        <v/>
      </c>
      <c r="AQ46" s="567" t="str">
        <f t="shared" si="174"/>
        <v/>
      </c>
      <c r="AR46" s="567" t="str">
        <f t="shared" si="175"/>
        <v/>
      </c>
      <c r="AS46" s="567" t="str">
        <f t="shared" si="176"/>
        <v/>
      </c>
      <c r="AT46" s="567" t="str">
        <f t="shared" si="177"/>
        <v/>
      </c>
      <c r="AU46" s="567" t="str">
        <f t="shared" si="178"/>
        <v/>
      </c>
      <c r="AV46" s="567" t="str">
        <f t="shared" si="179"/>
        <v/>
      </c>
      <c r="AW46" s="567" t="str">
        <f t="shared" si="180"/>
        <v/>
      </c>
      <c r="AX46" s="567" t="str">
        <f t="shared" si="181"/>
        <v/>
      </c>
      <c r="AY46" s="567" t="str">
        <f t="shared" si="182"/>
        <v/>
      </c>
      <c r="AZ46" s="567" t="str">
        <f t="shared" si="183"/>
        <v/>
      </c>
      <c r="BA46" s="567" t="str">
        <f t="shared" si="184"/>
        <v/>
      </c>
      <c r="BB46" s="567" t="str">
        <f t="shared" si="185"/>
        <v/>
      </c>
      <c r="BC46" s="567" t="str">
        <f t="shared" si="186"/>
        <v/>
      </c>
      <c r="BD46" s="567" t="str">
        <f t="shared" si="187"/>
        <v/>
      </c>
      <c r="BE46" s="567" t="str">
        <f t="shared" si="188"/>
        <v/>
      </c>
      <c r="BF46" s="567" t="str">
        <f t="shared" si="189"/>
        <v/>
      </c>
      <c r="BG46" s="567" t="str">
        <f t="shared" si="190"/>
        <v/>
      </c>
      <c r="BH46" s="567" t="str">
        <f t="shared" si="191"/>
        <v/>
      </c>
      <c r="BI46" s="567" t="str">
        <f t="shared" si="192"/>
        <v/>
      </c>
      <c r="BJ46" s="567" t="str">
        <f t="shared" si="193"/>
        <v/>
      </c>
      <c r="BK46" s="567" t="str">
        <f t="shared" si="194"/>
        <v/>
      </c>
      <c r="BL46" s="567" t="str">
        <f t="shared" si="195"/>
        <v/>
      </c>
      <c r="BM46" s="567" t="str">
        <f t="shared" si="196"/>
        <v/>
      </c>
      <c r="BN46" s="567" t="str">
        <f t="shared" si="197"/>
        <v/>
      </c>
      <c r="BO46" s="567" t="str">
        <f t="shared" si="198"/>
        <v/>
      </c>
      <c r="BP46" s="567" t="str">
        <f t="shared" si="199"/>
        <v/>
      </c>
      <c r="BQ46" s="567" t="str">
        <f t="shared" si="200"/>
        <v/>
      </c>
      <c r="BR46" s="567" t="str">
        <f t="shared" si="201"/>
        <v/>
      </c>
      <c r="BS46" s="567" t="str">
        <f t="shared" si="202"/>
        <v/>
      </c>
      <c r="BT46" s="567" t="str">
        <f t="shared" si="21"/>
        <v/>
      </c>
      <c r="BU46" s="567" t="str">
        <f t="shared" si="22"/>
        <v/>
      </c>
      <c r="BV46" s="567" t="str">
        <f t="shared" si="23"/>
        <v/>
      </c>
      <c r="BW46" s="567" t="str">
        <f t="shared" si="24"/>
        <v/>
      </c>
      <c r="BX46" s="567" t="str">
        <f t="shared" si="25"/>
        <v/>
      </c>
      <c r="BY46" s="567" t="str">
        <f t="shared" si="26"/>
        <v/>
      </c>
      <c r="BZ46" s="567" t="str">
        <f t="shared" si="27"/>
        <v/>
      </c>
      <c r="CA46" s="567" t="str">
        <f t="shared" si="28"/>
        <v/>
      </c>
      <c r="CB46" s="567" t="str">
        <f t="shared" si="29"/>
        <v/>
      </c>
      <c r="CC46" s="567" t="str">
        <f t="shared" si="30"/>
        <v/>
      </c>
      <c r="CD46" s="567" t="str">
        <f t="shared" si="31"/>
        <v/>
      </c>
      <c r="CE46" s="567" t="str">
        <f t="shared" si="32"/>
        <v/>
      </c>
      <c r="CF46" s="567" t="str">
        <f t="shared" si="33"/>
        <v/>
      </c>
      <c r="CG46" s="567" t="str">
        <f t="shared" si="34"/>
        <v/>
      </c>
      <c r="CH46" s="567" t="str">
        <f t="shared" si="35"/>
        <v/>
      </c>
      <c r="CI46" s="567" t="str">
        <f t="shared" si="36"/>
        <v/>
      </c>
      <c r="CJ46" s="567" t="str">
        <f t="shared" si="37"/>
        <v/>
      </c>
      <c r="CK46" s="567" t="str">
        <f t="shared" si="38"/>
        <v/>
      </c>
      <c r="CL46" s="567" t="str">
        <f t="shared" si="39"/>
        <v/>
      </c>
      <c r="CM46" s="567" t="str">
        <f t="shared" si="40"/>
        <v/>
      </c>
      <c r="CN46" s="567" t="str">
        <f t="shared" si="41"/>
        <v/>
      </c>
      <c r="CO46" s="567" t="str">
        <f t="shared" si="42"/>
        <v/>
      </c>
      <c r="CP46" s="567" t="str">
        <f t="shared" si="43"/>
        <v/>
      </c>
      <c r="CQ46" s="567" t="str">
        <f t="shared" si="44"/>
        <v/>
      </c>
      <c r="CR46" s="567" t="str">
        <f t="shared" si="45"/>
        <v/>
      </c>
      <c r="CS46" s="567" t="str">
        <f t="shared" si="46"/>
        <v/>
      </c>
      <c r="CT46" s="567" t="str">
        <f t="shared" si="47"/>
        <v/>
      </c>
      <c r="CU46" s="567" t="str">
        <f t="shared" si="48"/>
        <v/>
      </c>
      <c r="CV46" s="567" t="str">
        <f t="shared" si="49"/>
        <v/>
      </c>
      <c r="CW46" s="567" t="str">
        <f t="shared" si="50"/>
        <v/>
      </c>
      <c r="CX46" s="567" t="str">
        <f t="shared" si="51"/>
        <v/>
      </c>
      <c r="CY46" s="567" t="str">
        <f t="shared" si="52"/>
        <v/>
      </c>
      <c r="CZ46" s="567" t="str">
        <f t="shared" si="53"/>
        <v/>
      </c>
      <c r="DA46" s="567" t="str">
        <f t="shared" si="54"/>
        <v/>
      </c>
      <c r="DB46" s="567" t="str">
        <f t="shared" si="55"/>
        <v/>
      </c>
      <c r="DC46" s="567" t="str">
        <f t="shared" si="56"/>
        <v/>
      </c>
      <c r="DD46" s="567" t="str">
        <f t="shared" si="57"/>
        <v/>
      </c>
      <c r="DE46" s="567" t="str">
        <f t="shared" si="58"/>
        <v/>
      </c>
      <c r="DF46" s="567" t="str">
        <f t="shared" si="59"/>
        <v/>
      </c>
      <c r="DG46" s="567" t="str">
        <f t="shared" si="60"/>
        <v/>
      </c>
      <c r="DH46" s="567" t="str">
        <f t="shared" si="61"/>
        <v/>
      </c>
      <c r="DI46" s="567" t="str">
        <f t="shared" si="62"/>
        <v/>
      </c>
      <c r="DJ46" s="567" t="str">
        <f t="shared" si="63"/>
        <v/>
      </c>
      <c r="DK46" s="567" t="str">
        <f t="shared" si="64"/>
        <v/>
      </c>
      <c r="DL46" s="567" t="str">
        <f t="shared" si="65"/>
        <v/>
      </c>
      <c r="DM46" s="567" t="str">
        <f t="shared" si="66"/>
        <v/>
      </c>
      <c r="DN46" s="567" t="str">
        <f t="shared" si="67"/>
        <v/>
      </c>
      <c r="DO46" s="567" t="str">
        <f t="shared" si="68"/>
        <v/>
      </c>
      <c r="DP46" s="567" t="str">
        <f t="shared" si="69"/>
        <v/>
      </c>
      <c r="DQ46" s="567" t="str">
        <f t="shared" si="70"/>
        <v/>
      </c>
      <c r="DR46" s="567" t="str">
        <f t="shared" si="71"/>
        <v/>
      </c>
      <c r="DS46" s="567" t="str">
        <f t="shared" si="72"/>
        <v/>
      </c>
      <c r="DT46" s="567" t="str">
        <f t="shared" si="73"/>
        <v/>
      </c>
      <c r="DU46" s="567" t="str">
        <f t="shared" si="74"/>
        <v/>
      </c>
      <c r="DV46" s="567" t="str">
        <f t="shared" si="75"/>
        <v/>
      </c>
      <c r="DW46" s="567" t="str">
        <f t="shared" si="76"/>
        <v/>
      </c>
      <c r="DX46" s="567" t="str">
        <f t="shared" si="77"/>
        <v/>
      </c>
      <c r="DY46" s="567" t="str">
        <f t="shared" si="78"/>
        <v/>
      </c>
      <c r="DZ46" s="567" t="str">
        <f t="shared" si="79"/>
        <v/>
      </c>
      <c r="EA46" s="567" t="str">
        <f t="shared" si="80"/>
        <v/>
      </c>
      <c r="EB46" s="567" t="str">
        <f t="shared" si="81"/>
        <v/>
      </c>
      <c r="EC46" s="567" t="str">
        <f t="shared" si="82"/>
        <v/>
      </c>
      <c r="ED46" s="567" t="str">
        <f t="shared" si="83"/>
        <v/>
      </c>
      <c r="EE46" s="567" t="str">
        <f t="shared" si="84"/>
        <v/>
      </c>
      <c r="EF46" s="567" t="str">
        <f t="shared" si="85"/>
        <v/>
      </c>
      <c r="EG46" s="567" t="str">
        <f t="shared" si="86"/>
        <v/>
      </c>
      <c r="EH46" s="567" t="str">
        <f t="shared" si="87"/>
        <v/>
      </c>
      <c r="EI46" s="567" t="str">
        <f t="shared" si="88"/>
        <v/>
      </c>
      <c r="EJ46" s="567" t="str">
        <f t="shared" si="89"/>
        <v/>
      </c>
      <c r="EK46" s="567" t="str">
        <f t="shared" si="90"/>
        <v/>
      </c>
      <c r="EL46" s="567" t="str">
        <f t="shared" si="91"/>
        <v/>
      </c>
      <c r="EM46" s="567" t="str">
        <f t="shared" si="92"/>
        <v/>
      </c>
      <c r="EN46" s="567" t="str">
        <f t="shared" si="93"/>
        <v/>
      </c>
      <c r="EO46" s="567" t="str">
        <f t="shared" si="94"/>
        <v/>
      </c>
      <c r="EP46" s="567" t="str">
        <f t="shared" si="95"/>
        <v/>
      </c>
      <c r="EQ46" s="567" t="str">
        <f t="shared" si="96"/>
        <v/>
      </c>
      <c r="ER46" s="567" t="str">
        <f t="shared" si="97"/>
        <v/>
      </c>
      <c r="ES46" s="567" t="str">
        <f t="shared" si="98"/>
        <v/>
      </c>
      <c r="ET46" s="567" t="str">
        <f t="shared" si="99"/>
        <v/>
      </c>
      <c r="EU46" s="567" t="str">
        <f t="shared" si="100"/>
        <v/>
      </c>
      <c r="EV46" s="577" t="str">
        <f t="shared" si="101"/>
        <v/>
      </c>
      <c r="EW46" s="577" t="str">
        <f t="shared" si="102"/>
        <v/>
      </c>
      <c r="EX46" s="577" t="str">
        <f t="shared" si="103"/>
        <v/>
      </c>
      <c r="EY46" s="577" t="str">
        <f t="shared" si="104"/>
        <v/>
      </c>
      <c r="EZ46" s="577" t="str">
        <f t="shared" si="105"/>
        <v/>
      </c>
      <c r="FA46" s="577" t="str">
        <f t="shared" si="106"/>
        <v/>
      </c>
      <c r="FB46" s="577" t="str">
        <f t="shared" si="107"/>
        <v/>
      </c>
      <c r="FC46" s="577" t="str">
        <f t="shared" si="108"/>
        <v/>
      </c>
      <c r="FD46" s="577" t="str">
        <f t="shared" si="109"/>
        <v/>
      </c>
      <c r="FE46" s="577" t="str">
        <f t="shared" si="110"/>
        <v/>
      </c>
      <c r="FF46" s="577" t="str">
        <f t="shared" si="111"/>
        <v/>
      </c>
      <c r="FG46" s="577" t="str">
        <f t="shared" si="112"/>
        <v/>
      </c>
      <c r="FH46" s="577" t="str">
        <f t="shared" si="113"/>
        <v/>
      </c>
      <c r="FI46" s="577" t="str">
        <f t="shared" si="114"/>
        <v/>
      </c>
      <c r="FJ46" s="577" t="str">
        <f t="shared" si="115"/>
        <v/>
      </c>
      <c r="FK46" s="577" t="str">
        <f t="shared" si="116"/>
        <v/>
      </c>
      <c r="FL46" s="577" t="str">
        <f t="shared" si="117"/>
        <v/>
      </c>
      <c r="FM46" s="577" t="str">
        <f t="shared" si="118"/>
        <v/>
      </c>
      <c r="FN46" s="577" t="str">
        <f t="shared" si="119"/>
        <v/>
      </c>
      <c r="FO46" s="577" t="str">
        <f t="shared" si="120"/>
        <v/>
      </c>
      <c r="FP46" s="577" t="str">
        <f t="shared" si="121"/>
        <v/>
      </c>
      <c r="FQ46" s="577" t="str">
        <f t="shared" si="122"/>
        <v/>
      </c>
      <c r="FR46" s="577" t="str">
        <f t="shared" si="123"/>
        <v/>
      </c>
      <c r="FS46" s="577" t="str">
        <f t="shared" si="124"/>
        <v/>
      </c>
      <c r="FT46" s="577" t="str">
        <f t="shared" si="125"/>
        <v/>
      </c>
      <c r="FU46" s="577" t="str">
        <f t="shared" si="126"/>
        <v/>
      </c>
      <c r="FV46" s="577" t="str">
        <f t="shared" si="127"/>
        <v/>
      </c>
      <c r="FW46" s="577" t="str">
        <f t="shared" si="128"/>
        <v/>
      </c>
      <c r="FX46" s="577" t="str">
        <f t="shared" si="129"/>
        <v/>
      </c>
      <c r="FY46" s="577" t="str">
        <f t="shared" si="130"/>
        <v/>
      </c>
      <c r="FZ46" s="577" t="str">
        <f t="shared" si="131"/>
        <v/>
      </c>
      <c r="GA46" s="577" t="str">
        <f t="shared" si="132"/>
        <v/>
      </c>
      <c r="GB46" s="577" t="str">
        <f t="shared" si="133"/>
        <v/>
      </c>
      <c r="GC46" s="577" t="str">
        <f t="shared" si="134"/>
        <v/>
      </c>
      <c r="GD46" s="577" t="str">
        <f t="shared" si="135"/>
        <v/>
      </c>
      <c r="GE46" s="577" t="str">
        <f t="shared" si="136"/>
        <v/>
      </c>
      <c r="GF46" s="577" t="str">
        <f t="shared" si="137"/>
        <v/>
      </c>
      <c r="GG46" s="577" t="str">
        <f t="shared" si="138"/>
        <v/>
      </c>
      <c r="GH46" s="577" t="str">
        <f t="shared" si="139"/>
        <v/>
      </c>
      <c r="GI46" s="577" t="str">
        <f t="shared" si="140"/>
        <v/>
      </c>
      <c r="GJ46" s="577" t="str">
        <f t="shared" si="141"/>
        <v/>
      </c>
      <c r="GK46" s="577" t="str">
        <f t="shared" si="142"/>
        <v/>
      </c>
      <c r="GL46" s="577" t="str">
        <f t="shared" si="143"/>
        <v/>
      </c>
      <c r="GM46" s="577" t="str">
        <f t="shared" si="144"/>
        <v/>
      </c>
      <c r="GN46" s="577" t="str">
        <f t="shared" si="145"/>
        <v/>
      </c>
      <c r="GO46" s="578" t="str">
        <f t="shared" si="146"/>
        <v/>
      </c>
      <c r="GP46" s="578" t="str">
        <f t="shared" si="147"/>
        <v/>
      </c>
      <c r="GQ46" s="578" t="str">
        <f t="shared" si="148"/>
        <v/>
      </c>
      <c r="GR46" s="578" t="str">
        <f t="shared" si="149"/>
        <v/>
      </c>
      <c r="GS46" s="578" t="str">
        <f t="shared" si="150"/>
        <v/>
      </c>
      <c r="GT46" s="567" t="str">
        <f t="shared" si="151"/>
        <v/>
      </c>
      <c r="GU46" s="567" t="str">
        <f t="shared" si="152"/>
        <v/>
      </c>
      <c r="GV46" s="567" t="str">
        <f t="shared" si="153"/>
        <v/>
      </c>
      <c r="GW46" s="567" t="str">
        <f t="shared" si="154"/>
        <v/>
      </c>
      <c r="GX46" s="567" t="str">
        <f t="shared" si="155"/>
        <v/>
      </c>
      <c r="GY46" s="567" t="str">
        <f t="shared" si="156"/>
        <v/>
      </c>
      <c r="GZ46" s="567" t="str">
        <f t="shared" si="157"/>
        <v/>
      </c>
      <c r="HA46" s="567" t="str">
        <f t="shared" si="158"/>
        <v/>
      </c>
      <c r="HB46" s="567" t="str">
        <f t="shared" si="159"/>
        <v/>
      </c>
      <c r="HC46" s="567" t="str">
        <f t="shared" si="160"/>
        <v/>
      </c>
      <c r="HD46" s="567" t="str">
        <f t="shared" si="161"/>
        <v/>
      </c>
      <c r="HE46" s="567" t="str">
        <f t="shared" si="162"/>
        <v/>
      </c>
      <c r="HF46" s="567" t="str">
        <f t="shared" si="163"/>
        <v/>
      </c>
      <c r="HG46" s="567" t="str">
        <f t="shared" si="164"/>
        <v/>
      </c>
      <c r="HH46" s="567" t="str">
        <f t="shared" si="165"/>
        <v/>
      </c>
      <c r="HI46" s="567" t="str">
        <f t="shared" si="166"/>
        <v/>
      </c>
      <c r="HJ46" s="567" t="str">
        <f t="shared" si="167"/>
        <v/>
      </c>
      <c r="HK46" s="567" t="str">
        <f t="shared" si="168"/>
        <v/>
      </c>
      <c r="HL46" s="567" t="str">
        <f t="shared" si="169"/>
        <v/>
      </c>
      <c r="HM46" s="567" t="str">
        <f t="shared" si="170"/>
        <v/>
      </c>
    </row>
    <row r="47" spans="1:221" ht="13.15" customHeight="1">
      <c r="A47" s="126" t="str">
        <f t="shared" si="171"/>
        <v/>
      </c>
      <c r="B47" s="1208" t="s">
        <v>1886</v>
      </c>
      <c r="C47" s="1209"/>
      <c r="D47" s="1210"/>
      <c r="E47" s="1211"/>
      <c r="F47" s="1211"/>
      <c r="G47" s="1211"/>
      <c r="H47" s="1211"/>
      <c r="I47" s="1211"/>
      <c r="J47" s="1212"/>
      <c r="K47" s="199">
        <f t="shared" si="204"/>
        <v>0</v>
      </c>
      <c r="L47" s="199">
        <f t="shared" si="0"/>
        <v>0</v>
      </c>
      <c r="M47" s="1100"/>
      <c r="N47" s="1100"/>
      <c r="O47" s="1100"/>
      <c r="P47" s="518" t="str">
        <f t="shared" si="203"/>
        <v/>
      </c>
      <c r="Q47" s="519" t="str">
        <f>IF(H47="","",P47/($P$6*VLOOKUP(C47,'DCA Underwriting Assumptions'!$J$82:$K$87,2,FALSE)))</f>
        <v/>
      </c>
      <c r="R47" s="607"/>
      <c r="S47" s="519"/>
      <c r="T47" s="1645"/>
      <c r="U47" s="1646"/>
      <c r="V47" s="567" t="str">
        <f t="shared" si="1"/>
        <v/>
      </c>
      <c r="W47" s="567" t="str">
        <f t="shared" si="2"/>
        <v/>
      </c>
      <c r="X47" s="567" t="str">
        <f t="shared" si="3"/>
        <v/>
      </c>
      <c r="Y47" s="567" t="str">
        <f t="shared" si="4"/>
        <v/>
      </c>
      <c r="Z47" s="567" t="str">
        <f t="shared" si="5"/>
        <v/>
      </c>
      <c r="AA47" s="567" t="str">
        <f t="shared" si="6"/>
        <v/>
      </c>
      <c r="AB47" s="567" t="str">
        <f t="shared" si="7"/>
        <v/>
      </c>
      <c r="AC47" s="567" t="str">
        <f t="shared" si="8"/>
        <v/>
      </c>
      <c r="AD47" s="567" t="str">
        <f t="shared" si="9"/>
        <v/>
      </c>
      <c r="AE47" s="567" t="str">
        <f t="shared" si="10"/>
        <v/>
      </c>
      <c r="AF47" s="567" t="str">
        <f t="shared" si="11"/>
        <v/>
      </c>
      <c r="AG47" s="567" t="str">
        <f t="shared" si="12"/>
        <v/>
      </c>
      <c r="AH47" s="567" t="str">
        <f t="shared" si="13"/>
        <v/>
      </c>
      <c r="AI47" s="567" t="str">
        <f t="shared" si="14"/>
        <v/>
      </c>
      <c r="AJ47" s="567" t="str">
        <f t="shared" si="15"/>
        <v/>
      </c>
      <c r="AK47" s="567" t="str">
        <f t="shared" si="16"/>
        <v/>
      </c>
      <c r="AL47" s="567" t="str">
        <f t="shared" si="17"/>
        <v/>
      </c>
      <c r="AM47" s="567" t="str">
        <f t="shared" si="18"/>
        <v/>
      </c>
      <c r="AN47" s="567" t="str">
        <f t="shared" si="19"/>
        <v/>
      </c>
      <c r="AO47" s="567" t="str">
        <f t="shared" si="20"/>
        <v/>
      </c>
      <c r="AP47" s="567" t="str">
        <f t="shared" si="173"/>
        <v/>
      </c>
      <c r="AQ47" s="567" t="str">
        <f t="shared" si="174"/>
        <v/>
      </c>
      <c r="AR47" s="567" t="str">
        <f t="shared" si="175"/>
        <v/>
      </c>
      <c r="AS47" s="567" t="str">
        <f t="shared" si="176"/>
        <v/>
      </c>
      <c r="AT47" s="567" t="str">
        <f t="shared" si="177"/>
        <v/>
      </c>
      <c r="AU47" s="567" t="str">
        <f t="shared" si="178"/>
        <v/>
      </c>
      <c r="AV47" s="567" t="str">
        <f t="shared" si="179"/>
        <v/>
      </c>
      <c r="AW47" s="567" t="str">
        <f t="shared" si="180"/>
        <v/>
      </c>
      <c r="AX47" s="567" t="str">
        <f t="shared" si="181"/>
        <v/>
      </c>
      <c r="AY47" s="567" t="str">
        <f t="shared" si="182"/>
        <v/>
      </c>
      <c r="AZ47" s="567" t="str">
        <f t="shared" si="183"/>
        <v/>
      </c>
      <c r="BA47" s="567" t="str">
        <f t="shared" si="184"/>
        <v/>
      </c>
      <c r="BB47" s="567" t="str">
        <f t="shared" si="185"/>
        <v/>
      </c>
      <c r="BC47" s="567" t="str">
        <f t="shared" si="186"/>
        <v/>
      </c>
      <c r="BD47" s="567" t="str">
        <f t="shared" si="187"/>
        <v/>
      </c>
      <c r="BE47" s="567" t="str">
        <f t="shared" si="188"/>
        <v/>
      </c>
      <c r="BF47" s="567" t="str">
        <f t="shared" si="189"/>
        <v/>
      </c>
      <c r="BG47" s="567" t="str">
        <f t="shared" si="190"/>
        <v/>
      </c>
      <c r="BH47" s="567" t="str">
        <f t="shared" si="191"/>
        <v/>
      </c>
      <c r="BI47" s="567" t="str">
        <f t="shared" si="192"/>
        <v/>
      </c>
      <c r="BJ47" s="567" t="str">
        <f t="shared" si="193"/>
        <v/>
      </c>
      <c r="BK47" s="567" t="str">
        <f t="shared" si="194"/>
        <v/>
      </c>
      <c r="BL47" s="567" t="str">
        <f t="shared" si="195"/>
        <v/>
      </c>
      <c r="BM47" s="567" t="str">
        <f t="shared" si="196"/>
        <v/>
      </c>
      <c r="BN47" s="567" t="str">
        <f t="shared" si="197"/>
        <v/>
      </c>
      <c r="BO47" s="567" t="str">
        <f t="shared" si="198"/>
        <v/>
      </c>
      <c r="BP47" s="567" t="str">
        <f t="shared" si="199"/>
        <v/>
      </c>
      <c r="BQ47" s="567" t="str">
        <f t="shared" si="200"/>
        <v/>
      </c>
      <c r="BR47" s="567" t="str">
        <f t="shared" si="201"/>
        <v/>
      </c>
      <c r="BS47" s="567" t="str">
        <f t="shared" si="202"/>
        <v/>
      </c>
      <c r="BT47" s="567" t="str">
        <f t="shared" si="21"/>
        <v/>
      </c>
      <c r="BU47" s="567" t="str">
        <f t="shared" si="22"/>
        <v/>
      </c>
      <c r="BV47" s="567" t="str">
        <f t="shared" si="23"/>
        <v/>
      </c>
      <c r="BW47" s="567" t="str">
        <f t="shared" si="24"/>
        <v/>
      </c>
      <c r="BX47" s="567" t="str">
        <f t="shared" si="25"/>
        <v/>
      </c>
      <c r="BY47" s="567" t="str">
        <f t="shared" si="26"/>
        <v/>
      </c>
      <c r="BZ47" s="567" t="str">
        <f t="shared" si="27"/>
        <v/>
      </c>
      <c r="CA47" s="567" t="str">
        <f t="shared" si="28"/>
        <v/>
      </c>
      <c r="CB47" s="567" t="str">
        <f t="shared" si="29"/>
        <v/>
      </c>
      <c r="CC47" s="567" t="str">
        <f t="shared" si="30"/>
        <v/>
      </c>
      <c r="CD47" s="567" t="str">
        <f t="shared" si="31"/>
        <v/>
      </c>
      <c r="CE47" s="567" t="str">
        <f t="shared" si="32"/>
        <v/>
      </c>
      <c r="CF47" s="567" t="str">
        <f t="shared" si="33"/>
        <v/>
      </c>
      <c r="CG47" s="567" t="str">
        <f t="shared" si="34"/>
        <v/>
      </c>
      <c r="CH47" s="567" t="str">
        <f t="shared" si="35"/>
        <v/>
      </c>
      <c r="CI47" s="567" t="str">
        <f t="shared" si="36"/>
        <v/>
      </c>
      <c r="CJ47" s="567" t="str">
        <f t="shared" si="37"/>
        <v/>
      </c>
      <c r="CK47" s="567" t="str">
        <f t="shared" si="38"/>
        <v/>
      </c>
      <c r="CL47" s="567" t="str">
        <f t="shared" si="39"/>
        <v/>
      </c>
      <c r="CM47" s="567" t="str">
        <f t="shared" si="40"/>
        <v/>
      </c>
      <c r="CN47" s="567" t="str">
        <f t="shared" si="41"/>
        <v/>
      </c>
      <c r="CO47" s="567" t="str">
        <f t="shared" si="42"/>
        <v/>
      </c>
      <c r="CP47" s="567" t="str">
        <f t="shared" si="43"/>
        <v/>
      </c>
      <c r="CQ47" s="567" t="str">
        <f t="shared" si="44"/>
        <v/>
      </c>
      <c r="CR47" s="567" t="str">
        <f t="shared" si="45"/>
        <v/>
      </c>
      <c r="CS47" s="567" t="str">
        <f t="shared" si="46"/>
        <v/>
      </c>
      <c r="CT47" s="567" t="str">
        <f t="shared" si="47"/>
        <v/>
      </c>
      <c r="CU47" s="567" t="str">
        <f t="shared" si="48"/>
        <v/>
      </c>
      <c r="CV47" s="567" t="str">
        <f t="shared" si="49"/>
        <v/>
      </c>
      <c r="CW47" s="567" t="str">
        <f t="shared" si="50"/>
        <v/>
      </c>
      <c r="CX47" s="567" t="str">
        <f t="shared" si="51"/>
        <v/>
      </c>
      <c r="CY47" s="567" t="str">
        <f t="shared" si="52"/>
        <v/>
      </c>
      <c r="CZ47" s="567" t="str">
        <f t="shared" si="53"/>
        <v/>
      </c>
      <c r="DA47" s="567" t="str">
        <f t="shared" si="54"/>
        <v/>
      </c>
      <c r="DB47" s="567" t="str">
        <f t="shared" si="55"/>
        <v/>
      </c>
      <c r="DC47" s="567" t="str">
        <f t="shared" si="56"/>
        <v/>
      </c>
      <c r="DD47" s="567" t="str">
        <f t="shared" si="57"/>
        <v/>
      </c>
      <c r="DE47" s="567" t="str">
        <f t="shared" si="58"/>
        <v/>
      </c>
      <c r="DF47" s="567" t="str">
        <f t="shared" si="59"/>
        <v/>
      </c>
      <c r="DG47" s="567" t="str">
        <f t="shared" si="60"/>
        <v/>
      </c>
      <c r="DH47" s="567" t="str">
        <f t="shared" si="61"/>
        <v/>
      </c>
      <c r="DI47" s="567" t="str">
        <f t="shared" si="62"/>
        <v/>
      </c>
      <c r="DJ47" s="567" t="str">
        <f t="shared" si="63"/>
        <v/>
      </c>
      <c r="DK47" s="567" t="str">
        <f t="shared" si="64"/>
        <v/>
      </c>
      <c r="DL47" s="567" t="str">
        <f t="shared" si="65"/>
        <v/>
      </c>
      <c r="DM47" s="567" t="str">
        <f t="shared" si="66"/>
        <v/>
      </c>
      <c r="DN47" s="567" t="str">
        <f t="shared" si="67"/>
        <v/>
      </c>
      <c r="DO47" s="567" t="str">
        <f t="shared" si="68"/>
        <v/>
      </c>
      <c r="DP47" s="567" t="str">
        <f t="shared" si="69"/>
        <v/>
      </c>
      <c r="DQ47" s="567" t="str">
        <f t="shared" si="70"/>
        <v/>
      </c>
      <c r="DR47" s="567" t="str">
        <f t="shared" si="71"/>
        <v/>
      </c>
      <c r="DS47" s="567" t="str">
        <f t="shared" si="72"/>
        <v/>
      </c>
      <c r="DT47" s="567" t="str">
        <f t="shared" si="73"/>
        <v/>
      </c>
      <c r="DU47" s="567" t="str">
        <f t="shared" si="74"/>
        <v/>
      </c>
      <c r="DV47" s="567" t="str">
        <f t="shared" si="75"/>
        <v/>
      </c>
      <c r="DW47" s="567" t="str">
        <f t="shared" si="76"/>
        <v/>
      </c>
      <c r="DX47" s="567" t="str">
        <f t="shared" si="77"/>
        <v/>
      </c>
      <c r="DY47" s="567" t="str">
        <f t="shared" si="78"/>
        <v/>
      </c>
      <c r="DZ47" s="567" t="str">
        <f t="shared" si="79"/>
        <v/>
      </c>
      <c r="EA47" s="567" t="str">
        <f t="shared" si="80"/>
        <v/>
      </c>
      <c r="EB47" s="567" t="str">
        <f t="shared" si="81"/>
        <v/>
      </c>
      <c r="EC47" s="567" t="str">
        <f t="shared" si="82"/>
        <v/>
      </c>
      <c r="ED47" s="567" t="str">
        <f t="shared" si="83"/>
        <v/>
      </c>
      <c r="EE47" s="567" t="str">
        <f t="shared" si="84"/>
        <v/>
      </c>
      <c r="EF47" s="567" t="str">
        <f t="shared" si="85"/>
        <v/>
      </c>
      <c r="EG47" s="567" t="str">
        <f t="shared" si="86"/>
        <v/>
      </c>
      <c r="EH47" s="567" t="str">
        <f t="shared" si="87"/>
        <v/>
      </c>
      <c r="EI47" s="567" t="str">
        <f t="shared" si="88"/>
        <v/>
      </c>
      <c r="EJ47" s="567" t="str">
        <f t="shared" si="89"/>
        <v/>
      </c>
      <c r="EK47" s="567" t="str">
        <f t="shared" si="90"/>
        <v/>
      </c>
      <c r="EL47" s="567" t="str">
        <f t="shared" si="91"/>
        <v/>
      </c>
      <c r="EM47" s="567" t="str">
        <f t="shared" si="92"/>
        <v/>
      </c>
      <c r="EN47" s="567" t="str">
        <f t="shared" si="93"/>
        <v/>
      </c>
      <c r="EO47" s="567" t="str">
        <f t="shared" si="94"/>
        <v/>
      </c>
      <c r="EP47" s="567" t="str">
        <f t="shared" si="95"/>
        <v/>
      </c>
      <c r="EQ47" s="567" t="str">
        <f t="shared" si="96"/>
        <v/>
      </c>
      <c r="ER47" s="567" t="str">
        <f t="shared" si="97"/>
        <v/>
      </c>
      <c r="ES47" s="567" t="str">
        <f t="shared" si="98"/>
        <v/>
      </c>
      <c r="ET47" s="567" t="str">
        <f t="shared" si="99"/>
        <v/>
      </c>
      <c r="EU47" s="567" t="str">
        <f t="shared" si="100"/>
        <v/>
      </c>
      <c r="EV47" s="577" t="str">
        <f t="shared" si="101"/>
        <v/>
      </c>
      <c r="EW47" s="577" t="str">
        <f t="shared" si="102"/>
        <v/>
      </c>
      <c r="EX47" s="577" t="str">
        <f t="shared" si="103"/>
        <v/>
      </c>
      <c r="EY47" s="577" t="str">
        <f t="shared" si="104"/>
        <v/>
      </c>
      <c r="EZ47" s="577" t="str">
        <f t="shared" si="105"/>
        <v/>
      </c>
      <c r="FA47" s="577" t="str">
        <f t="shared" si="106"/>
        <v/>
      </c>
      <c r="FB47" s="577" t="str">
        <f t="shared" si="107"/>
        <v/>
      </c>
      <c r="FC47" s="577" t="str">
        <f t="shared" si="108"/>
        <v/>
      </c>
      <c r="FD47" s="577" t="str">
        <f t="shared" si="109"/>
        <v/>
      </c>
      <c r="FE47" s="577" t="str">
        <f t="shared" si="110"/>
        <v/>
      </c>
      <c r="FF47" s="577" t="str">
        <f t="shared" si="111"/>
        <v/>
      </c>
      <c r="FG47" s="577" t="str">
        <f t="shared" si="112"/>
        <v/>
      </c>
      <c r="FH47" s="577" t="str">
        <f t="shared" si="113"/>
        <v/>
      </c>
      <c r="FI47" s="577" t="str">
        <f t="shared" si="114"/>
        <v/>
      </c>
      <c r="FJ47" s="577" t="str">
        <f t="shared" si="115"/>
        <v/>
      </c>
      <c r="FK47" s="577" t="str">
        <f t="shared" si="116"/>
        <v/>
      </c>
      <c r="FL47" s="577" t="str">
        <f t="shared" si="117"/>
        <v/>
      </c>
      <c r="FM47" s="577" t="str">
        <f t="shared" si="118"/>
        <v/>
      </c>
      <c r="FN47" s="577" t="str">
        <f t="shared" si="119"/>
        <v/>
      </c>
      <c r="FO47" s="577" t="str">
        <f t="shared" si="120"/>
        <v/>
      </c>
      <c r="FP47" s="577" t="str">
        <f t="shared" si="121"/>
        <v/>
      </c>
      <c r="FQ47" s="577" t="str">
        <f t="shared" si="122"/>
        <v/>
      </c>
      <c r="FR47" s="577" t="str">
        <f t="shared" si="123"/>
        <v/>
      </c>
      <c r="FS47" s="577" t="str">
        <f t="shared" si="124"/>
        <v/>
      </c>
      <c r="FT47" s="577" t="str">
        <f t="shared" si="125"/>
        <v/>
      </c>
      <c r="FU47" s="577" t="str">
        <f t="shared" si="126"/>
        <v/>
      </c>
      <c r="FV47" s="577" t="str">
        <f t="shared" si="127"/>
        <v/>
      </c>
      <c r="FW47" s="577" t="str">
        <f t="shared" si="128"/>
        <v/>
      </c>
      <c r="FX47" s="577" t="str">
        <f t="shared" si="129"/>
        <v/>
      </c>
      <c r="FY47" s="577" t="str">
        <f t="shared" si="130"/>
        <v/>
      </c>
      <c r="FZ47" s="577" t="str">
        <f t="shared" si="131"/>
        <v/>
      </c>
      <c r="GA47" s="577" t="str">
        <f t="shared" si="132"/>
        <v/>
      </c>
      <c r="GB47" s="577" t="str">
        <f t="shared" si="133"/>
        <v/>
      </c>
      <c r="GC47" s="577" t="str">
        <f t="shared" si="134"/>
        <v/>
      </c>
      <c r="GD47" s="577" t="str">
        <f t="shared" si="135"/>
        <v/>
      </c>
      <c r="GE47" s="577" t="str">
        <f t="shared" si="136"/>
        <v/>
      </c>
      <c r="GF47" s="577" t="str">
        <f t="shared" si="137"/>
        <v/>
      </c>
      <c r="GG47" s="577" t="str">
        <f t="shared" si="138"/>
        <v/>
      </c>
      <c r="GH47" s="577" t="str">
        <f t="shared" si="139"/>
        <v/>
      </c>
      <c r="GI47" s="577" t="str">
        <f t="shared" si="140"/>
        <v/>
      </c>
      <c r="GJ47" s="577" t="str">
        <f t="shared" si="141"/>
        <v/>
      </c>
      <c r="GK47" s="577" t="str">
        <f t="shared" si="142"/>
        <v/>
      </c>
      <c r="GL47" s="577" t="str">
        <f t="shared" si="143"/>
        <v/>
      </c>
      <c r="GM47" s="577" t="str">
        <f t="shared" si="144"/>
        <v/>
      </c>
      <c r="GN47" s="577" t="str">
        <f t="shared" si="145"/>
        <v/>
      </c>
      <c r="GO47" s="578" t="str">
        <f t="shared" si="146"/>
        <v/>
      </c>
      <c r="GP47" s="578" t="str">
        <f t="shared" si="147"/>
        <v/>
      </c>
      <c r="GQ47" s="578" t="str">
        <f t="shared" si="148"/>
        <v/>
      </c>
      <c r="GR47" s="578" t="str">
        <f t="shared" si="149"/>
        <v/>
      </c>
      <c r="GS47" s="578" t="str">
        <f t="shared" si="150"/>
        <v/>
      </c>
      <c r="GT47" s="567" t="str">
        <f t="shared" si="151"/>
        <v/>
      </c>
      <c r="GU47" s="567" t="str">
        <f t="shared" si="152"/>
        <v/>
      </c>
      <c r="GV47" s="567" t="str">
        <f t="shared" si="153"/>
        <v/>
      </c>
      <c r="GW47" s="567" t="str">
        <f t="shared" si="154"/>
        <v/>
      </c>
      <c r="GX47" s="567" t="str">
        <f t="shared" si="155"/>
        <v/>
      </c>
      <c r="GY47" s="567" t="str">
        <f t="shared" si="156"/>
        <v/>
      </c>
      <c r="GZ47" s="567" t="str">
        <f t="shared" si="157"/>
        <v/>
      </c>
      <c r="HA47" s="567" t="str">
        <f t="shared" si="158"/>
        <v/>
      </c>
      <c r="HB47" s="567" t="str">
        <f t="shared" si="159"/>
        <v/>
      </c>
      <c r="HC47" s="567" t="str">
        <f t="shared" si="160"/>
        <v/>
      </c>
      <c r="HD47" s="567" t="str">
        <f t="shared" si="161"/>
        <v/>
      </c>
      <c r="HE47" s="567" t="str">
        <f t="shared" si="162"/>
        <v/>
      </c>
      <c r="HF47" s="567" t="str">
        <f t="shared" si="163"/>
        <v/>
      </c>
      <c r="HG47" s="567" t="str">
        <f t="shared" si="164"/>
        <v/>
      </c>
      <c r="HH47" s="567" t="str">
        <f t="shared" si="165"/>
        <v/>
      </c>
      <c r="HI47" s="567" t="str">
        <f t="shared" si="166"/>
        <v/>
      </c>
      <c r="HJ47" s="567" t="str">
        <f t="shared" si="167"/>
        <v/>
      </c>
      <c r="HK47" s="567" t="str">
        <f t="shared" si="168"/>
        <v/>
      </c>
      <c r="HL47" s="567" t="str">
        <f t="shared" si="169"/>
        <v/>
      </c>
      <c r="HM47" s="567" t="str">
        <f t="shared" si="170"/>
        <v/>
      </c>
    </row>
    <row r="48" spans="1:221" ht="14.45" customHeight="1">
      <c r="A48" s="200">
        <f>COUNT(A10,A11,A12,A13,A14,A15,A16,A17,A18,A19,A20,A21,A22,A23,A24,A25,A26,A27,A28,A29,A30,A31,A32,A33,A34,A35,A36,A37,A38,A39)</f>
        <v>0</v>
      </c>
      <c r="B48" s="90"/>
      <c r="C48" s="1"/>
      <c r="D48" s="17" t="s">
        <v>1074</v>
      </c>
      <c r="E48" s="148">
        <f>SUM(E10:E47)</f>
        <v>84</v>
      </c>
      <c r="F48" s="149">
        <f>(E10*F10+E11*F11+E12*F12+E13*F13+E14*F14+E15*F15+E16*F16+E17*F17+E18*F18+E19*F19+E20*F20+E21*F21+E22*F22+E23*F23+E24*F24+E25*F25+E26*F26+E27*F27+E28*F28+E29*F29+E30*F30+E31*F31+E32*F32+E33*F33+E34*F34+E35*F35+E36*F36+E37*F37+E38*F38+E39*F39+E40*F40+E41*F41+E42*F42+E43*F43+E44*F44+E45*F45+E46*F46+E47*F47)</f>
        <v>69600</v>
      </c>
      <c r="G48" s="140"/>
      <c r="H48" s="141"/>
      <c r="I48" s="141"/>
      <c r="J48" s="141"/>
      <c r="K48" s="15" t="s">
        <v>1382</v>
      </c>
      <c r="L48" s="147">
        <f>SUM(L10:L47)</f>
        <v>42183</v>
      </c>
      <c r="M48" s="1"/>
      <c r="N48" s="40"/>
      <c r="O48" s="1"/>
      <c r="P48" s="521"/>
      <c r="Q48" s="521"/>
      <c r="R48" s="521"/>
      <c r="S48" s="521"/>
      <c r="T48" s="520"/>
      <c r="U48" s="522"/>
      <c r="V48" s="579">
        <f t="shared" ref="V48:CK48" si="206">SUM(V10:V47)</f>
        <v>0</v>
      </c>
      <c r="W48" s="579">
        <f t="shared" si="206"/>
        <v>10</v>
      </c>
      <c r="X48" s="579">
        <f t="shared" si="206"/>
        <v>47</v>
      </c>
      <c r="Y48" s="579">
        <f t="shared" si="206"/>
        <v>0</v>
      </c>
      <c r="Z48" s="579">
        <f t="shared" si="206"/>
        <v>0</v>
      </c>
      <c r="AA48" s="579">
        <f t="shared" si="206"/>
        <v>0</v>
      </c>
      <c r="AB48" s="579">
        <f t="shared" si="206"/>
        <v>13</v>
      </c>
      <c r="AC48" s="579">
        <f t="shared" si="206"/>
        <v>9</v>
      </c>
      <c r="AD48" s="579">
        <f t="shared" si="206"/>
        <v>0</v>
      </c>
      <c r="AE48" s="579">
        <f t="shared" si="206"/>
        <v>0</v>
      </c>
      <c r="AF48" s="579">
        <f t="shared" si="206"/>
        <v>0</v>
      </c>
      <c r="AG48" s="579">
        <f t="shared" si="206"/>
        <v>0</v>
      </c>
      <c r="AH48" s="579">
        <f t="shared" si="206"/>
        <v>0</v>
      </c>
      <c r="AI48" s="579">
        <f t="shared" si="206"/>
        <v>0</v>
      </c>
      <c r="AJ48" s="579">
        <f t="shared" si="206"/>
        <v>0</v>
      </c>
      <c r="AK48" s="579">
        <f t="shared" si="206"/>
        <v>0</v>
      </c>
      <c r="AL48" s="579">
        <f t="shared" si="206"/>
        <v>1</v>
      </c>
      <c r="AM48" s="579">
        <f t="shared" si="206"/>
        <v>4</v>
      </c>
      <c r="AN48" s="579">
        <f t="shared" si="206"/>
        <v>0</v>
      </c>
      <c r="AO48" s="579">
        <f t="shared" si="206"/>
        <v>0</v>
      </c>
      <c r="AP48" s="579">
        <f t="shared" si="206"/>
        <v>0</v>
      </c>
      <c r="AQ48" s="579">
        <f t="shared" si="206"/>
        <v>0</v>
      </c>
      <c r="AR48" s="579">
        <f t="shared" si="206"/>
        <v>0</v>
      </c>
      <c r="AS48" s="579">
        <f t="shared" si="206"/>
        <v>0</v>
      </c>
      <c r="AT48" s="579">
        <f t="shared" si="206"/>
        <v>0</v>
      </c>
      <c r="AU48" s="579">
        <f t="shared" si="206"/>
        <v>0</v>
      </c>
      <c r="AV48" s="579">
        <f t="shared" si="206"/>
        <v>0</v>
      </c>
      <c r="AW48" s="579">
        <f t="shared" si="206"/>
        <v>0</v>
      </c>
      <c r="AX48" s="579">
        <f t="shared" si="206"/>
        <v>0</v>
      </c>
      <c r="AY48" s="579">
        <f t="shared" si="206"/>
        <v>0</v>
      </c>
      <c r="AZ48" s="579">
        <f t="shared" si="206"/>
        <v>0</v>
      </c>
      <c r="BA48" s="579">
        <f t="shared" si="206"/>
        <v>0</v>
      </c>
      <c r="BB48" s="579">
        <f t="shared" si="206"/>
        <v>0</v>
      </c>
      <c r="BC48" s="579">
        <f t="shared" si="206"/>
        <v>0</v>
      </c>
      <c r="BD48" s="579">
        <f t="shared" si="206"/>
        <v>0</v>
      </c>
      <c r="BE48" s="579">
        <f t="shared" ref="BE48:BS48" si="207">SUM(BE10:BE47)</f>
        <v>0</v>
      </c>
      <c r="BF48" s="579">
        <f t="shared" si="207"/>
        <v>0</v>
      </c>
      <c r="BG48" s="579">
        <f t="shared" si="207"/>
        <v>0</v>
      </c>
      <c r="BH48" s="579">
        <f t="shared" si="207"/>
        <v>0</v>
      </c>
      <c r="BI48" s="579">
        <f t="shared" si="207"/>
        <v>0</v>
      </c>
      <c r="BJ48" s="579">
        <f t="shared" si="207"/>
        <v>0</v>
      </c>
      <c r="BK48" s="579">
        <f t="shared" si="207"/>
        <v>0</v>
      </c>
      <c r="BL48" s="579">
        <f t="shared" si="207"/>
        <v>0</v>
      </c>
      <c r="BM48" s="579">
        <f t="shared" si="207"/>
        <v>0</v>
      </c>
      <c r="BN48" s="579">
        <f t="shared" si="207"/>
        <v>0</v>
      </c>
      <c r="BO48" s="579">
        <f t="shared" si="207"/>
        <v>0</v>
      </c>
      <c r="BP48" s="579">
        <f t="shared" si="207"/>
        <v>0</v>
      </c>
      <c r="BQ48" s="579">
        <f t="shared" si="207"/>
        <v>0</v>
      </c>
      <c r="BR48" s="579">
        <f t="shared" si="207"/>
        <v>0</v>
      </c>
      <c r="BS48" s="579">
        <f t="shared" si="207"/>
        <v>0</v>
      </c>
      <c r="BT48" s="579">
        <f t="shared" si="206"/>
        <v>0</v>
      </c>
      <c r="BU48" s="579">
        <f t="shared" si="206"/>
        <v>0</v>
      </c>
      <c r="BV48" s="579">
        <f t="shared" si="206"/>
        <v>0</v>
      </c>
      <c r="BW48" s="579">
        <f t="shared" si="206"/>
        <v>0</v>
      </c>
      <c r="BX48" s="579">
        <f t="shared" si="206"/>
        <v>0</v>
      </c>
      <c r="BY48" s="579">
        <f t="shared" si="206"/>
        <v>0</v>
      </c>
      <c r="BZ48" s="579">
        <f t="shared" si="206"/>
        <v>6500</v>
      </c>
      <c r="CA48" s="579">
        <f t="shared" si="206"/>
        <v>42300</v>
      </c>
      <c r="CB48" s="579">
        <f t="shared" si="206"/>
        <v>0</v>
      </c>
      <c r="CC48" s="579">
        <f t="shared" si="206"/>
        <v>0</v>
      </c>
      <c r="CD48" s="579">
        <f t="shared" si="206"/>
        <v>0</v>
      </c>
      <c r="CE48" s="579">
        <f t="shared" si="206"/>
        <v>8450</v>
      </c>
      <c r="CF48" s="579">
        <f t="shared" si="206"/>
        <v>8100</v>
      </c>
      <c r="CG48" s="579">
        <f t="shared" si="206"/>
        <v>0</v>
      </c>
      <c r="CH48" s="579">
        <f t="shared" si="206"/>
        <v>0</v>
      </c>
      <c r="CI48" s="579">
        <f t="shared" si="206"/>
        <v>0</v>
      </c>
      <c r="CJ48" s="579">
        <f t="shared" si="206"/>
        <v>0</v>
      </c>
      <c r="CK48" s="579">
        <f t="shared" si="206"/>
        <v>0</v>
      </c>
      <c r="CL48" s="579">
        <f t="shared" ref="CL48:EP48" si="208">SUM(CL10:CL47)</f>
        <v>0</v>
      </c>
      <c r="CM48" s="579">
        <f t="shared" si="208"/>
        <v>0</v>
      </c>
      <c r="CN48" s="579">
        <f t="shared" si="208"/>
        <v>0</v>
      </c>
      <c r="CO48" s="579">
        <f t="shared" si="208"/>
        <v>650</v>
      </c>
      <c r="CP48" s="579">
        <f t="shared" si="208"/>
        <v>3600</v>
      </c>
      <c r="CQ48" s="579">
        <f t="shared" si="208"/>
        <v>0</v>
      </c>
      <c r="CR48" s="579">
        <f t="shared" si="208"/>
        <v>0</v>
      </c>
      <c r="CS48" s="579">
        <f t="shared" si="208"/>
        <v>0</v>
      </c>
      <c r="CT48" s="579">
        <f t="shared" si="208"/>
        <v>0</v>
      </c>
      <c r="CU48" s="579">
        <f t="shared" si="208"/>
        <v>0</v>
      </c>
      <c r="CV48" s="579">
        <f t="shared" si="208"/>
        <v>0</v>
      </c>
      <c r="CW48" s="579">
        <f t="shared" si="208"/>
        <v>0</v>
      </c>
      <c r="CX48" s="579">
        <f t="shared" si="208"/>
        <v>0</v>
      </c>
      <c r="CY48" s="579">
        <f t="shared" si="208"/>
        <v>0</v>
      </c>
      <c r="CZ48" s="579">
        <f t="shared" si="208"/>
        <v>0</v>
      </c>
      <c r="DA48" s="579">
        <f t="shared" si="208"/>
        <v>0</v>
      </c>
      <c r="DB48" s="579">
        <f t="shared" si="208"/>
        <v>0</v>
      </c>
      <c r="DC48" s="579">
        <f t="shared" si="208"/>
        <v>0</v>
      </c>
      <c r="DD48" s="579">
        <f t="shared" si="208"/>
        <v>23</v>
      </c>
      <c r="DE48" s="579">
        <f t="shared" si="208"/>
        <v>56</v>
      </c>
      <c r="DF48" s="579">
        <f t="shared" si="208"/>
        <v>0</v>
      </c>
      <c r="DG48" s="579">
        <f t="shared" si="208"/>
        <v>0</v>
      </c>
      <c r="DH48" s="579">
        <f t="shared" si="208"/>
        <v>0</v>
      </c>
      <c r="DI48" s="579">
        <f t="shared" si="208"/>
        <v>1</v>
      </c>
      <c r="DJ48" s="579">
        <f t="shared" si="208"/>
        <v>4</v>
      </c>
      <c r="DK48" s="579">
        <f t="shared" si="208"/>
        <v>0</v>
      </c>
      <c r="DL48" s="579">
        <f t="shared" si="208"/>
        <v>0</v>
      </c>
      <c r="DM48" s="579">
        <f>SUM(DM10:DM47)</f>
        <v>0</v>
      </c>
      <c r="DN48" s="579">
        <f>SUM(DN10:DN47)</f>
        <v>0</v>
      </c>
      <c r="DO48" s="579">
        <f>SUM(DO10:DO47)</f>
        <v>0</v>
      </c>
      <c r="DP48" s="579">
        <f>SUM(DP10:DP47)</f>
        <v>0</v>
      </c>
      <c r="DQ48" s="579">
        <f>SUM(DQ10:DQ47)</f>
        <v>0</v>
      </c>
      <c r="DR48" s="579">
        <f t="shared" si="208"/>
        <v>0</v>
      </c>
      <c r="DS48" s="579">
        <f t="shared" si="208"/>
        <v>0</v>
      </c>
      <c r="DT48" s="579">
        <f t="shared" si="208"/>
        <v>0</v>
      </c>
      <c r="DU48" s="579">
        <f t="shared" si="208"/>
        <v>0</v>
      </c>
      <c r="DV48" s="579">
        <f t="shared" si="208"/>
        <v>0</v>
      </c>
      <c r="DW48" s="579">
        <f t="shared" si="208"/>
        <v>0</v>
      </c>
      <c r="DX48" s="579">
        <f t="shared" si="208"/>
        <v>0</v>
      </c>
      <c r="DY48" s="579">
        <f t="shared" si="208"/>
        <v>0</v>
      </c>
      <c r="DZ48" s="579">
        <f t="shared" si="208"/>
        <v>0</v>
      </c>
      <c r="EA48" s="579">
        <f t="shared" si="208"/>
        <v>0</v>
      </c>
      <c r="EB48" s="579">
        <f>SUM(EB10:EB47)</f>
        <v>0</v>
      </c>
      <c r="EC48" s="579">
        <f>SUM(EC10:EC47)</f>
        <v>0</v>
      </c>
      <c r="ED48" s="579">
        <f>SUM(ED10:ED47)</f>
        <v>0</v>
      </c>
      <c r="EE48" s="579">
        <f>SUM(EE10:EE47)</f>
        <v>0</v>
      </c>
      <c r="EF48" s="579">
        <f>SUM(EF10:EF47)</f>
        <v>0</v>
      </c>
      <c r="EG48" s="579">
        <f t="shared" si="208"/>
        <v>0</v>
      </c>
      <c r="EH48" s="579">
        <f t="shared" si="208"/>
        <v>0</v>
      </c>
      <c r="EI48" s="579">
        <f t="shared" si="208"/>
        <v>0</v>
      </c>
      <c r="EJ48" s="579">
        <f t="shared" si="208"/>
        <v>0</v>
      </c>
      <c r="EK48" s="579">
        <f t="shared" si="208"/>
        <v>0</v>
      </c>
      <c r="EL48" s="579">
        <f t="shared" si="208"/>
        <v>0</v>
      </c>
      <c r="EM48" s="579">
        <f t="shared" si="208"/>
        <v>0</v>
      </c>
      <c r="EN48" s="579">
        <f t="shared" si="208"/>
        <v>0</v>
      </c>
      <c r="EO48" s="579">
        <f t="shared" si="208"/>
        <v>0</v>
      </c>
      <c r="EP48" s="579">
        <f t="shared" si="208"/>
        <v>0</v>
      </c>
      <c r="EQ48" s="579">
        <f>SUM(EQ10:EQ47)</f>
        <v>0</v>
      </c>
      <c r="ER48" s="579">
        <f>SUM(ER10:ER47)</f>
        <v>0</v>
      </c>
      <c r="ES48" s="579">
        <f>SUM(ES10:ES47)</f>
        <v>0</v>
      </c>
      <c r="ET48" s="579">
        <f>SUM(ET10:ET47)</f>
        <v>0</v>
      </c>
      <c r="EU48" s="579">
        <f>SUM(EU10:EU47)</f>
        <v>0</v>
      </c>
      <c r="EV48" s="579">
        <f t="shared" ref="EV48:GN48" si="209">SUM(EV10:EV47)</f>
        <v>0</v>
      </c>
      <c r="EW48" s="579">
        <f t="shared" si="209"/>
        <v>24</v>
      </c>
      <c r="EX48" s="579">
        <f t="shared" si="209"/>
        <v>60</v>
      </c>
      <c r="EY48" s="579">
        <f t="shared" si="209"/>
        <v>0</v>
      </c>
      <c r="EZ48" s="579">
        <f t="shared" si="209"/>
        <v>0</v>
      </c>
      <c r="FA48" s="579">
        <f t="shared" si="209"/>
        <v>0</v>
      </c>
      <c r="FB48" s="579">
        <f t="shared" si="209"/>
        <v>0</v>
      </c>
      <c r="FC48" s="579">
        <f t="shared" si="209"/>
        <v>0</v>
      </c>
      <c r="FD48" s="579">
        <f t="shared" si="209"/>
        <v>0</v>
      </c>
      <c r="FE48" s="579">
        <f t="shared" si="209"/>
        <v>0</v>
      </c>
      <c r="FF48" s="579">
        <f t="shared" si="209"/>
        <v>0</v>
      </c>
      <c r="FG48" s="579">
        <f t="shared" si="209"/>
        <v>0</v>
      </c>
      <c r="FH48" s="579">
        <f t="shared" si="209"/>
        <v>0</v>
      </c>
      <c r="FI48" s="579">
        <f t="shared" si="209"/>
        <v>0</v>
      </c>
      <c r="FJ48" s="579">
        <f t="shared" si="209"/>
        <v>0</v>
      </c>
      <c r="FK48" s="579">
        <f t="shared" si="209"/>
        <v>0</v>
      </c>
      <c r="FL48" s="579">
        <f t="shared" si="209"/>
        <v>0</v>
      </c>
      <c r="FM48" s="579">
        <f t="shared" si="209"/>
        <v>0</v>
      </c>
      <c r="FN48" s="579">
        <f t="shared" si="209"/>
        <v>0</v>
      </c>
      <c r="FO48" s="579">
        <f t="shared" si="209"/>
        <v>0</v>
      </c>
      <c r="FP48" s="579">
        <f t="shared" si="209"/>
        <v>0</v>
      </c>
      <c r="FQ48" s="579">
        <f t="shared" si="209"/>
        <v>0</v>
      </c>
      <c r="FR48" s="579">
        <f t="shared" si="209"/>
        <v>0</v>
      </c>
      <c r="FS48" s="579">
        <f t="shared" si="209"/>
        <v>0</v>
      </c>
      <c r="FT48" s="579">
        <f t="shared" si="209"/>
        <v>0</v>
      </c>
      <c r="FU48" s="579">
        <f t="shared" si="209"/>
        <v>0</v>
      </c>
      <c r="FV48" s="579">
        <f t="shared" si="209"/>
        <v>0</v>
      </c>
      <c r="FW48" s="579">
        <f t="shared" si="209"/>
        <v>30</v>
      </c>
      <c r="FX48" s="579">
        <f t="shared" si="209"/>
        <v>0</v>
      </c>
      <c r="FY48" s="579">
        <f t="shared" si="209"/>
        <v>0</v>
      </c>
      <c r="FZ48" s="579">
        <f t="shared" si="209"/>
        <v>0</v>
      </c>
      <c r="GA48" s="579">
        <f t="shared" si="209"/>
        <v>0</v>
      </c>
      <c r="GB48" s="579">
        <f t="shared" si="209"/>
        <v>0</v>
      </c>
      <c r="GC48" s="579">
        <f t="shared" si="209"/>
        <v>0</v>
      </c>
      <c r="GD48" s="579">
        <f t="shared" si="209"/>
        <v>0</v>
      </c>
      <c r="GE48" s="579">
        <f t="shared" si="209"/>
        <v>0</v>
      </c>
      <c r="GF48" s="579">
        <f t="shared" si="209"/>
        <v>0</v>
      </c>
      <c r="GG48" s="579">
        <f t="shared" si="209"/>
        <v>0</v>
      </c>
      <c r="GH48" s="579">
        <f t="shared" si="209"/>
        <v>0</v>
      </c>
      <c r="GI48" s="579">
        <f t="shared" si="209"/>
        <v>0</v>
      </c>
      <c r="GJ48" s="579">
        <f t="shared" si="209"/>
        <v>0</v>
      </c>
      <c r="GK48" s="579">
        <f t="shared" si="209"/>
        <v>24</v>
      </c>
      <c r="GL48" s="579">
        <f t="shared" si="209"/>
        <v>30</v>
      </c>
      <c r="GM48" s="579">
        <f t="shared" si="209"/>
        <v>0</v>
      </c>
      <c r="GN48" s="579">
        <f t="shared" si="209"/>
        <v>0</v>
      </c>
      <c r="GO48" s="579">
        <f t="shared" ref="GO48:HM48" si="210">SUM(GO10:GO47)</f>
        <v>0</v>
      </c>
      <c r="GP48" s="579">
        <f t="shared" si="210"/>
        <v>0</v>
      </c>
      <c r="GQ48" s="579">
        <f t="shared" si="210"/>
        <v>0</v>
      </c>
      <c r="GR48" s="579">
        <f t="shared" si="210"/>
        <v>0</v>
      </c>
      <c r="GS48" s="579">
        <f t="shared" si="210"/>
        <v>0</v>
      </c>
      <c r="GT48" s="579">
        <f t="shared" si="210"/>
        <v>0</v>
      </c>
      <c r="GU48" s="579">
        <f t="shared" si="210"/>
        <v>0</v>
      </c>
      <c r="GV48" s="579">
        <f t="shared" si="210"/>
        <v>0</v>
      </c>
      <c r="GW48" s="579">
        <f t="shared" si="210"/>
        <v>0</v>
      </c>
      <c r="GX48" s="579">
        <f t="shared" si="210"/>
        <v>0</v>
      </c>
      <c r="GY48" s="579">
        <f t="shared" si="210"/>
        <v>0</v>
      </c>
      <c r="GZ48" s="579">
        <f t="shared" si="210"/>
        <v>0</v>
      </c>
      <c r="HA48" s="579">
        <f t="shared" si="210"/>
        <v>0</v>
      </c>
      <c r="HB48" s="579">
        <f t="shared" si="210"/>
        <v>0</v>
      </c>
      <c r="HC48" s="579">
        <f t="shared" si="210"/>
        <v>0</v>
      </c>
      <c r="HD48" s="579">
        <f t="shared" si="210"/>
        <v>0</v>
      </c>
      <c r="HE48" s="579">
        <f t="shared" si="210"/>
        <v>0</v>
      </c>
      <c r="HF48" s="579">
        <f t="shared" si="210"/>
        <v>0</v>
      </c>
      <c r="HG48" s="579">
        <f t="shared" si="210"/>
        <v>0</v>
      </c>
      <c r="HH48" s="579">
        <f t="shared" si="210"/>
        <v>0</v>
      </c>
      <c r="HI48" s="579">
        <f t="shared" si="210"/>
        <v>0</v>
      </c>
      <c r="HJ48" s="579">
        <f t="shared" si="210"/>
        <v>0</v>
      </c>
      <c r="HK48" s="579">
        <f t="shared" si="210"/>
        <v>0</v>
      </c>
      <c r="HL48" s="579">
        <f t="shared" si="210"/>
        <v>0</v>
      </c>
      <c r="HM48" s="579">
        <f t="shared" si="210"/>
        <v>0</v>
      </c>
    </row>
    <row r="49" spans="1:221" ht="14.45" customHeight="1">
      <c r="A49" s="96"/>
      <c r="B49" s="6"/>
      <c r="D49" s="17"/>
      <c r="E49" s="195"/>
      <c r="F49" s="195"/>
      <c r="G49" s="141"/>
      <c r="H49" s="141"/>
      <c r="I49" s="141"/>
      <c r="J49" s="141"/>
      <c r="K49" s="17" t="s">
        <v>862</v>
      </c>
      <c r="L49" s="147">
        <f>L48*12</f>
        <v>506196</v>
      </c>
      <c r="M49" s="1"/>
      <c r="N49" s="40"/>
      <c r="O49" s="105"/>
      <c r="P49" s="105"/>
      <c r="Q49" s="105"/>
      <c r="R49" s="105"/>
      <c r="S49" s="105"/>
      <c r="T49" s="105"/>
      <c r="U49" s="358"/>
      <c r="V49" s="579"/>
      <c r="W49" s="579"/>
      <c r="X49" s="579"/>
      <c r="Y49" s="579"/>
      <c r="Z49" s="579"/>
      <c r="AA49" s="579"/>
      <c r="AB49" s="579"/>
      <c r="AC49" s="579"/>
      <c r="AD49" s="579"/>
      <c r="AE49" s="579"/>
      <c r="AF49" s="579"/>
      <c r="AG49" s="579"/>
      <c r="AH49" s="579"/>
      <c r="AI49" s="579"/>
      <c r="AJ49" s="579"/>
      <c r="AK49" s="579"/>
      <c r="AL49" s="579"/>
      <c r="AM49" s="579"/>
      <c r="AN49" s="579"/>
      <c r="AO49" s="579"/>
      <c r="AP49" s="579"/>
      <c r="AQ49" s="579"/>
      <c r="AR49" s="579"/>
      <c r="AS49" s="579"/>
      <c r="AT49" s="579"/>
      <c r="AU49" s="579"/>
      <c r="AV49" s="579"/>
      <c r="AW49" s="579"/>
      <c r="AX49" s="579"/>
      <c r="AY49" s="579"/>
      <c r="AZ49" s="579"/>
      <c r="BA49" s="579"/>
      <c r="BB49" s="579"/>
      <c r="BC49" s="579"/>
      <c r="BD49" s="579"/>
      <c r="BE49" s="579"/>
      <c r="BF49" s="579"/>
      <c r="BG49" s="579"/>
      <c r="BH49" s="579"/>
      <c r="BI49" s="579"/>
      <c r="BJ49" s="579"/>
      <c r="BK49" s="579"/>
      <c r="BL49" s="579"/>
      <c r="BM49" s="579"/>
      <c r="BN49" s="579"/>
      <c r="BO49" s="579"/>
      <c r="BP49" s="579"/>
      <c r="BQ49" s="579"/>
      <c r="BR49" s="579"/>
      <c r="BS49" s="579"/>
      <c r="BT49" s="579"/>
      <c r="BU49" s="579"/>
      <c r="BV49" s="579"/>
      <c r="BW49" s="579"/>
      <c r="BX49" s="579"/>
      <c r="BY49" s="579"/>
      <c r="BZ49" s="579"/>
      <c r="CA49" s="579"/>
      <c r="CB49" s="579"/>
      <c r="CC49" s="579"/>
      <c r="CD49" s="579"/>
      <c r="CE49" s="579"/>
      <c r="CF49" s="579"/>
      <c r="CG49" s="579"/>
      <c r="CH49" s="579"/>
      <c r="CI49" s="579"/>
      <c r="CJ49" s="579"/>
      <c r="CK49" s="579"/>
      <c r="CL49" s="579"/>
      <c r="CM49" s="579"/>
      <c r="CN49" s="579"/>
      <c r="CO49" s="579"/>
      <c r="CP49" s="579"/>
      <c r="CQ49" s="579"/>
      <c r="CR49" s="579"/>
      <c r="CS49" s="579"/>
      <c r="CT49" s="579"/>
      <c r="CU49" s="579"/>
      <c r="CV49" s="579"/>
      <c r="CW49" s="579"/>
      <c r="CX49" s="579"/>
      <c r="CY49" s="579"/>
      <c r="CZ49" s="579"/>
      <c r="DA49" s="579"/>
      <c r="DB49" s="579"/>
      <c r="DC49" s="579"/>
      <c r="DD49" s="579"/>
      <c r="DE49" s="579"/>
      <c r="DF49" s="579"/>
      <c r="DG49" s="579"/>
      <c r="DH49" s="579"/>
      <c r="DI49" s="579"/>
      <c r="DJ49" s="579"/>
      <c r="DK49" s="579"/>
      <c r="DL49" s="579"/>
      <c r="DM49" s="579"/>
      <c r="DN49" s="579"/>
      <c r="DO49" s="579"/>
      <c r="DP49" s="579"/>
      <c r="DQ49" s="579"/>
      <c r="DR49" s="579"/>
      <c r="DS49" s="579"/>
      <c r="DT49" s="579"/>
      <c r="DU49" s="579"/>
      <c r="DV49" s="579"/>
      <c r="DW49" s="579"/>
      <c r="DX49" s="579"/>
      <c r="DY49" s="579"/>
      <c r="DZ49" s="579"/>
      <c r="EA49" s="579"/>
      <c r="EB49" s="579"/>
      <c r="EC49" s="579"/>
      <c r="ED49" s="579"/>
      <c r="EE49" s="579"/>
      <c r="EF49" s="579"/>
      <c r="EG49" s="579"/>
      <c r="EH49" s="579"/>
      <c r="EI49" s="579"/>
      <c r="EJ49" s="579"/>
      <c r="EK49" s="579"/>
      <c r="EL49" s="579"/>
      <c r="EM49" s="579"/>
      <c r="EN49" s="579"/>
      <c r="EO49" s="579"/>
      <c r="EP49" s="579"/>
      <c r="EQ49" s="579"/>
      <c r="ER49" s="579"/>
      <c r="ES49" s="579"/>
      <c r="ET49" s="579"/>
      <c r="EU49" s="579"/>
      <c r="EV49" s="579"/>
      <c r="EW49" s="579"/>
      <c r="EX49" s="579"/>
      <c r="EY49" s="579"/>
      <c r="EZ49" s="579"/>
      <c r="FA49" s="579"/>
      <c r="FB49" s="579"/>
      <c r="FC49" s="579"/>
      <c r="FD49" s="579"/>
      <c r="FE49" s="579"/>
      <c r="FF49" s="579"/>
      <c r="FG49" s="579"/>
      <c r="FH49" s="579"/>
      <c r="FI49" s="579"/>
      <c r="FJ49" s="579"/>
      <c r="FK49" s="579"/>
      <c r="FL49" s="579"/>
      <c r="FM49" s="579"/>
      <c r="FN49" s="579"/>
      <c r="FO49" s="579"/>
      <c r="FP49" s="579"/>
      <c r="FQ49" s="579"/>
      <c r="FR49" s="579"/>
      <c r="FS49" s="579"/>
      <c r="FT49" s="579"/>
      <c r="FU49" s="579"/>
      <c r="FV49" s="579"/>
      <c r="FW49" s="579"/>
      <c r="FX49" s="579"/>
      <c r="FY49" s="579"/>
      <c r="FZ49" s="579"/>
      <c r="GA49" s="579"/>
      <c r="GB49" s="579"/>
      <c r="GC49" s="579"/>
      <c r="GD49" s="579"/>
      <c r="GE49" s="579"/>
      <c r="GF49" s="579"/>
      <c r="GG49" s="579"/>
      <c r="GH49" s="579"/>
      <c r="GI49" s="579"/>
      <c r="GJ49" s="579"/>
      <c r="GK49" s="579"/>
      <c r="GL49" s="579"/>
      <c r="GM49" s="579"/>
      <c r="GN49" s="579"/>
      <c r="GO49" s="579"/>
      <c r="GP49" s="579"/>
      <c r="GQ49" s="579"/>
      <c r="GR49" s="579"/>
      <c r="GS49" s="579"/>
      <c r="GT49" s="579"/>
      <c r="GU49" s="579"/>
      <c r="GV49" s="579"/>
      <c r="GW49" s="579"/>
      <c r="GX49" s="579"/>
      <c r="GY49" s="579"/>
      <c r="GZ49" s="579"/>
      <c r="HA49" s="579"/>
      <c r="HB49" s="579"/>
      <c r="HC49" s="579"/>
      <c r="HD49" s="579"/>
      <c r="HE49" s="579"/>
      <c r="HF49" s="579"/>
      <c r="HG49" s="579"/>
      <c r="HH49" s="579"/>
      <c r="HI49" s="579"/>
      <c r="HJ49" s="579"/>
      <c r="HK49" s="579"/>
      <c r="HL49" s="579"/>
      <c r="HM49" s="579"/>
    </row>
    <row r="50" spans="1:221" ht="3" customHeight="1">
      <c r="A50" s="483"/>
      <c r="B50" s="6"/>
      <c r="D50" s="17"/>
      <c r="E50" s="195"/>
      <c r="F50" s="195"/>
      <c r="G50" s="141"/>
      <c r="H50" s="141"/>
      <c r="I50" s="141"/>
      <c r="J50" s="141"/>
      <c r="K50" s="17"/>
      <c r="L50" s="195"/>
      <c r="M50" s="1"/>
      <c r="N50" s="40"/>
      <c r="O50" s="105"/>
      <c r="P50" s="105"/>
      <c r="Q50" s="105"/>
      <c r="R50" s="105"/>
      <c r="S50" s="105"/>
      <c r="T50" s="105"/>
      <c r="U50" s="358"/>
      <c r="V50" s="579"/>
      <c r="W50" s="579"/>
      <c r="X50" s="579"/>
      <c r="Y50" s="579"/>
      <c r="Z50" s="579"/>
      <c r="AA50" s="579"/>
      <c r="AB50" s="579"/>
      <c r="AC50" s="579"/>
      <c r="AD50" s="579"/>
      <c r="AE50" s="579"/>
      <c r="AF50" s="579"/>
      <c r="AG50" s="579"/>
      <c r="AH50" s="579"/>
      <c r="AI50" s="579"/>
      <c r="AJ50" s="579"/>
      <c r="AK50" s="579"/>
      <c r="AL50" s="579"/>
      <c r="AM50" s="579"/>
      <c r="AN50" s="579"/>
      <c r="AO50" s="579"/>
      <c r="AP50" s="579"/>
      <c r="AQ50" s="579"/>
      <c r="AR50" s="579"/>
      <c r="AS50" s="579"/>
      <c r="AT50" s="579"/>
      <c r="AU50" s="579"/>
      <c r="AV50" s="579"/>
      <c r="AW50" s="579"/>
      <c r="AX50" s="579"/>
      <c r="AY50" s="579"/>
      <c r="AZ50" s="579"/>
      <c r="BA50" s="579"/>
      <c r="BB50" s="579"/>
      <c r="BC50" s="579"/>
      <c r="BD50" s="579"/>
      <c r="BE50" s="579"/>
      <c r="BF50" s="579"/>
      <c r="BG50" s="579"/>
      <c r="BH50" s="579"/>
      <c r="BI50" s="579"/>
      <c r="BJ50" s="579"/>
      <c r="BK50" s="579"/>
      <c r="BL50" s="579"/>
      <c r="BM50" s="579"/>
      <c r="BN50" s="579"/>
      <c r="BO50" s="579"/>
      <c r="BP50" s="579"/>
      <c r="BQ50" s="579"/>
      <c r="BR50" s="579"/>
      <c r="BS50" s="579"/>
      <c r="BT50" s="579"/>
      <c r="BU50" s="579"/>
      <c r="BV50" s="579"/>
      <c r="BW50" s="579"/>
      <c r="BX50" s="579"/>
      <c r="BY50" s="579"/>
      <c r="BZ50" s="579"/>
      <c r="CA50" s="579"/>
      <c r="CB50" s="579"/>
      <c r="CC50" s="579"/>
      <c r="CD50" s="579"/>
      <c r="CE50" s="579"/>
      <c r="CF50" s="579"/>
      <c r="CG50" s="579"/>
      <c r="CH50" s="579"/>
      <c r="CI50" s="579"/>
      <c r="CJ50" s="579"/>
      <c r="CK50" s="579"/>
      <c r="CL50" s="579"/>
      <c r="CM50" s="579"/>
      <c r="CN50" s="579"/>
      <c r="CO50" s="579"/>
      <c r="CP50" s="579"/>
      <c r="CQ50" s="579"/>
      <c r="CR50" s="579"/>
      <c r="CS50" s="579"/>
      <c r="CT50" s="579"/>
      <c r="CU50" s="579"/>
      <c r="CV50" s="579"/>
      <c r="CW50" s="579"/>
      <c r="CX50" s="579"/>
      <c r="CY50" s="579"/>
      <c r="CZ50" s="579"/>
      <c r="DA50" s="579"/>
      <c r="DB50" s="579"/>
      <c r="DC50" s="579"/>
      <c r="DD50" s="579"/>
      <c r="DE50" s="579"/>
      <c r="DF50" s="579"/>
      <c r="DG50" s="579"/>
      <c r="DH50" s="579"/>
      <c r="DI50" s="579"/>
      <c r="DJ50" s="579"/>
      <c r="DK50" s="579"/>
      <c r="DL50" s="579"/>
      <c r="DM50" s="579"/>
      <c r="DN50" s="579"/>
      <c r="DO50" s="579"/>
      <c r="DP50" s="579"/>
      <c r="DQ50" s="579"/>
      <c r="DR50" s="579"/>
      <c r="DS50" s="579"/>
      <c r="DT50" s="579"/>
      <c r="DU50" s="579"/>
      <c r="DV50" s="579"/>
      <c r="DW50" s="579"/>
      <c r="DX50" s="579"/>
      <c r="DY50" s="579"/>
      <c r="DZ50" s="579"/>
      <c r="EA50" s="579"/>
      <c r="EB50" s="579"/>
      <c r="EC50" s="579"/>
      <c r="ED50" s="579"/>
      <c r="EE50" s="579"/>
      <c r="EF50" s="579"/>
      <c r="EG50" s="579"/>
      <c r="EH50" s="579"/>
      <c r="EI50" s="579"/>
      <c r="EJ50" s="579"/>
      <c r="EK50" s="579"/>
      <c r="EL50" s="579"/>
      <c r="EM50" s="579"/>
      <c r="EN50" s="579"/>
      <c r="EO50" s="579"/>
      <c r="EP50" s="579"/>
      <c r="EQ50" s="579"/>
      <c r="ER50" s="579"/>
      <c r="ES50" s="579"/>
      <c r="ET50" s="579"/>
      <c r="EU50" s="579"/>
      <c r="EV50" s="579"/>
      <c r="EW50" s="579"/>
      <c r="EX50" s="579"/>
      <c r="EY50" s="579"/>
      <c r="EZ50" s="579"/>
      <c r="FA50" s="579"/>
      <c r="FB50" s="579"/>
      <c r="FC50" s="579"/>
      <c r="FD50" s="579"/>
      <c r="FE50" s="579"/>
      <c r="FF50" s="579"/>
      <c r="FG50" s="579"/>
      <c r="FH50" s="579"/>
      <c r="FI50" s="579"/>
      <c r="FJ50" s="579"/>
      <c r="FK50" s="579"/>
      <c r="FL50" s="579"/>
      <c r="FM50" s="579"/>
      <c r="FN50" s="579"/>
      <c r="FO50" s="579"/>
      <c r="FP50" s="579"/>
      <c r="FQ50" s="579"/>
      <c r="FR50" s="579"/>
      <c r="FS50" s="579"/>
      <c r="FT50" s="579"/>
      <c r="FU50" s="579"/>
      <c r="FV50" s="579"/>
      <c r="FW50" s="579"/>
      <c r="FX50" s="579"/>
      <c r="FY50" s="579"/>
      <c r="FZ50" s="579"/>
      <c r="GA50" s="579"/>
      <c r="GB50" s="579"/>
      <c r="GC50" s="579"/>
      <c r="GD50" s="579"/>
      <c r="GE50" s="579"/>
      <c r="GF50" s="579"/>
      <c r="GG50" s="579"/>
      <c r="GH50" s="579"/>
      <c r="GI50" s="579"/>
      <c r="GJ50" s="579"/>
      <c r="GK50" s="579"/>
      <c r="GL50" s="579"/>
      <c r="GM50" s="579"/>
      <c r="GN50" s="579"/>
      <c r="GO50" s="579"/>
      <c r="GP50" s="579"/>
      <c r="GQ50" s="579"/>
      <c r="GR50" s="579"/>
      <c r="GS50" s="579"/>
      <c r="GT50" s="579"/>
      <c r="GU50" s="579"/>
      <c r="GV50" s="579"/>
      <c r="GW50" s="579"/>
      <c r="GX50" s="579"/>
      <c r="GY50" s="579"/>
      <c r="GZ50" s="579"/>
      <c r="HA50" s="579"/>
      <c r="HB50" s="579"/>
      <c r="HC50" s="579"/>
      <c r="HD50" s="579"/>
      <c r="HE50" s="579"/>
      <c r="HF50" s="579"/>
      <c r="HG50" s="579"/>
      <c r="HH50" s="579"/>
      <c r="HI50" s="579"/>
      <c r="HJ50" s="579"/>
      <c r="HK50" s="579"/>
      <c r="HL50" s="579"/>
      <c r="HM50" s="579"/>
    </row>
    <row r="51" spans="1:221" ht="12" customHeight="1">
      <c r="A51" s="1794" t="s">
        <v>2795</v>
      </c>
      <c r="B51" s="1795"/>
      <c r="C51" s="1795"/>
      <c r="D51" s="1795"/>
      <c r="E51" s="1795"/>
      <c r="F51" s="1795"/>
      <c r="G51" s="1795"/>
      <c r="H51" s="1795"/>
      <c r="I51" s="1795"/>
      <c r="J51" s="1795"/>
      <c r="K51" s="1795"/>
      <c r="L51" s="1795"/>
      <c r="M51" s="1795"/>
      <c r="N51" s="1795"/>
      <c r="O51" s="1795"/>
      <c r="P51" s="1795"/>
      <c r="Q51" s="105"/>
      <c r="R51" s="105"/>
      <c r="S51" s="105"/>
      <c r="T51" s="105"/>
      <c r="U51" s="358"/>
      <c r="V51" s="579"/>
      <c r="W51" s="579"/>
      <c r="X51" s="579"/>
      <c r="Y51" s="579"/>
      <c r="Z51" s="579"/>
      <c r="AA51" s="579"/>
      <c r="AB51" s="579"/>
      <c r="AC51" s="579"/>
      <c r="AD51" s="579"/>
      <c r="AE51" s="579"/>
      <c r="AF51" s="579"/>
      <c r="AG51" s="579"/>
      <c r="AH51" s="579"/>
      <c r="AI51" s="579"/>
      <c r="AJ51" s="579"/>
      <c r="AK51" s="579"/>
      <c r="AL51" s="579"/>
      <c r="AM51" s="579"/>
      <c r="AN51" s="579"/>
      <c r="AO51" s="579"/>
      <c r="AP51" s="579"/>
      <c r="AQ51" s="579"/>
      <c r="AR51" s="579"/>
      <c r="AS51" s="579"/>
      <c r="AT51" s="579"/>
      <c r="AU51" s="579"/>
      <c r="AV51" s="579"/>
      <c r="AW51" s="579"/>
      <c r="AX51" s="579"/>
      <c r="AY51" s="579"/>
      <c r="AZ51" s="579"/>
      <c r="BA51" s="579"/>
      <c r="BB51" s="579"/>
      <c r="BC51" s="579"/>
      <c r="BD51" s="579"/>
      <c r="BE51" s="579"/>
      <c r="BF51" s="579"/>
      <c r="BG51" s="579"/>
      <c r="BH51" s="579"/>
      <c r="BI51" s="579"/>
      <c r="BJ51" s="579"/>
      <c r="BK51" s="579"/>
      <c r="BL51" s="579"/>
      <c r="BM51" s="579"/>
      <c r="BN51" s="579"/>
      <c r="BO51" s="579"/>
      <c r="BP51" s="579"/>
      <c r="BQ51" s="579"/>
      <c r="BR51" s="579"/>
      <c r="BS51" s="579"/>
      <c r="BT51" s="579"/>
      <c r="BU51" s="579"/>
      <c r="BV51" s="579"/>
      <c r="BW51" s="579"/>
      <c r="BX51" s="579"/>
      <c r="BY51" s="579"/>
      <c r="BZ51" s="579"/>
      <c r="CA51" s="579"/>
      <c r="CB51" s="579"/>
      <c r="CC51" s="579"/>
      <c r="CD51" s="579"/>
      <c r="CE51" s="579"/>
      <c r="CF51" s="579"/>
      <c r="CG51" s="579"/>
      <c r="CH51" s="579"/>
      <c r="CI51" s="579"/>
      <c r="CJ51" s="579"/>
      <c r="CK51" s="579"/>
      <c r="CL51" s="579"/>
      <c r="CM51" s="579"/>
      <c r="CN51" s="579"/>
      <c r="CO51" s="579"/>
      <c r="CP51" s="579"/>
      <c r="CQ51" s="579"/>
      <c r="CR51" s="579"/>
      <c r="CS51" s="579"/>
      <c r="CT51" s="579"/>
      <c r="CU51" s="579"/>
      <c r="CV51" s="579"/>
      <c r="CW51" s="579"/>
      <c r="CX51" s="579"/>
      <c r="CY51" s="579"/>
      <c r="CZ51" s="579"/>
      <c r="DA51" s="579"/>
      <c r="DB51" s="579"/>
      <c r="DC51" s="579"/>
      <c r="DD51" s="579"/>
      <c r="DE51" s="579"/>
      <c r="DF51" s="579"/>
      <c r="DG51" s="579"/>
      <c r="DH51" s="579"/>
      <c r="DI51" s="579"/>
      <c r="DJ51" s="579"/>
      <c r="DK51" s="579"/>
      <c r="DL51" s="579"/>
      <c r="DM51" s="579"/>
      <c r="DN51" s="579"/>
      <c r="DO51" s="579"/>
      <c r="DP51" s="579"/>
      <c r="DQ51" s="579"/>
      <c r="DR51" s="579"/>
      <c r="DS51" s="579"/>
      <c r="DT51" s="579"/>
      <c r="DU51" s="579"/>
      <c r="DV51" s="579"/>
      <c r="DW51" s="579"/>
      <c r="DX51" s="579"/>
      <c r="DY51" s="579"/>
      <c r="DZ51" s="579"/>
      <c r="EA51" s="579"/>
      <c r="EB51" s="579"/>
      <c r="EC51" s="579"/>
      <c r="ED51" s="579"/>
      <c r="EE51" s="579"/>
      <c r="EF51" s="579"/>
      <c r="EG51" s="579"/>
      <c r="EH51" s="579"/>
      <c r="EI51" s="579"/>
      <c r="EJ51" s="579"/>
      <c r="EK51" s="579"/>
      <c r="EL51" s="579"/>
      <c r="EM51" s="579"/>
      <c r="EN51" s="579"/>
      <c r="EO51" s="579"/>
      <c r="EP51" s="579"/>
      <c r="EQ51" s="579"/>
      <c r="ER51" s="579"/>
      <c r="ES51" s="579"/>
      <c r="ET51" s="579"/>
      <c r="EU51" s="579"/>
      <c r="EV51" s="579"/>
      <c r="EW51" s="579"/>
      <c r="EX51" s="579"/>
      <c r="EY51" s="579"/>
      <c r="EZ51" s="579"/>
      <c r="FA51" s="579"/>
      <c r="FB51" s="579"/>
      <c r="FC51" s="579"/>
      <c r="FD51" s="579"/>
      <c r="FE51" s="579"/>
      <c r="FF51" s="579"/>
      <c r="FG51" s="579"/>
      <c r="FH51" s="579"/>
      <c r="FI51" s="579"/>
      <c r="FJ51" s="579"/>
      <c r="FK51" s="579"/>
      <c r="FL51" s="579"/>
      <c r="FM51" s="579"/>
      <c r="FN51" s="579"/>
      <c r="FO51" s="579"/>
      <c r="FP51" s="579"/>
      <c r="FQ51" s="579"/>
      <c r="FR51" s="579"/>
      <c r="FS51" s="579"/>
      <c r="FT51" s="579"/>
      <c r="FU51" s="579"/>
      <c r="FV51" s="579"/>
      <c r="FW51" s="579"/>
      <c r="FX51" s="579"/>
      <c r="FY51" s="579"/>
      <c r="FZ51" s="579"/>
      <c r="GA51" s="579"/>
      <c r="GB51" s="579"/>
      <c r="GC51" s="579"/>
      <c r="GD51" s="579"/>
      <c r="GE51" s="579"/>
      <c r="GF51" s="579"/>
      <c r="GG51" s="579"/>
      <c r="GH51" s="579"/>
      <c r="GI51" s="579"/>
      <c r="GJ51" s="579"/>
      <c r="GK51" s="579"/>
      <c r="GL51" s="579"/>
      <c r="GM51" s="579"/>
      <c r="GN51" s="579"/>
      <c r="GO51" s="579"/>
      <c r="GP51" s="579"/>
      <c r="GQ51" s="579"/>
      <c r="GR51" s="579"/>
      <c r="GS51" s="579"/>
      <c r="GT51" s="579"/>
      <c r="GU51" s="579"/>
      <c r="GV51" s="579"/>
      <c r="GW51" s="579"/>
      <c r="GX51" s="579"/>
      <c r="GY51" s="579"/>
      <c r="GZ51" s="579"/>
      <c r="HA51" s="579"/>
      <c r="HB51" s="579"/>
      <c r="HC51" s="579"/>
      <c r="HD51" s="579"/>
      <c r="HE51" s="579"/>
      <c r="HF51" s="579"/>
      <c r="HG51" s="579"/>
      <c r="HH51" s="579"/>
      <c r="HI51" s="579"/>
      <c r="HJ51" s="579"/>
      <c r="HK51" s="579"/>
      <c r="HL51" s="579"/>
      <c r="HM51" s="579"/>
    </row>
    <row r="52" spans="1:221" ht="12" customHeight="1">
      <c r="A52" s="1795"/>
      <c r="B52" s="1795"/>
      <c r="C52" s="1795"/>
      <c r="D52" s="1795"/>
      <c r="E52" s="1795"/>
      <c r="F52" s="1795"/>
      <c r="G52" s="1795"/>
      <c r="H52" s="1795"/>
      <c r="I52" s="1795"/>
      <c r="J52" s="1795"/>
      <c r="K52" s="1795"/>
      <c r="L52" s="1795"/>
      <c r="M52" s="1795"/>
      <c r="N52" s="1795"/>
      <c r="O52" s="1795"/>
      <c r="P52" s="1795"/>
      <c r="Q52" s="105"/>
      <c r="R52" s="105"/>
      <c r="S52" s="105"/>
      <c r="T52" s="105"/>
      <c r="U52" s="358"/>
      <c r="V52" s="579"/>
      <c r="W52" s="579"/>
      <c r="X52" s="579"/>
      <c r="Y52" s="579"/>
      <c r="Z52" s="579"/>
      <c r="AA52" s="579"/>
      <c r="AB52" s="579"/>
      <c r="AC52" s="579"/>
      <c r="AD52" s="579"/>
      <c r="AE52" s="579"/>
      <c r="AF52" s="579"/>
      <c r="AG52" s="579"/>
      <c r="AH52" s="579"/>
      <c r="AI52" s="579"/>
      <c r="AJ52" s="579"/>
      <c r="AK52" s="579"/>
      <c r="AL52" s="579"/>
      <c r="AM52" s="579"/>
      <c r="AN52" s="579"/>
      <c r="AO52" s="579"/>
      <c r="AP52" s="579"/>
      <c r="AQ52" s="579"/>
      <c r="AR52" s="579"/>
      <c r="AS52" s="579"/>
      <c r="AT52" s="579"/>
      <c r="AU52" s="579"/>
      <c r="AV52" s="579"/>
      <c r="AW52" s="579"/>
      <c r="AX52" s="579"/>
      <c r="AY52" s="579"/>
      <c r="AZ52" s="579"/>
      <c r="BA52" s="579"/>
      <c r="BB52" s="579"/>
      <c r="BC52" s="579"/>
      <c r="BD52" s="579"/>
      <c r="BE52" s="579"/>
      <c r="BF52" s="579"/>
      <c r="BG52" s="579"/>
      <c r="BH52" s="579"/>
      <c r="BI52" s="579"/>
      <c r="BJ52" s="579"/>
      <c r="BK52" s="579"/>
      <c r="BL52" s="579"/>
      <c r="BM52" s="579"/>
      <c r="BN52" s="579"/>
      <c r="BO52" s="579"/>
      <c r="BP52" s="579"/>
      <c r="BQ52" s="579"/>
      <c r="BR52" s="579"/>
      <c r="BS52" s="579"/>
      <c r="BT52" s="579"/>
      <c r="BU52" s="579"/>
      <c r="BV52" s="579"/>
      <c r="BW52" s="579"/>
      <c r="BX52" s="579"/>
      <c r="BY52" s="579"/>
      <c r="BZ52" s="579"/>
      <c r="CA52" s="579"/>
      <c r="CB52" s="579"/>
      <c r="CC52" s="579"/>
      <c r="CD52" s="579"/>
      <c r="CE52" s="579"/>
      <c r="CF52" s="579"/>
      <c r="CG52" s="579"/>
      <c r="CH52" s="579"/>
      <c r="CI52" s="579"/>
      <c r="CJ52" s="579"/>
      <c r="CK52" s="579"/>
      <c r="CL52" s="579"/>
      <c r="CM52" s="579"/>
      <c r="CN52" s="579"/>
      <c r="CO52" s="579"/>
      <c r="CP52" s="579"/>
      <c r="CQ52" s="579"/>
      <c r="CR52" s="579"/>
      <c r="CS52" s="579"/>
      <c r="CT52" s="579"/>
      <c r="CU52" s="579"/>
      <c r="CV52" s="579"/>
      <c r="CW52" s="579"/>
      <c r="CX52" s="579"/>
      <c r="CY52" s="579"/>
      <c r="CZ52" s="579"/>
      <c r="DA52" s="579"/>
      <c r="DB52" s="579"/>
      <c r="DC52" s="579"/>
      <c r="DD52" s="579"/>
      <c r="DE52" s="579"/>
      <c r="DF52" s="579"/>
      <c r="DG52" s="579"/>
      <c r="DH52" s="579"/>
      <c r="DI52" s="579"/>
      <c r="DJ52" s="579"/>
      <c r="DK52" s="579"/>
      <c r="DL52" s="579"/>
      <c r="DM52" s="579"/>
      <c r="DN52" s="579"/>
      <c r="DO52" s="579"/>
      <c r="DP52" s="579"/>
      <c r="DQ52" s="579"/>
      <c r="DR52" s="579"/>
      <c r="DS52" s="579"/>
      <c r="DT52" s="579"/>
      <c r="DU52" s="579"/>
      <c r="DV52" s="579"/>
      <c r="DW52" s="579"/>
      <c r="DX52" s="579"/>
      <c r="DY52" s="579"/>
      <c r="DZ52" s="579"/>
      <c r="EA52" s="579"/>
      <c r="EB52" s="579"/>
      <c r="EC52" s="579"/>
      <c r="ED52" s="579"/>
      <c r="EE52" s="579"/>
      <c r="EF52" s="579"/>
      <c r="EG52" s="579"/>
      <c r="EH52" s="579"/>
      <c r="EI52" s="579"/>
      <c r="EJ52" s="579"/>
      <c r="EK52" s="579"/>
      <c r="EL52" s="579"/>
      <c r="EM52" s="579"/>
      <c r="EN52" s="579"/>
      <c r="EO52" s="579"/>
      <c r="EP52" s="579"/>
      <c r="EQ52" s="579"/>
      <c r="ER52" s="579"/>
      <c r="ES52" s="579"/>
      <c r="ET52" s="579"/>
      <c r="EU52" s="579"/>
      <c r="EV52" s="579"/>
      <c r="EW52" s="579"/>
      <c r="EX52" s="579"/>
      <c r="EY52" s="579"/>
      <c r="EZ52" s="579"/>
      <c r="FA52" s="579"/>
      <c r="FB52" s="579"/>
      <c r="FC52" s="579"/>
      <c r="FD52" s="579"/>
      <c r="FE52" s="579"/>
      <c r="FF52" s="579"/>
      <c r="FG52" s="579"/>
      <c r="FH52" s="579"/>
      <c r="FI52" s="579"/>
      <c r="FJ52" s="579"/>
      <c r="FK52" s="579"/>
      <c r="FL52" s="579"/>
      <c r="FM52" s="579"/>
      <c r="FN52" s="579"/>
      <c r="FO52" s="579"/>
      <c r="FP52" s="579"/>
      <c r="FQ52" s="579"/>
      <c r="FR52" s="579"/>
      <c r="FS52" s="579"/>
      <c r="FT52" s="579"/>
      <c r="FU52" s="579"/>
      <c r="FV52" s="579"/>
      <c r="FW52" s="579"/>
      <c r="FX52" s="579"/>
      <c r="FY52" s="579"/>
      <c r="FZ52" s="579"/>
      <c r="GA52" s="579"/>
      <c r="GB52" s="579"/>
      <c r="GC52" s="579"/>
      <c r="GD52" s="579"/>
      <c r="GE52" s="579"/>
      <c r="GF52" s="579"/>
      <c r="GG52" s="579"/>
      <c r="GH52" s="579"/>
      <c r="GI52" s="579"/>
      <c r="GJ52" s="579"/>
      <c r="GK52" s="579"/>
      <c r="GL52" s="579"/>
      <c r="GM52" s="579"/>
      <c r="GN52" s="579"/>
      <c r="GO52" s="579"/>
      <c r="GP52" s="579"/>
      <c r="GQ52" s="579"/>
      <c r="GR52" s="579"/>
      <c r="GS52" s="579"/>
      <c r="GT52" s="579"/>
      <c r="GU52" s="579"/>
      <c r="GV52" s="579"/>
      <c r="GW52" s="579"/>
      <c r="GX52" s="579"/>
      <c r="GY52" s="579"/>
      <c r="GZ52" s="579"/>
      <c r="HA52" s="579"/>
      <c r="HB52" s="579"/>
      <c r="HC52" s="579"/>
      <c r="HD52" s="579"/>
      <c r="HE52" s="579"/>
      <c r="HF52" s="579"/>
      <c r="HG52" s="579"/>
      <c r="HH52" s="579"/>
      <c r="HI52" s="579"/>
      <c r="HJ52" s="579"/>
      <c r="HK52" s="579"/>
      <c r="HL52" s="579"/>
      <c r="HM52" s="579"/>
    </row>
    <row r="53" spans="1:221" ht="14.45" customHeight="1">
      <c r="A53" s="16" t="s">
        <v>784</v>
      </c>
      <c r="B53" s="16" t="s">
        <v>562</v>
      </c>
      <c r="O53" s="96"/>
      <c r="Q53" s="1787" t="str">
        <f>IF(SUM(Q56:Q100)&gt;0,"ERROR Between Rent Schedule &amp; Unit Summary:", "")</f>
        <v>ERROR Between Rent Schedule &amp; Unit Summary:</v>
      </c>
      <c r="R53" s="1172"/>
      <c r="S53" s="1172"/>
      <c r="T53" s="5" t="str">
        <f>B53</f>
        <v>UNIT SUMMARY</v>
      </c>
      <c r="U53" s="499" t="s">
        <v>562</v>
      </c>
      <c r="V53" s="1193"/>
      <c r="W53" s="1193"/>
      <c r="X53" s="1193"/>
      <c r="Y53" s="1193"/>
      <c r="Z53" s="1193"/>
      <c r="AA53" s="1193"/>
      <c r="AB53" s="1193"/>
      <c r="AC53" s="1193"/>
      <c r="AD53" s="1193"/>
      <c r="AE53" s="1193"/>
      <c r="AF53" s="1193"/>
      <c r="AG53" s="1193"/>
      <c r="AH53" s="569"/>
      <c r="GW53" s="581"/>
      <c r="HL53" s="567"/>
    </row>
    <row r="54" spans="1:221" ht="3" customHeight="1">
      <c r="A54" s="16"/>
      <c r="B54" s="16"/>
      <c r="O54" s="96"/>
      <c r="Q54" s="1788"/>
      <c r="R54" s="1173"/>
      <c r="S54" s="1173"/>
      <c r="T54" s="150"/>
      <c r="U54" s="499"/>
      <c r="V54" s="1193"/>
      <c r="W54" s="1193"/>
      <c r="X54" s="1193"/>
      <c r="Y54" s="1193"/>
      <c r="Z54" s="1193"/>
      <c r="AA54" s="1193"/>
      <c r="AB54" s="1193"/>
      <c r="AC54" s="1193"/>
      <c r="AD54" s="1193"/>
      <c r="AE54" s="1193"/>
      <c r="AF54" s="1193"/>
      <c r="AG54" s="1193"/>
      <c r="AH54" s="569"/>
      <c r="GW54" s="581"/>
      <c r="HL54" s="567"/>
    </row>
    <row r="55" spans="1:221" ht="14.45" customHeight="1">
      <c r="A55" s="16"/>
      <c r="B55" s="16" t="s">
        <v>1198</v>
      </c>
      <c r="H55" s="142" t="s">
        <v>596</v>
      </c>
      <c r="I55" s="142" t="s">
        <v>563</v>
      </c>
      <c r="J55" s="142" t="s">
        <v>564</v>
      </c>
      <c r="K55" s="142" t="s">
        <v>565</v>
      </c>
      <c r="L55" s="142" t="s">
        <v>566</v>
      </c>
      <c r="M55" s="142" t="s">
        <v>567</v>
      </c>
      <c r="O55" s="96"/>
      <c r="Q55" s="1788"/>
      <c r="R55" s="1173"/>
      <c r="S55" s="1173"/>
      <c r="T55" s="1546" t="s">
        <v>1966</v>
      </c>
      <c r="U55" s="1546"/>
      <c r="V55" s="1193"/>
      <c r="W55" s="1193"/>
      <c r="X55" s="1193"/>
      <c r="Y55" s="1193"/>
      <c r="Z55" s="1193"/>
      <c r="AA55" s="582"/>
      <c r="AB55" s="582"/>
      <c r="AC55" s="582"/>
      <c r="AD55" s="582"/>
      <c r="AE55" s="582"/>
      <c r="AF55" s="582"/>
      <c r="AG55" s="1193"/>
      <c r="AH55" s="569"/>
      <c r="GW55" s="581"/>
      <c r="HL55" s="567"/>
    </row>
    <row r="56" spans="1:221" ht="12" customHeight="1">
      <c r="C56" s="1" t="s">
        <v>1200</v>
      </c>
      <c r="D56" s="1"/>
      <c r="E56" s="1"/>
      <c r="F56" s="1"/>
      <c r="G56" s="44" t="s">
        <v>1212</v>
      </c>
      <c r="H56" s="322">
        <f>V48</f>
        <v>0</v>
      </c>
      <c r="I56" s="322">
        <f>W48</f>
        <v>10</v>
      </c>
      <c r="J56" s="322">
        <f>X48</f>
        <v>47</v>
      </c>
      <c r="K56" s="322">
        <f>Y48</f>
        <v>0</v>
      </c>
      <c r="L56" s="322">
        <f>Z48</f>
        <v>0</v>
      </c>
      <c r="M56" s="322">
        <f t="shared" ref="M56:M62" si="211">SUM(H56:L56)</f>
        <v>57</v>
      </c>
      <c r="N56" s="1789" t="s">
        <v>940</v>
      </c>
      <c r="O56" s="1790"/>
      <c r="P56" s="1174"/>
      <c r="Q56" s="500">
        <f t="shared" ref="Q56:Q62" si="212">ABS(M56-AF56)</f>
        <v>57</v>
      </c>
      <c r="R56" s="500"/>
      <c r="S56" s="500"/>
      <c r="T56" s="1641"/>
      <c r="U56" s="1642"/>
      <c r="V56" s="583"/>
      <c r="W56" s="583"/>
      <c r="X56" s="583"/>
      <c r="Y56" s="583"/>
      <c r="Z56" s="584"/>
      <c r="AA56" s="585"/>
      <c r="AB56" s="585"/>
      <c r="AC56" s="585"/>
      <c r="AD56" s="585"/>
      <c r="AE56" s="585"/>
      <c r="AF56" s="585"/>
      <c r="AG56" s="584"/>
      <c r="AH56" s="569"/>
      <c r="GW56" s="581"/>
      <c r="HL56" s="567"/>
    </row>
    <row r="57" spans="1:221" ht="12" customHeight="1">
      <c r="A57" s="1779" t="s">
        <v>462</v>
      </c>
      <c r="B57" s="1779"/>
      <c r="C57" s="5"/>
      <c r="D57" s="1"/>
      <c r="E57" s="1"/>
      <c r="F57" s="1"/>
      <c r="G57" s="44" t="s">
        <v>121</v>
      </c>
      <c r="H57" s="323">
        <f>AA48</f>
        <v>0</v>
      </c>
      <c r="I57" s="323">
        <f>AB48</f>
        <v>13</v>
      </c>
      <c r="J57" s="323">
        <f>AC48</f>
        <v>9</v>
      </c>
      <c r="K57" s="323">
        <f>AD48</f>
        <v>0</v>
      </c>
      <c r="L57" s="323">
        <f>AE48</f>
        <v>0</v>
      </c>
      <c r="M57" s="323">
        <f t="shared" si="211"/>
        <v>22</v>
      </c>
      <c r="N57" s="1789"/>
      <c r="O57" s="1790"/>
      <c r="P57" s="1174"/>
      <c r="Q57" s="500">
        <f t="shared" si="212"/>
        <v>22</v>
      </c>
      <c r="R57" s="500"/>
      <c r="S57" s="500"/>
      <c r="T57" s="1643"/>
      <c r="U57" s="1644"/>
      <c r="V57" s="586"/>
      <c r="W57" s="583"/>
      <c r="X57" s="583"/>
      <c r="Y57" s="583"/>
      <c r="Z57" s="584"/>
      <c r="AA57" s="585"/>
      <c r="AB57" s="585"/>
      <c r="AC57" s="585"/>
      <c r="AD57" s="585"/>
      <c r="AE57" s="585"/>
      <c r="AF57" s="585"/>
      <c r="AG57" s="584"/>
      <c r="AH57" s="569"/>
      <c r="GW57" s="581"/>
      <c r="HL57" s="567"/>
    </row>
    <row r="58" spans="1:221" ht="12" customHeight="1">
      <c r="A58" s="1779"/>
      <c r="B58" s="1779"/>
      <c r="C58" s="5"/>
      <c r="D58" s="1"/>
      <c r="E58" s="1"/>
      <c r="F58" s="1"/>
      <c r="G58" s="44" t="s">
        <v>567</v>
      </c>
      <c r="H58" s="324">
        <f>SUM(H56:H57)</f>
        <v>0</v>
      </c>
      <c r="I58" s="324">
        <f>SUM(I56:I57)</f>
        <v>23</v>
      </c>
      <c r="J58" s="324">
        <f>SUM(J56:J57)</f>
        <v>56</v>
      </c>
      <c r="K58" s="324">
        <f>SUM(K56:K57)</f>
        <v>0</v>
      </c>
      <c r="L58" s="324">
        <f>SUM(L56:L57)</f>
        <v>0</v>
      </c>
      <c r="M58" s="324">
        <f t="shared" si="211"/>
        <v>79</v>
      </c>
      <c r="N58" s="327"/>
      <c r="O58" s="96"/>
      <c r="Q58" s="500">
        <f t="shared" si="212"/>
        <v>79</v>
      </c>
      <c r="R58" s="500"/>
      <c r="S58" s="500"/>
      <c r="T58" s="1643"/>
      <c r="U58" s="1644"/>
      <c r="V58" s="586"/>
      <c r="W58" s="583"/>
      <c r="X58" s="583"/>
      <c r="Y58" s="583"/>
      <c r="Z58" s="584"/>
      <c r="AA58" s="585"/>
      <c r="AB58" s="585"/>
      <c r="AC58" s="585"/>
      <c r="AD58" s="585"/>
      <c r="AE58" s="585"/>
      <c r="AF58" s="585"/>
      <c r="AG58" s="584"/>
      <c r="AH58" s="569"/>
      <c r="GW58" s="581"/>
      <c r="HL58" s="567"/>
    </row>
    <row r="59" spans="1:221" ht="12" customHeight="1">
      <c r="A59" s="1779"/>
      <c r="B59" s="1779"/>
      <c r="C59" s="1" t="s">
        <v>319</v>
      </c>
      <c r="D59" s="1"/>
      <c r="E59" s="1"/>
      <c r="F59" s="1"/>
      <c r="G59" s="44"/>
      <c r="H59" s="324">
        <f>AK48</f>
        <v>0</v>
      </c>
      <c r="I59" s="324">
        <f>AL48</f>
        <v>1</v>
      </c>
      <c r="J59" s="324">
        <f>AM48</f>
        <v>4</v>
      </c>
      <c r="K59" s="324">
        <f>AN48</f>
        <v>0</v>
      </c>
      <c r="L59" s="324">
        <f>AO48</f>
        <v>0</v>
      </c>
      <c r="M59" s="324">
        <f t="shared" si="211"/>
        <v>5</v>
      </c>
      <c r="N59" s="65"/>
      <c r="O59" s="96"/>
      <c r="Q59" s="500">
        <f t="shared" si="212"/>
        <v>5</v>
      </c>
      <c r="R59" s="500"/>
      <c r="S59" s="500"/>
      <c r="T59" s="1643"/>
      <c r="U59" s="1644"/>
      <c r="V59" s="569"/>
      <c r="W59" s="583"/>
      <c r="X59" s="583"/>
      <c r="Y59" s="583"/>
      <c r="Z59" s="584"/>
      <c r="AA59" s="585"/>
      <c r="AB59" s="585"/>
      <c r="AC59" s="585"/>
      <c r="AD59" s="585"/>
      <c r="AE59" s="585"/>
      <c r="AF59" s="585"/>
      <c r="AG59" s="566"/>
      <c r="AH59" s="569"/>
      <c r="GW59" s="581"/>
      <c r="HL59" s="567"/>
    </row>
    <row r="60" spans="1:221" ht="12" customHeight="1">
      <c r="A60" s="1779"/>
      <c r="B60" s="1779"/>
      <c r="C60" s="1" t="s">
        <v>1201</v>
      </c>
      <c r="D60" s="1"/>
      <c r="E60" s="1"/>
      <c r="F60" s="1"/>
      <c r="G60" s="44"/>
      <c r="H60" s="324">
        <f>SUM(H58:H59)</f>
        <v>0</v>
      </c>
      <c r="I60" s="324">
        <f>SUM(I58:I59)</f>
        <v>24</v>
      </c>
      <c r="J60" s="324">
        <f>SUM(J58:J59)</f>
        <v>60</v>
      </c>
      <c r="K60" s="324">
        <f>SUM(K58:K59)</f>
        <v>0</v>
      </c>
      <c r="L60" s="324">
        <f>SUM(L58:L59)</f>
        <v>0</v>
      </c>
      <c r="M60" s="324">
        <f t="shared" si="211"/>
        <v>84</v>
      </c>
      <c r="N60" s="65"/>
      <c r="O60" s="96"/>
      <c r="Q60" s="500">
        <f t="shared" si="212"/>
        <v>84</v>
      </c>
      <c r="R60" s="500"/>
      <c r="S60" s="500"/>
      <c r="T60" s="1643"/>
      <c r="U60" s="1644"/>
      <c r="V60" s="583"/>
      <c r="W60" s="583"/>
      <c r="X60" s="583"/>
      <c r="Y60" s="583"/>
      <c r="Z60" s="584"/>
      <c r="AA60" s="585"/>
      <c r="AB60" s="585"/>
      <c r="AC60" s="585"/>
      <c r="AD60" s="585"/>
      <c r="AE60" s="585"/>
      <c r="AF60" s="585"/>
      <c r="AG60" s="566"/>
      <c r="AH60" s="569"/>
      <c r="GW60" s="581"/>
      <c r="HL60" s="567"/>
    </row>
    <row r="61" spans="1:221" ht="12" customHeight="1">
      <c r="A61" s="1779"/>
      <c r="B61" s="1779"/>
      <c r="C61" s="1" t="s">
        <v>2673</v>
      </c>
      <c r="D61" s="1"/>
      <c r="E61" s="1"/>
      <c r="F61" s="1"/>
      <c r="G61" s="44"/>
      <c r="H61" s="324">
        <f>BT48</f>
        <v>0</v>
      </c>
      <c r="I61" s="324">
        <f>BU48</f>
        <v>0</v>
      </c>
      <c r="J61" s="324">
        <f>BV48</f>
        <v>0</v>
      </c>
      <c r="K61" s="324">
        <f>BW48</f>
        <v>0</v>
      </c>
      <c r="L61" s="324">
        <f>BX48</f>
        <v>0</v>
      </c>
      <c r="M61" s="324">
        <f t="shared" si="211"/>
        <v>0</v>
      </c>
      <c r="N61" s="62" t="s">
        <v>2349</v>
      </c>
      <c r="O61" s="96"/>
      <c r="Q61" s="500">
        <f t="shared" si="212"/>
        <v>0</v>
      </c>
      <c r="R61" s="500"/>
      <c r="S61" s="500"/>
      <c r="T61" s="1643"/>
      <c r="U61" s="1644"/>
      <c r="V61" s="583"/>
      <c r="W61" s="583"/>
      <c r="X61" s="583"/>
      <c r="Y61" s="583"/>
      <c r="Z61" s="584"/>
      <c r="AA61" s="585"/>
      <c r="AB61" s="585"/>
      <c r="AC61" s="585"/>
      <c r="AD61" s="585"/>
      <c r="AE61" s="585"/>
      <c r="AF61" s="585"/>
      <c r="AG61" s="584"/>
      <c r="AH61" s="569"/>
      <c r="GW61" s="581"/>
      <c r="HL61" s="567"/>
    </row>
    <row r="62" spans="1:221" ht="12" customHeight="1">
      <c r="A62" s="1779"/>
      <c r="B62" s="1779"/>
      <c r="C62" s="1" t="s">
        <v>567</v>
      </c>
      <c r="D62" s="1"/>
      <c r="E62" s="1"/>
      <c r="F62" s="1"/>
      <c r="G62" s="44"/>
      <c r="H62" s="324">
        <f>SUM(H60:H61)</f>
        <v>0</v>
      </c>
      <c r="I62" s="324">
        <f>SUM(I60:I61)</f>
        <v>24</v>
      </c>
      <c r="J62" s="324">
        <f>SUM(J60:J61)</f>
        <v>60</v>
      </c>
      <c r="K62" s="324">
        <f>SUM(K60:K61)</f>
        <v>0</v>
      </c>
      <c r="L62" s="324">
        <f>SUM(L60:L61)</f>
        <v>0</v>
      </c>
      <c r="M62" s="324">
        <f t="shared" si="211"/>
        <v>84</v>
      </c>
      <c r="O62" s="96"/>
      <c r="Q62" s="500">
        <f t="shared" si="212"/>
        <v>84</v>
      </c>
      <c r="R62" s="500"/>
      <c r="S62" s="500"/>
      <c r="T62" s="1645"/>
      <c r="U62" s="1646"/>
      <c r="V62" s="583"/>
      <c r="W62" s="583"/>
      <c r="X62" s="583"/>
      <c r="Y62" s="583"/>
      <c r="Z62" s="584"/>
      <c r="AA62" s="585"/>
      <c r="AB62" s="585"/>
      <c r="AC62" s="585"/>
      <c r="AD62" s="585"/>
      <c r="AE62" s="585"/>
      <c r="AF62" s="585"/>
      <c r="AG62" s="1193"/>
      <c r="AH62" s="569"/>
      <c r="GW62" s="581"/>
      <c r="HL62" s="567"/>
    </row>
    <row r="63" spans="1:221" ht="12" customHeight="1">
      <c r="A63" s="1779"/>
      <c r="B63" s="1779"/>
      <c r="C63" s="1"/>
      <c r="D63" s="1"/>
      <c r="E63" s="1"/>
      <c r="F63" s="1"/>
      <c r="G63" s="44"/>
      <c r="H63" s="15"/>
      <c r="I63" s="15"/>
      <c r="J63" s="15"/>
      <c r="K63" s="15"/>
      <c r="L63" s="15"/>
      <c r="M63" s="15"/>
      <c r="O63" s="96"/>
      <c r="Q63" s="500"/>
      <c r="R63" s="500"/>
      <c r="S63" s="500"/>
      <c r="T63" s="383" t="str">
        <f>C64</f>
        <v>PBRA-Assisted</v>
      </c>
      <c r="U63" s="181"/>
      <c r="V63" s="583"/>
      <c r="W63" s="583"/>
      <c r="X63" s="583"/>
      <c r="Y63" s="583"/>
      <c r="Z63" s="584"/>
      <c r="AA63" s="583"/>
      <c r="AB63" s="583"/>
      <c r="AC63" s="583"/>
      <c r="AD63" s="583"/>
      <c r="AE63" s="583"/>
      <c r="AF63" s="583"/>
      <c r="AG63" s="1193"/>
      <c r="AH63" s="569"/>
      <c r="GW63" s="581"/>
      <c r="HL63" s="567"/>
    </row>
    <row r="64" spans="1:221" ht="12" customHeight="1">
      <c r="A64" s="1779"/>
      <c r="B64" s="1779"/>
      <c r="C64" s="1" t="s">
        <v>984</v>
      </c>
      <c r="D64" s="1"/>
      <c r="E64" s="127"/>
      <c r="F64" s="1"/>
      <c r="G64" s="44" t="s">
        <v>1212</v>
      </c>
      <c r="H64" s="322">
        <f>AZ48</f>
        <v>0</v>
      </c>
      <c r="I64" s="322">
        <f>BA48</f>
        <v>0</v>
      </c>
      <c r="J64" s="322">
        <f>BB48</f>
        <v>0</v>
      </c>
      <c r="K64" s="322">
        <f>BC48</f>
        <v>0</v>
      </c>
      <c r="L64" s="322">
        <f>BD48</f>
        <v>0</v>
      </c>
      <c r="M64" s="322">
        <f>SUM(H64:L64)</f>
        <v>0</v>
      </c>
      <c r="N64" s="62"/>
      <c r="O64" s="96"/>
      <c r="Q64" s="500">
        <f>ABS(M64-AF64)</f>
        <v>0</v>
      </c>
      <c r="R64" s="500"/>
      <c r="S64" s="500"/>
      <c r="T64" s="1641"/>
      <c r="U64" s="1642"/>
      <c r="V64" s="583"/>
      <c r="W64" s="583"/>
      <c r="X64" s="587"/>
      <c r="Y64" s="583"/>
      <c r="Z64" s="584"/>
      <c r="AA64" s="585"/>
      <c r="AB64" s="585"/>
      <c r="AC64" s="585"/>
      <c r="AD64" s="585"/>
      <c r="AE64" s="585"/>
      <c r="AF64" s="585"/>
      <c r="AG64" s="584"/>
      <c r="AH64" s="569"/>
      <c r="GW64" s="581"/>
      <c r="HL64" s="567"/>
    </row>
    <row r="65" spans="1:220" ht="12" customHeight="1">
      <c r="A65" s="1779"/>
      <c r="B65" s="1779"/>
      <c r="C65" s="44" t="s">
        <v>2674</v>
      </c>
      <c r="D65" s="1"/>
      <c r="E65" s="127"/>
      <c r="F65" s="1"/>
      <c r="G65" s="44" t="s">
        <v>121</v>
      </c>
      <c r="H65" s="323">
        <f>AU48</f>
        <v>0</v>
      </c>
      <c r="I65" s="323">
        <f>AV48</f>
        <v>0</v>
      </c>
      <c r="J65" s="323">
        <f>AW48</f>
        <v>0</v>
      </c>
      <c r="K65" s="323">
        <f>AX48</f>
        <v>0</v>
      </c>
      <c r="L65" s="323">
        <f>AY48</f>
        <v>0</v>
      </c>
      <c r="M65" s="325">
        <f>SUM(H65:L65)</f>
        <v>0</v>
      </c>
      <c r="N65" s="62"/>
      <c r="O65" s="96"/>
      <c r="Q65" s="500">
        <f>ABS(M65-AF65)</f>
        <v>0</v>
      </c>
      <c r="R65" s="500"/>
      <c r="S65" s="500"/>
      <c r="T65" s="1643"/>
      <c r="U65" s="1644"/>
      <c r="V65" s="584"/>
      <c r="W65" s="583"/>
      <c r="X65" s="587"/>
      <c r="Y65" s="583"/>
      <c r="Z65" s="584"/>
      <c r="AA65" s="585"/>
      <c r="AB65" s="585"/>
      <c r="AC65" s="585"/>
      <c r="AD65" s="585"/>
      <c r="AE65" s="585"/>
      <c r="AF65" s="585"/>
      <c r="AG65" s="584"/>
      <c r="AH65" s="569"/>
      <c r="GW65" s="581"/>
      <c r="HL65" s="567"/>
    </row>
    <row r="66" spans="1:220" ht="12" customHeight="1">
      <c r="A66" s="1779"/>
      <c r="B66" s="1779"/>
      <c r="C66" s="5"/>
      <c r="D66" s="1"/>
      <c r="E66" s="127"/>
      <c r="F66" s="1"/>
      <c r="G66" s="44" t="s">
        <v>567</v>
      </c>
      <c r="H66" s="324">
        <f>SUM(H64:H65)</f>
        <v>0</v>
      </c>
      <c r="I66" s="324">
        <f>SUM(I64:I65)</f>
        <v>0</v>
      </c>
      <c r="J66" s="324">
        <f>SUM(J64:J65)</f>
        <v>0</v>
      </c>
      <c r="K66" s="324">
        <f>SUM(K64:K65)</f>
        <v>0</v>
      </c>
      <c r="L66" s="324">
        <f>SUM(L64:L65)</f>
        <v>0</v>
      </c>
      <c r="M66" s="324">
        <f>SUM(H66:L66)</f>
        <v>0</v>
      </c>
      <c r="N66" s="62"/>
      <c r="O66" s="96"/>
      <c r="Q66" s="500">
        <f>ABS(M66-AF66)</f>
        <v>0</v>
      </c>
      <c r="R66" s="500"/>
      <c r="S66" s="500"/>
      <c r="T66" s="1645"/>
      <c r="U66" s="1646"/>
      <c r="V66" s="586"/>
      <c r="W66" s="583"/>
      <c r="X66" s="587"/>
      <c r="Y66" s="583"/>
      <c r="Z66" s="584"/>
      <c r="AA66" s="585"/>
      <c r="AB66" s="585"/>
      <c r="AC66" s="585"/>
      <c r="AD66" s="585"/>
      <c r="AE66" s="585"/>
      <c r="AF66" s="585"/>
      <c r="AG66" s="584"/>
      <c r="AH66" s="569"/>
      <c r="GW66" s="581"/>
      <c r="HL66" s="567"/>
    </row>
    <row r="67" spans="1:220" ht="12" customHeight="1">
      <c r="A67" s="1779"/>
      <c r="B67" s="1779"/>
      <c r="C67" s="1"/>
      <c r="D67" s="1"/>
      <c r="E67" s="1"/>
      <c r="F67" s="1"/>
      <c r="G67" s="44"/>
      <c r="H67" s="15"/>
      <c r="I67" s="15"/>
      <c r="J67" s="15"/>
      <c r="K67" s="15"/>
      <c r="L67" s="15"/>
      <c r="M67" s="15"/>
      <c r="O67" s="96"/>
      <c r="Q67" s="500"/>
      <c r="R67" s="500"/>
      <c r="S67" s="500"/>
      <c r="T67" s="383" t="str">
        <f>C68</f>
        <v>PHA Operating Subsidy-Assisted</v>
      </c>
      <c r="U67" s="181"/>
      <c r="V67" s="583"/>
      <c r="W67" s="583"/>
      <c r="X67" s="583"/>
      <c r="Y67" s="583"/>
      <c r="Z67" s="584"/>
      <c r="AA67" s="583"/>
      <c r="AB67" s="583"/>
      <c r="AC67" s="583"/>
      <c r="AD67" s="583"/>
      <c r="AE67" s="583"/>
      <c r="AF67" s="583"/>
      <c r="AG67" s="1193"/>
      <c r="AH67" s="569"/>
      <c r="GW67" s="581"/>
      <c r="HL67" s="567"/>
    </row>
    <row r="68" spans="1:220" ht="12" customHeight="1">
      <c r="A68" s="1779"/>
      <c r="B68" s="1779"/>
      <c r="C68" s="1" t="s">
        <v>939</v>
      </c>
      <c r="D68" s="1"/>
      <c r="E68" s="127"/>
      <c r="F68" s="1"/>
      <c r="G68" s="44" t="s">
        <v>1212</v>
      </c>
      <c r="H68" s="322">
        <f>BO48</f>
        <v>0</v>
      </c>
      <c r="I68" s="322">
        <f>BP48</f>
        <v>0</v>
      </c>
      <c r="J68" s="322">
        <f>BQ48</f>
        <v>0</v>
      </c>
      <c r="K68" s="322">
        <f>BR48</f>
        <v>0</v>
      </c>
      <c r="L68" s="322">
        <f>BS48</f>
        <v>0</v>
      </c>
      <c r="M68" s="322">
        <f>SUM(H68:L68)</f>
        <v>0</v>
      </c>
      <c r="N68" s="62"/>
      <c r="O68" s="96"/>
      <c r="Q68" s="500">
        <f>ABS(M68-AF68)</f>
        <v>0</v>
      </c>
      <c r="R68" s="500"/>
      <c r="S68" s="500"/>
      <c r="T68" s="1641"/>
      <c r="U68" s="1642"/>
      <c r="V68" s="569"/>
      <c r="W68" s="583"/>
      <c r="X68" s="587"/>
      <c r="Y68" s="583"/>
      <c r="Z68" s="584"/>
      <c r="AA68" s="585"/>
      <c r="AB68" s="585"/>
      <c r="AC68" s="585"/>
      <c r="AD68" s="585"/>
      <c r="AE68" s="585"/>
      <c r="AF68" s="585"/>
      <c r="AG68" s="584"/>
      <c r="AH68" s="569"/>
      <c r="GW68" s="581"/>
      <c r="HL68" s="567"/>
    </row>
    <row r="69" spans="1:220" ht="12" customHeight="1">
      <c r="A69" s="1779"/>
      <c r="B69" s="1779"/>
      <c r="C69" s="44" t="s">
        <v>2674</v>
      </c>
      <c r="D69" s="1"/>
      <c r="E69" s="127"/>
      <c r="F69" s="1"/>
      <c r="G69" s="44" t="s">
        <v>121</v>
      </c>
      <c r="H69" s="323">
        <f>BJ48</f>
        <v>0</v>
      </c>
      <c r="I69" s="323">
        <f>BK48</f>
        <v>0</v>
      </c>
      <c r="J69" s="323">
        <f>BL48</f>
        <v>0</v>
      </c>
      <c r="K69" s="323">
        <f>BM48</f>
        <v>0</v>
      </c>
      <c r="L69" s="323">
        <f>BN48</f>
        <v>0</v>
      </c>
      <c r="M69" s="325">
        <f>SUM(H69:L69)</f>
        <v>0</v>
      </c>
      <c r="N69" s="62"/>
      <c r="O69" s="96"/>
      <c r="Q69" s="500">
        <f>ABS(M69-AF69)</f>
        <v>0</v>
      </c>
      <c r="R69" s="500"/>
      <c r="S69" s="500"/>
      <c r="T69" s="1643"/>
      <c r="U69" s="1644"/>
      <c r="V69" s="588"/>
      <c r="W69" s="583"/>
      <c r="X69" s="587"/>
      <c r="Y69" s="583"/>
      <c r="Z69" s="584"/>
      <c r="AA69" s="585"/>
      <c r="AB69" s="585"/>
      <c r="AC69" s="585"/>
      <c r="AD69" s="585"/>
      <c r="AE69" s="585"/>
      <c r="AF69" s="585"/>
      <c r="AG69" s="584"/>
      <c r="AH69" s="569"/>
      <c r="GW69" s="581"/>
      <c r="HL69" s="567"/>
    </row>
    <row r="70" spans="1:220" ht="12" customHeight="1">
      <c r="A70" s="1779"/>
      <c r="B70" s="1779"/>
      <c r="C70" s="5"/>
      <c r="D70" s="1"/>
      <c r="E70" s="127"/>
      <c r="F70" s="1"/>
      <c r="G70" s="44" t="s">
        <v>567</v>
      </c>
      <c r="H70" s="324">
        <f>SUM(H68:H69)</f>
        <v>0</v>
      </c>
      <c r="I70" s="324">
        <f>SUM(I68:I69)</f>
        <v>0</v>
      </c>
      <c r="J70" s="324">
        <f>SUM(J68:J69)</f>
        <v>0</v>
      </c>
      <c r="K70" s="324">
        <f>SUM(K68:K69)</f>
        <v>0</v>
      </c>
      <c r="L70" s="324">
        <f>SUM(L68:L69)</f>
        <v>0</v>
      </c>
      <c r="M70" s="324">
        <f>SUM(H70:L70)</f>
        <v>0</v>
      </c>
      <c r="N70" s="62"/>
      <c r="O70" s="96"/>
      <c r="Q70" s="500">
        <f>ABS(M70-AF70)</f>
        <v>0</v>
      </c>
      <c r="R70" s="500"/>
      <c r="S70" s="500"/>
      <c r="T70" s="1645"/>
      <c r="U70" s="1646"/>
      <c r="V70" s="586"/>
      <c r="W70" s="583"/>
      <c r="X70" s="587"/>
      <c r="Y70" s="583"/>
      <c r="Z70" s="584"/>
      <c r="AA70" s="585"/>
      <c r="AB70" s="585"/>
      <c r="AC70" s="585"/>
      <c r="AD70" s="585"/>
      <c r="AE70" s="585"/>
      <c r="AF70" s="585"/>
      <c r="AG70" s="584"/>
      <c r="AH70" s="569"/>
      <c r="GW70" s="581"/>
      <c r="HL70" s="567"/>
    </row>
    <row r="71" spans="1:220" ht="12" customHeight="1">
      <c r="A71" s="1779"/>
      <c r="B71" s="1779"/>
      <c r="C71" s="1" t="s">
        <v>40</v>
      </c>
      <c r="D71" s="1"/>
      <c r="E71" s="127"/>
      <c r="F71" s="1"/>
      <c r="G71" s="44"/>
      <c r="H71" s="15"/>
      <c r="I71" s="15"/>
      <c r="J71" s="15"/>
      <c r="K71" s="15"/>
      <c r="L71" s="15"/>
      <c r="M71" s="15"/>
      <c r="O71" s="96"/>
      <c r="Q71" s="500"/>
      <c r="R71" s="500"/>
      <c r="S71" s="500"/>
      <c r="T71" s="383" t="str">
        <f>C71</f>
        <v>Type of Construction Activity</v>
      </c>
      <c r="U71" s="181"/>
      <c r="V71" s="583"/>
      <c r="W71" s="583"/>
      <c r="X71" s="587"/>
      <c r="Y71" s="583"/>
      <c r="Z71" s="584"/>
      <c r="AA71" s="583"/>
      <c r="AB71" s="583"/>
      <c r="AC71" s="583"/>
      <c r="AD71" s="583"/>
      <c r="AE71" s="583"/>
      <c r="AF71" s="583"/>
      <c r="AG71" s="1193"/>
      <c r="AH71" s="569"/>
      <c r="GW71" s="581"/>
      <c r="HL71" s="567"/>
    </row>
    <row r="72" spans="1:220" ht="12" customHeight="1">
      <c r="A72" s="1779"/>
      <c r="B72" s="1779"/>
      <c r="C72" s="1"/>
      <c r="D72" s="1"/>
      <c r="E72" s="120" t="s">
        <v>2436</v>
      </c>
      <c r="F72" s="1"/>
      <c r="G72" s="44" t="s">
        <v>1519</v>
      </c>
      <c r="H72" s="322">
        <f>DC48</f>
        <v>0</v>
      </c>
      <c r="I72" s="322">
        <f>DD48</f>
        <v>23</v>
      </c>
      <c r="J72" s="322">
        <f>DE48</f>
        <v>56</v>
      </c>
      <c r="K72" s="322">
        <f>DF48</f>
        <v>0</v>
      </c>
      <c r="L72" s="322">
        <f>DG48</f>
        <v>0</v>
      </c>
      <c r="M72" s="322">
        <f t="shared" ref="M72:M82" si="213">SUM(H72:L72)</f>
        <v>79</v>
      </c>
      <c r="N72" s="31"/>
      <c r="O72" s="96"/>
      <c r="Q72" s="500">
        <f t="shared" ref="Q72:Q80" si="214">ABS(M72-AF72)</f>
        <v>79</v>
      </c>
      <c r="R72" s="500"/>
      <c r="S72" s="500"/>
      <c r="T72" s="1641"/>
      <c r="U72" s="1642"/>
      <c r="V72" s="583"/>
      <c r="W72" s="583"/>
      <c r="X72" s="587"/>
      <c r="Y72" s="583"/>
      <c r="Z72" s="584"/>
      <c r="AA72" s="585"/>
      <c r="AB72" s="585"/>
      <c r="AC72" s="585"/>
      <c r="AD72" s="585"/>
      <c r="AE72" s="585"/>
      <c r="AF72" s="585"/>
      <c r="AG72" s="1193"/>
      <c r="FY72" s="567"/>
      <c r="FZ72" s="567"/>
      <c r="GA72" s="567"/>
      <c r="GB72" s="567"/>
      <c r="GC72" s="567"/>
      <c r="GD72" s="567"/>
      <c r="GE72" s="567"/>
      <c r="GF72" s="567"/>
      <c r="GG72" s="567"/>
      <c r="GH72" s="567"/>
      <c r="GI72" s="567"/>
      <c r="GJ72" s="567"/>
      <c r="GK72" s="567"/>
      <c r="GL72" s="567"/>
      <c r="GM72" s="567"/>
      <c r="GN72" s="567"/>
      <c r="GO72" s="567"/>
      <c r="GW72" s="581"/>
      <c r="HL72" s="567"/>
    </row>
    <row r="73" spans="1:220" ht="12" customHeight="1">
      <c r="A73" s="1779"/>
      <c r="B73" s="1779"/>
      <c r="C73" s="1"/>
      <c r="D73" s="1"/>
      <c r="E73" s="127"/>
      <c r="F73" s="1"/>
      <c r="G73" s="44" t="s">
        <v>319</v>
      </c>
      <c r="H73" s="326">
        <f>DH48</f>
        <v>0</v>
      </c>
      <c r="I73" s="326">
        <f>DI48</f>
        <v>1</v>
      </c>
      <c r="J73" s="326">
        <f>DJ48</f>
        <v>4</v>
      </c>
      <c r="K73" s="326">
        <f>DK48</f>
        <v>0</v>
      </c>
      <c r="L73" s="326">
        <f>DL48</f>
        <v>0</v>
      </c>
      <c r="M73" s="326">
        <f t="shared" si="213"/>
        <v>5</v>
      </c>
      <c r="N73" s="65"/>
      <c r="O73" s="96"/>
      <c r="Q73" s="500">
        <f t="shared" si="214"/>
        <v>5</v>
      </c>
      <c r="R73" s="500"/>
      <c r="S73" s="500"/>
      <c r="T73" s="1643"/>
      <c r="U73" s="1644"/>
      <c r="V73" s="583"/>
      <c r="W73" s="583"/>
      <c r="X73" s="587"/>
      <c r="Y73" s="583"/>
      <c r="Z73" s="584"/>
      <c r="AA73" s="585"/>
      <c r="AB73" s="585"/>
      <c r="AC73" s="585"/>
      <c r="AD73" s="585"/>
      <c r="AE73" s="585"/>
      <c r="AF73" s="585"/>
      <c r="AG73" s="566"/>
      <c r="AH73" s="569"/>
      <c r="GW73" s="581"/>
      <c r="HL73" s="567"/>
    </row>
    <row r="74" spans="1:220" ht="12" customHeight="1">
      <c r="A74" s="1779"/>
      <c r="B74" s="1779"/>
      <c r="C74" s="5"/>
      <c r="D74" s="1"/>
      <c r="E74" s="127"/>
      <c r="F74" s="1"/>
      <c r="G74" s="44" t="s">
        <v>33</v>
      </c>
      <c r="H74" s="324">
        <f>SUM(H72:H73)+DM48</f>
        <v>0</v>
      </c>
      <c r="I74" s="324">
        <f>SUM(I72:I73)+DN48</f>
        <v>24</v>
      </c>
      <c r="J74" s="324">
        <f>SUM(J72:J73)+DO48</f>
        <v>60</v>
      </c>
      <c r="K74" s="324">
        <f>SUM(K72:K73)+DP48</f>
        <v>0</v>
      </c>
      <c r="L74" s="324">
        <f>SUM(L72:L73)+DQ48</f>
        <v>0</v>
      </c>
      <c r="M74" s="324">
        <f t="shared" si="213"/>
        <v>84</v>
      </c>
      <c r="N74" s="62"/>
      <c r="O74" s="96"/>
      <c r="Q74" s="500">
        <f t="shared" si="214"/>
        <v>84</v>
      </c>
      <c r="R74" s="500"/>
      <c r="S74" s="500"/>
      <c r="T74" s="1643"/>
      <c r="U74" s="1644"/>
      <c r="V74" s="586"/>
      <c r="W74" s="583"/>
      <c r="X74" s="587"/>
      <c r="Y74" s="583"/>
      <c r="Z74" s="588"/>
      <c r="AA74" s="585"/>
      <c r="AB74" s="585"/>
      <c r="AC74" s="585"/>
      <c r="AD74" s="585"/>
      <c r="AE74" s="585"/>
      <c r="AF74" s="585"/>
      <c r="AG74" s="584"/>
      <c r="AH74" s="569"/>
      <c r="GW74" s="581"/>
      <c r="HL74" s="567"/>
    </row>
    <row r="75" spans="1:220" ht="12" customHeight="1">
      <c r="A75" s="1779"/>
      <c r="B75" s="1779"/>
      <c r="C75" s="1"/>
      <c r="D75" s="1"/>
      <c r="E75" s="120" t="s">
        <v>2268</v>
      </c>
      <c r="F75" s="1"/>
      <c r="G75" s="44" t="s">
        <v>1519</v>
      </c>
      <c r="H75" s="322">
        <f>DR48</f>
        <v>0</v>
      </c>
      <c r="I75" s="322">
        <f>DS48</f>
        <v>0</v>
      </c>
      <c r="J75" s="322">
        <f>DT48</f>
        <v>0</v>
      </c>
      <c r="K75" s="322">
        <f>DU48</f>
        <v>0</v>
      </c>
      <c r="L75" s="322">
        <f>DV48</f>
        <v>0</v>
      </c>
      <c r="M75" s="322">
        <f t="shared" si="213"/>
        <v>0</v>
      </c>
      <c r="N75" s="31"/>
      <c r="O75" s="96"/>
      <c r="Q75" s="500">
        <f t="shared" si="214"/>
        <v>0</v>
      </c>
      <c r="R75" s="500"/>
      <c r="S75" s="500"/>
      <c r="T75" s="1643"/>
      <c r="U75" s="1644"/>
      <c r="V75" s="583"/>
      <c r="W75" s="583"/>
      <c r="X75" s="587"/>
      <c r="Y75" s="583"/>
      <c r="Z75" s="584"/>
      <c r="AA75" s="585"/>
      <c r="AB75" s="585"/>
      <c r="AC75" s="585"/>
      <c r="AD75" s="585"/>
      <c r="AE75" s="585"/>
      <c r="AF75" s="585"/>
      <c r="AG75" s="1193"/>
      <c r="FY75" s="567"/>
      <c r="FZ75" s="567"/>
      <c r="GA75" s="567"/>
      <c r="GB75" s="567"/>
      <c r="GC75" s="567"/>
      <c r="GD75" s="567"/>
      <c r="GE75" s="567"/>
      <c r="GF75" s="567"/>
      <c r="GG75" s="567"/>
      <c r="GH75" s="567"/>
      <c r="GI75" s="567"/>
      <c r="GJ75" s="567"/>
      <c r="GK75" s="567"/>
      <c r="GL75" s="567"/>
      <c r="GM75" s="567"/>
      <c r="GN75" s="567"/>
      <c r="GO75" s="567"/>
      <c r="GW75" s="581"/>
      <c r="HL75" s="567"/>
    </row>
    <row r="76" spans="1:220" ht="12" customHeight="1">
      <c r="C76" s="1"/>
      <c r="D76" s="1"/>
      <c r="E76" s="127"/>
      <c r="F76" s="1"/>
      <c r="G76" s="44" t="s">
        <v>319</v>
      </c>
      <c r="H76" s="326">
        <f>DW48</f>
        <v>0</v>
      </c>
      <c r="I76" s="326">
        <f>DX48</f>
        <v>0</v>
      </c>
      <c r="J76" s="326">
        <f>DY48</f>
        <v>0</v>
      </c>
      <c r="K76" s="326">
        <f>DZ48</f>
        <v>0</v>
      </c>
      <c r="L76" s="326">
        <f>EA48</f>
        <v>0</v>
      </c>
      <c r="M76" s="326">
        <f t="shared" si="213"/>
        <v>0</v>
      </c>
      <c r="N76" s="65"/>
      <c r="O76" s="96"/>
      <c r="Q76" s="500">
        <f t="shared" si="214"/>
        <v>0</v>
      </c>
      <c r="R76" s="500"/>
      <c r="S76" s="500"/>
      <c r="T76" s="1643"/>
      <c r="U76" s="1644"/>
      <c r="V76" s="583"/>
      <c r="W76" s="583"/>
      <c r="X76" s="587"/>
      <c r="Y76" s="583"/>
      <c r="Z76" s="584"/>
      <c r="AA76" s="585"/>
      <c r="AB76" s="585"/>
      <c r="AC76" s="585"/>
      <c r="AD76" s="585"/>
      <c r="AE76" s="585"/>
      <c r="AF76" s="585"/>
      <c r="AG76" s="566"/>
      <c r="AH76" s="569"/>
      <c r="GW76" s="581"/>
      <c r="HL76" s="567"/>
    </row>
    <row r="77" spans="1:220" ht="12" customHeight="1">
      <c r="C77" s="5"/>
      <c r="D77" s="1"/>
      <c r="E77" s="127"/>
      <c r="F77" s="1"/>
      <c r="G77" s="44" t="s">
        <v>33</v>
      </c>
      <c r="H77" s="324">
        <f>SUM(H75:H76)+EB48</f>
        <v>0</v>
      </c>
      <c r="I77" s="324">
        <f>SUM(I75:I76)+EC48</f>
        <v>0</v>
      </c>
      <c r="J77" s="324">
        <f>SUM(J75:J76)+ED48</f>
        <v>0</v>
      </c>
      <c r="K77" s="324">
        <f>SUM(K75:K76)+EE48</f>
        <v>0</v>
      </c>
      <c r="L77" s="324">
        <f>SUM(L75:L76)+EF48</f>
        <v>0</v>
      </c>
      <c r="M77" s="324">
        <f t="shared" si="213"/>
        <v>0</v>
      </c>
      <c r="N77" s="62"/>
      <c r="O77" s="96"/>
      <c r="Q77" s="500">
        <f t="shared" si="214"/>
        <v>0</v>
      </c>
      <c r="R77" s="500"/>
      <c r="S77" s="500"/>
      <c r="T77" s="1643"/>
      <c r="U77" s="1644"/>
      <c r="V77" s="586"/>
      <c r="W77" s="583"/>
      <c r="X77" s="587"/>
      <c r="Y77" s="583"/>
      <c r="Z77" s="588"/>
      <c r="AA77" s="585"/>
      <c r="AB77" s="585"/>
      <c r="AC77" s="585"/>
      <c r="AD77" s="585"/>
      <c r="AE77" s="585"/>
      <c r="AF77" s="585"/>
      <c r="AG77" s="584"/>
      <c r="AH77" s="569"/>
      <c r="GW77" s="581"/>
      <c r="HL77" s="567"/>
    </row>
    <row r="78" spans="1:220" ht="12" customHeight="1">
      <c r="C78" s="1"/>
      <c r="D78" s="1"/>
      <c r="E78" s="1791" t="s">
        <v>1506</v>
      </c>
      <c r="F78" s="1791"/>
      <c r="G78" s="44" t="s">
        <v>1519</v>
      </c>
      <c r="H78" s="322">
        <f>EG48</f>
        <v>0</v>
      </c>
      <c r="I78" s="322">
        <f>EH48</f>
        <v>0</v>
      </c>
      <c r="J78" s="322">
        <f>EI48</f>
        <v>0</v>
      </c>
      <c r="K78" s="322">
        <f>EJ48</f>
        <v>0</v>
      </c>
      <c r="L78" s="322">
        <f>EK48</f>
        <v>0</v>
      </c>
      <c r="M78" s="322">
        <f t="shared" si="213"/>
        <v>0</v>
      </c>
      <c r="N78" s="31"/>
      <c r="O78" s="96"/>
      <c r="Q78" s="500">
        <f t="shared" si="214"/>
        <v>0</v>
      </c>
      <c r="R78" s="500"/>
      <c r="S78" s="500"/>
      <c r="T78" s="1643"/>
      <c r="U78" s="1644"/>
      <c r="V78" s="583"/>
      <c r="W78" s="583"/>
      <c r="X78" s="587"/>
      <c r="Y78" s="583"/>
      <c r="Z78" s="584"/>
      <c r="AA78" s="585"/>
      <c r="AB78" s="585"/>
      <c r="AC78" s="585"/>
      <c r="AD78" s="585"/>
      <c r="AE78" s="585"/>
      <c r="AF78" s="585"/>
      <c r="AG78" s="1193"/>
      <c r="FY78" s="567"/>
      <c r="FZ78" s="567"/>
      <c r="GA78" s="567"/>
      <c r="GB78" s="567"/>
      <c r="GC78" s="567"/>
      <c r="GD78" s="567"/>
      <c r="GE78" s="567"/>
      <c r="GF78" s="567"/>
      <c r="GG78" s="567"/>
      <c r="GH78" s="567"/>
      <c r="GI78" s="567"/>
      <c r="GJ78" s="567"/>
      <c r="GK78" s="567"/>
      <c r="GL78" s="567"/>
      <c r="GM78" s="567"/>
      <c r="GN78" s="567"/>
      <c r="GO78" s="567"/>
      <c r="GW78" s="581"/>
      <c r="HL78" s="567"/>
    </row>
    <row r="79" spans="1:220" ht="12" customHeight="1">
      <c r="C79" s="1"/>
      <c r="D79" s="1"/>
      <c r="E79" s="1791"/>
      <c r="F79" s="1791"/>
      <c r="G79" s="44" t="s">
        <v>319</v>
      </c>
      <c r="H79" s="326">
        <f>EL48</f>
        <v>0</v>
      </c>
      <c r="I79" s="326">
        <f>EM48</f>
        <v>0</v>
      </c>
      <c r="J79" s="326">
        <f>EN48</f>
        <v>0</v>
      </c>
      <c r="K79" s="326">
        <f>EO48</f>
        <v>0</v>
      </c>
      <c r="L79" s="326">
        <f>EP48</f>
        <v>0</v>
      </c>
      <c r="M79" s="326">
        <f t="shared" si="213"/>
        <v>0</v>
      </c>
      <c r="N79" s="65"/>
      <c r="O79" s="96"/>
      <c r="Q79" s="500">
        <f t="shared" si="214"/>
        <v>0</v>
      </c>
      <c r="R79" s="500"/>
      <c r="S79" s="500"/>
      <c r="T79" s="1643"/>
      <c r="U79" s="1644"/>
      <c r="V79" s="583"/>
      <c r="W79" s="583"/>
      <c r="X79" s="583"/>
      <c r="Y79" s="583"/>
      <c r="Z79" s="584"/>
      <c r="AA79" s="585"/>
      <c r="AB79" s="585"/>
      <c r="AC79" s="585"/>
      <c r="AD79" s="585"/>
      <c r="AE79" s="585"/>
      <c r="AF79" s="585"/>
      <c r="AG79" s="566"/>
      <c r="AH79" s="569"/>
      <c r="GW79" s="581"/>
      <c r="HL79" s="567"/>
    </row>
    <row r="80" spans="1:220" ht="12" customHeight="1">
      <c r="C80" s="5"/>
      <c r="D80" s="1"/>
      <c r="E80" s="127"/>
      <c r="F80" s="1"/>
      <c r="G80" s="44" t="s">
        <v>33</v>
      </c>
      <c r="H80" s="324">
        <f>SUM(H78:H79)+EQ48</f>
        <v>0</v>
      </c>
      <c r="I80" s="324">
        <f>SUM(I78:I79)+ER48</f>
        <v>0</v>
      </c>
      <c r="J80" s="324">
        <f>SUM(J78:J79)+ES48</f>
        <v>0</v>
      </c>
      <c r="K80" s="324">
        <f>SUM(K78:K79)+ET48</f>
        <v>0</v>
      </c>
      <c r="L80" s="324">
        <f>SUM(L78:L79)+EU48</f>
        <v>0</v>
      </c>
      <c r="M80" s="324">
        <f t="shared" si="213"/>
        <v>0</v>
      </c>
      <c r="N80" s="62"/>
      <c r="O80" s="96"/>
      <c r="Q80" s="500">
        <f t="shared" si="214"/>
        <v>0</v>
      </c>
      <c r="R80" s="500"/>
      <c r="S80" s="500"/>
      <c r="T80" s="1643"/>
      <c r="U80" s="1644"/>
      <c r="V80" s="586"/>
      <c r="W80" s="583"/>
      <c r="X80" s="587"/>
      <c r="Y80" s="583"/>
      <c r="Z80" s="588"/>
      <c r="AA80" s="585"/>
      <c r="AB80" s="585"/>
      <c r="AC80" s="585"/>
      <c r="AD80" s="585"/>
      <c r="AE80" s="585"/>
      <c r="AF80" s="585"/>
      <c r="AG80" s="584"/>
      <c r="AH80" s="569"/>
      <c r="GW80" s="581"/>
      <c r="HL80" s="567"/>
    </row>
    <row r="81" spans="1:220" ht="12" customHeight="1">
      <c r="C81" s="1"/>
      <c r="D81" s="1"/>
      <c r="E81" s="127" t="s">
        <v>384</v>
      </c>
      <c r="F81" s="1"/>
      <c r="G81" s="44"/>
      <c r="H81" s="1213"/>
      <c r="I81" s="1213"/>
      <c r="J81" s="1213"/>
      <c r="K81" s="1213"/>
      <c r="L81" s="1213"/>
      <c r="M81" s="322">
        <f t="shared" si="213"/>
        <v>0</v>
      </c>
      <c r="N81" s="31"/>
      <c r="O81" s="96"/>
      <c r="T81" s="1643"/>
      <c r="U81" s="1644"/>
      <c r="V81" s="583"/>
      <c r="W81" s="583"/>
      <c r="X81" s="583"/>
      <c r="Y81" s="583"/>
      <c r="Z81" s="584"/>
      <c r="AA81" s="585"/>
      <c r="AB81" s="585"/>
      <c r="AC81" s="585"/>
      <c r="AD81" s="585"/>
      <c r="AE81" s="585"/>
      <c r="AF81" s="585"/>
      <c r="AG81" s="566"/>
      <c r="AH81" s="569"/>
      <c r="GW81" s="581"/>
      <c r="HL81" s="567"/>
    </row>
    <row r="82" spans="1:220" ht="12" customHeight="1">
      <c r="A82" s="1764" t="str">
        <f>IF(AND('Part IV-Uses of Funds'!$T$163="Yes",'Part IX A-Scoring Criteria'!$O$241&gt;0,M82&lt;1),"SHOW HISTORIC UNITS HERE &gt;&gt;&gt;&gt;","")</f>
        <v/>
      </c>
      <c r="B82" s="1764"/>
      <c r="C82" s="1764"/>
      <c r="D82" s="1764"/>
      <c r="E82" s="647" t="s">
        <v>385</v>
      </c>
      <c r="F82" s="1"/>
      <c r="G82" s="44"/>
      <c r="H82" s="1214"/>
      <c r="I82" s="1214"/>
      <c r="J82" s="1214"/>
      <c r="K82" s="1214"/>
      <c r="L82" s="1214"/>
      <c r="M82" s="326">
        <f t="shared" si="213"/>
        <v>0</v>
      </c>
      <c r="N82" s="65"/>
      <c r="O82" s="96"/>
      <c r="T82" s="1645"/>
      <c r="U82" s="1646"/>
      <c r="V82" s="583"/>
      <c r="W82" s="583"/>
      <c r="X82" s="583"/>
      <c r="Y82" s="583"/>
      <c r="Z82" s="584"/>
      <c r="AA82" s="585"/>
      <c r="AB82" s="585"/>
      <c r="AC82" s="585"/>
      <c r="AD82" s="585"/>
      <c r="AE82" s="585"/>
      <c r="AF82" s="585"/>
      <c r="AG82" s="566"/>
      <c r="AH82" s="569"/>
      <c r="GW82" s="581"/>
      <c r="HL82" s="567"/>
    </row>
    <row r="83" spans="1:220" ht="12" customHeight="1">
      <c r="C83" s="1" t="s">
        <v>41</v>
      </c>
      <c r="D83" s="1"/>
      <c r="E83" s="127"/>
      <c r="F83" s="1"/>
      <c r="G83" s="44"/>
      <c r="H83" s="15"/>
      <c r="I83" s="15"/>
      <c r="J83" s="15"/>
      <c r="K83" s="15"/>
      <c r="L83" s="15"/>
      <c r="M83" s="15"/>
      <c r="O83" s="96"/>
      <c r="Q83" s="500"/>
      <c r="R83" s="500"/>
      <c r="S83" s="500"/>
      <c r="T83" s="383" t="str">
        <f>C83</f>
        <v>Building Type:</v>
      </c>
      <c r="U83" s="181"/>
      <c r="V83" s="569"/>
      <c r="W83" s="569"/>
      <c r="X83" s="574"/>
      <c r="Y83" s="569"/>
      <c r="Z83" s="584"/>
      <c r="AA83" s="583"/>
      <c r="AB83" s="583"/>
      <c r="AC83" s="583"/>
      <c r="AD83" s="583"/>
      <c r="AE83" s="583"/>
      <c r="AF83" s="583"/>
      <c r="AG83" s="1193"/>
      <c r="AH83" s="569"/>
      <c r="GW83" s="581"/>
      <c r="HL83" s="567"/>
    </row>
    <row r="84" spans="1:220" ht="12" customHeight="1">
      <c r="C84" s="1"/>
      <c r="D84" s="1"/>
      <c r="E84" s="120" t="s">
        <v>42</v>
      </c>
      <c r="F84" s="1"/>
      <c r="G84" s="44"/>
      <c r="H84" s="322">
        <f>SUM(H85:H88)</f>
        <v>0</v>
      </c>
      <c r="I84" s="322">
        <f>SUM(I85:I88)</f>
        <v>24</v>
      </c>
      <c r="J84" s="322">
        <f>SUM(J85:J88)</f>
        <v>60</v>
      </c>
      <c r="K84" s="322">
        <f>SUM(K85:K88)</f>
        <v>0</v>
      </c>
      <c r="L84" s="322">
        <f>SUM(L85:L88)</f>
        <v>0</v>
      </c>
      <c r="M84" s="322">
        <f t="shared" ref="M84:M92" si="215">SUM(H84:L84)</f>
        <v>84</v>
      </c>
      <c r="N84" s="31"/>
      <c r="O84" s="96"/>
      <c r="Q84" s="500">
        <f>ABS(M84-AF84)</f>
        <v>84</v>
      </c>
      <c r="R84" s="500"/>
      <c r="S84" s="500"/>
      <c r="T84" s="1641"/>
      <c r="U84" s="1642"/>
      <c r="V84" s="569"/>
      <c r="W84" s="569"/>
      <c r="X84" s="587"/>
      <c r="Y84" s="569"/>
      <c r="Z84" s="584"/>
      <c r="AA84" s="585"/>
      <c r="AB84" s="585"/>
      <c r="AC84" s="585"/>
      <c r="AD84" s="585"/>
      <c r="AE84" s="585"/>
      <c r="AF84" s="585"/>
      <c r="AG84" s="1193"/>
      <c r="FY84" s="567"/>
      <c r="FZ84" s="567"/>
      <c r="GA84" s="567"/>
      <c r="GB84" s="567"/>
      <c r="GC84" s="567"/>
      <c r="GD84" s="567"/>
      <c r="GE84" s="567"/>
      <c r="GF84" s="567"/>
      <c r="GG84" s="567"/>
      <c r="GH84" s="567"/>
      <c r="GI84" s="567"/>
      <c r="GJ84" s="567"/>
      <c r="GK84" s="567"/>
      <c r="GL84" s="567"/>
      <c r="GM84" s="567"/>
      <c r="GN84" s="567"/>
      <c r="GO84" s="567"/>
      <c r="GW84" s="581"/>
      <c r="HL84" s="567"/>
    </row>
    <row r="85" spans="1:220" ht="12" customHeight="1">
      <c r="C85" s="1"/>
      <c r="D85" s="1"/>
      <c r="E85" s="120"/>
      <c r="F85" s="1"/>
      <c r="G85" s="44" t="s">
        <v>2778</v>
      </c>
      <c r="H85" s="325">
        <f>FU48</f>
        <v>0</v>
      </c>
      <c r="I85" s="325">
        <f>FV48</f>
        <v>0</v>
      </c>
      <c r="J85" s="325">
        <f>FW48</f>
        <v>30</v>
      </c>
      <c r="K85" s="325">
        <f>FX48</f>
        <v>0</v>
      </c>
      <c r="L85" s="325">
        <f>FY48</f>
        <v>0</v>
      </c>
      <c r="M85" s="323">
        <f t="shared" si="215"/>
        <v>30</v>
      </c>
      <c r="N85" s="31"/>
      <c r="O85" s="96"/>
      <c r="Q85" s="500"/>
      <c r="R85" s="500"/>
      <c r="S85" s="500"/>
      <c r="T85" s="1643"/>
      <c r="U85" s="1644"/>
      <c r="V85" s="569"/>
      <c r="W85" s="569"/>
      <c r="X85" s="587"/>
      <c r="Y85" s="569"/>
      <c r="Z85" s="584"/>
      <c r="AA85" s="585"/>
      <c r="AB85" s="585"/>
      <c r="AC85" s="585"/>
      <c r="AD85" s="585"/>
      <c r="AE85" s="585"/>
      <c r="AF85" s="585"/>
      <c r="AG85" s="1193"/>
      <c r="FY85" s="567"/>
      <c r="FZ85" s="567"/>
      <c r="GA85" s="567"/>
      <c r="GB85" s="567"/>
      <c r="GC85" s="567"/>
      <c r="GD85" s="567"/>
      <c r="GE85" s="567"/>
      <c r="GF85" s="567"/>
      <c r="GG85" s="567"/>
      <c r="GH85" s="567"/>
      <c r="GI85" s="567"/>
      <c r="GJ85" s="567"/>
      <c r="GK85" s="567"/>
      <c r="GL85" s="567"/>
      <c r="GM85" s="567"/>
      <c r="GN85" s="567"/>
      <c r="GO85" s="567"/>
      <c r="GW85" s="581"/>
      <c r="HL85" s="567"/>
    </row>
    <row r="86" spans="1:220" ht="12" customHeight="1">
      <c r="C86" s="1"/>
      <c r="D86" s="1"/>
      <c r="E86" s="120"/>
      <c r="F86" s="1"/>
      <c r="G86" s="44" t="s">
        <v>2779</v>
      </c>
      <c r="H86" s="325">
        <f>FZ48</f>
        <v>0</v>
      </c>
      <c r="I86" s="325">
        <f>GA48</f>
        <v>0</v>
      </c>
      <c r="J86" s="325">
        <f>GB48</f>
        <v>0</v>
      </c>
      <c r="K86" s="325">
        <f>GC48</f>
        <v>0</v>
      </c>
      <c r="L86" s="325">
        <f>GD48</f>
        <v>0</v>
      </c>
      <c r="M86" s="323">
        <f t="shared" si="215"/>
        <v>0</v>
      </c>
      <c r="N86" s="31"/>
      <c r="O86" s="96"/>
      <c r="Q86" s="500"/>
      <c r="R86" s="500"/>
      <c r="S86" s="500"/>
      <c r="T86" s="1643"/>
      <c r="U86" s="1644"/>
      <c r="V86" s="569"/>
      <c r="W86" s="569"/>
      <c r="X86" s="587"/>
      <c r="Y86" s="569"/>
      <c r="Z86" s="584"/>
      <c r="AA86" s="585"/>
      <c r="AB86" s="585"/>
      <c r="AC86" s="585"/>
      <c r="AD86" s="585"/>
      <c r="AE86" s="585"/>
      <c r="AF86" s="585"/>
      <c r="AG86" s="1193"/>
      <c r="FY86" s="567"/>
      <c r="FZ86" s="567"/>
      <c r="GA86" s="567"/>
      <c r="GB86" s="567"/>
      <c r="GC86" s="567"/>
      <c r="GD86" s="567"/>
      <c r="GE86" s="567"/>
      <c r="GF86" s="567"/>
      <c r="GG86" s="567"/>
      <c r="GH86" s="567"/>
      <c r="GI86" s="567"/>
      <c r="GJ86" s="567"/>
      <c r="GK86" s="567"/>
      <c r="GL86" s="567"/>
      <c r="GM86" s="567"/>
      <c r="GN86" s="567"/>
      <c r="GO86" s="567"/>
      <c r="GW86" s="581"/>
      <c r="HL86" s="567"/>
    </row>
    <row r="87" spans="1:220" ht="12" customHeight="1">
      <c r="C87" s="1"/>
      <c r="D87" s="1"/>
      <c r="E87" s="120"/>
      <c r="F87" s="1"/>
      <c r="G87" s="44" t="s">
        <v>2781</v>
      </c>
      <c r="H87" s="325">
        <f>GE48</f>
        <v>0</v>
      </c>
      <c r="I87" s="325">
        <f>GF48</f>
        <v>0</v>
      </c>
      <c r="J87" s="325">
        <f>GG48</f>
        <v>0</v>
      </c>
      <c r="K87" s="325">
        <f>GH48</f>
        <v>0</v>
      </c>
      <c r="L87" s="325">
        <f>GI48</f>
        <v>0</v>
      </c>
      <c r="M87" s="323">
        <f t="shared" si="215"/>
        <v>0</v>
      </c>
      <c r="N87" s="31"/>
      <c r="O87" s="96"/>
      <c r="Q87" s="500"/>
      <c r="R87" s="500"/>
      <c r="S87" s="500"/>
      <c r="T87" s="1643"/>
      <c r="U87" s="1644"/>
      <c r="V87" s="569"/>
      <c r="W87" s="569"/>
      <c r="X87" s="587"/>
      <c r="Y87" s="569"/>
      <c r="Z87" s="584"/>
      <c r="AA87" s="585"/>
      <c r="AB87" s="585"/>
      <c r="AC87" s="585"/>
      <c r="AD87" s="585"/>
      <c r="AE87" s="585"/>
      <c r="AF87" s="585"/>
      <c r="AG87" s="1193"/>
      <c r="FY87" s="567"/>
      <c r="FZ87" s="567"/>
      <c r="GA87" s="567"/>
      <c r="GB87" s="567"/>
      <c r="GC87" s="567"/>
      <c r="GD87" s="567"/>
      <c r="GE87" s="567"/>
      <c r="GF87" s="567"/>
      <c r="GG87" s="567"/>
      <c r="GH87" s="567"/>
      <c r="GI87" s="567"/>
      <c r="GJ87" s="567"/>
      <c r="GK87" s="567"/>
      <c r="GL87" s="567"/>
      <c r="GM87" s="567"/>
      <c r="GN87" s="567"/>
      <c r="GO87" s="567"/>
      <c r="GW87" s="581"/>
      <c r="HL87" s="567"/>
    </row>
    <row r="88" spans="1:220" ht="12" customHeight="1">
      <c r="C88" s="1"/>
      <c r="D88" s="1"/>
      <c r="E88" s="120"/>
      <c r="F88" s="1"/>
      <c r="G88" s="44" t="s">
        <v>2780</v>
      </c>
      <c r="H88" s="325">
        <f>GJ48</f>
        <v>0</v>
      </c>
      <c r="I88" s="325">
        <f>GK48</f>
        <v>24</v>
      </c>
      <c r="J88" s="325">
        <f>GL48</f>
        <v>30</v>
      </c>
      <c r="K88" s="325">
        <f>GM48</f>
        <v>0</v>
      </c>
      <c r="L88" s="325">
        <f>GN48</f>
        <v>0</v>
      </c>
      <c r="M88" s="325">
        <f t="shared" si="215"/>
        <v>54</v>
      </c>
      <c r="N88" s="31"/>
      <c r="O88" s="96"/>
      <c r="Q88" s="500"/>
      <c r="R88" s="500"/>
      <c r="S88" s="500"/>
      <c r="T88" s="1643"/>
      <c r="U88" s="1644"/>
      <c r="V88" s="569"/>
      <c r="W88" s="569"/>
      <c r="X88" s="587"/>
      <c r="Y88" s="569"/>
      <c r="Z88" s="584"/>
      <c r="AA88" s="585"/>
      <c r="AB88" s="585"/>
      <c r="AC88" s="585"/>
      <c r="AD88" s="585"/>
      <c r="AE88" s="585"/>
      <c r="AF88" s="585"/>
      <c r="AG88" s="1193"/>
      <c r="FY88" s="567"/>
      <c r="FZ88" s="567"/>
      <c r="GA88" s="567"/>
      <c r="GB88" s="567"/>
      <c r="GC88" s="567"/>
      <c r="GD88" s="567"/>
      <c r="GE88" s="567"/>
      <c r="GF88" s="567"/>
      <c r="GG88" s="567"/>
      <c r="GH88" s="567"/>
      <c r="GI88" s="567"/>
      <c r="GJ88" s="567"/>
      <c r="GK88" s="567"/>
      <c r="GL88" s="567"/>
      <c r="GM88" s="567"/>
      <c r="GN88" s="567"/>
      <c r="GO88" s="567"/>
      <c r="GW88" s="581"/>
      <c r="HL88" s="567"/>
    </row>
    <row r="89" spans="1:220" ht="12" customHeight="1">
      <c r="C89" s="1"/>
      <c r="D89" s="1"/>
      <c r="E89" s="120" t="s">
        <v>43</v>
      </c>
      <c r="F89" s="1"/>
      <c r="G89" s="44"/>
      <c r="H89" s="323">
        <f>FA48</f>
        <v>0</v>
      </c>
      <c r="I89" s="323">
        <f>FB48</f>
        <v>0</v>
      </c>
      <c r="J89" s="323">
        <f>FC48</f>
        <v>0</v>
      </c>
      <c r="K89" s="323">
        <f>FD48</f>
        <v>0</v>
      </c>
      <c r="L89" s="323">
        <f>FE48</f>
        <v>0</v>
      </c>
      <c r="M89" s="323">
        <f t="shared" si="215"/>
        <v>0</v>
      </c>
      <c r="N89" s="65"/>
      <c r="O89" s="96"/>
      <c r="Q89" s="500">
        <f>ABS(M89-AF89)</f>
        <v>0</v>
      </c>
      <c r="R89" s="500"/>
      <c r="S89" s="500"/>
      <c r="T89" s="1643"/>
      <c r="U89" s="1644"/>
      <c r="V89" s="569"/>
      <c r="W89" s="569"/>
      <c r="X89" s="587"/>
      <c r="Y89" s="569"/>
      <c r="Z89" s="584"/>
      <c r="AA89" s="585"/>
      <c r="AB89" s="585"/>
      <c r="AC89" s="585"/>
      <c r="AD89" s="585"/>
      <c r="AE89" s="585"/>
      <c r="AF89" s="585"/>
      <c r="AG89" s="566"/>
      <c r="AH89" s="569"/>
      <c r="GW89" s="581"/>
      <c r="HL89" s="567"/>
    </row>
    <row r="90" spans="1:220" ht="12" customHeight="1">
      <c r="C90" s="1"/>
      <c r="D90" s="1"/>
      <c r="E90" s="120" t="s">
        <v>44</v>
      </c>
      <c r="F90" s="1"/>
      <c r="G90" s="44"/>
      <c r="H90" s="323">
        <f>FP48</f>
        <v>0</v>
      </c>
      <c r="I90" s="323">
        <f>FQ48</f>
        <v>0</v>
      </c>
      <c r="J90" s="323">
        <f>FR48</f>
        <v>0</v>
      </c>
      <c r="K90" s="323">
        <f>FS48</f>
        <v>0</v>
      </c>
      <c r="L90" s="323">
        <f>FT48</f>
        <v>0</v>
      </c>
      <c r="M90" s="323">
        <f t="shared" si="215"/>
        <v>0</v>
      </c>
      <c r="N90" s="31"/>
      <c r="O90" s="96"/>
      <c r="Q90" s="500">
        <f>ABS(M90-AF90)</f>
        <v>0</v>
      </c>
      <c r="R90" s="500"/>
      <c r="S90" s="500"/>
      <c r="T90" s="1643"/>
      <c r="U90" s="1644"/>
      <c r="V90" s="569"/>
      <c r="W90" s="569"/>
      <c r="X90" s="587"/>
      <c r="Y90" s="569"/>
      <c r="Z90" s="584"/>
      <c r="AA90" s="585"/>
      <c r="AB90" s="585"/>
      <c r="AC90" s="585"/>
      <c r="AD90" s="585"/>
      <c r="AE90" s="585"/>
      <c r="AF90" s="585"/>
      <c r="AG90" s="1193"/>
      <c r="FY90" s="567"/>
      <c r="FZ90" s="567"/>
      <c r="GA90" s="567"/>
      <c r="GB90" s="567"/>
      <c r="GC90" s="567"/>
      <c r="GD90" s="567"/>
      <c r="GE90" s="567"/>
      <c r="GF90" s="567"/>
      <c r="GG90" s="567"/>
      <c r="GH90" s="567"/>
      <c r="GI90" s="567"/>
      <c r="GJ90" s="567"/>
      <c r="GK90" s="567"/>
      <c r="GL90" s="567"/>
      <c r="GM90" s="567"/>
      <c r="GN90" s="567"/>
      <c r="GO90" s="567"/>
      <c r="GW90" s="581"/>
      <c r="HL90" s="567"/>
    </row>
    <row r="91" spans="1:220" ht="12" customHeight="1">
      <c r="C91" s="1"/>
      <c r="D91" s="1"/>
      <c r="E91" s="127" t="s">
        <v>593</v>
      </c>
      <c r="F91" s="1"/>
      <c r="G91" s="44"/>
      <c r="H91" s="323">
        <f>FK48</f>
        <v>0</v>
      </c>
      <c r="I91" s="323">
        <f>FL48</f>
        <v>0</v>
      </c>
      <c r="J91" s="323">
        <f>FM48</f>
        <v>0</v>
      </c>
      <c r="K91" s="323">
        <f>FN48</f>
        <v>0</v>
      </c>
      <c r="L91" s="323">
        <f>FO48</f>
        <v>0</v>
      </c>
      <c r="M91" s="323">
        <f t="shared" si="215"/>
        <v>0</v>
      </c>
      <c r="N91" s="65"/>
      <c r="O91" s="96"/>
      <c r="Q91" s="500">
        <f>ABS(M91-AF91)</f>
        <v>0</v>
      </c>
      <c r="R91" s="500"/>
      <c r="S91" s="500"/>
      <c r="T91" s="1643"/>
      <c r="U91" s="1644"/>
      <c r="V91" s="569"/>
      <c r="W91" s="569"/>
      <c r="X91" s="574"/>
      <c r="Y91" s="569"/>
      <c r="Z91" s="584"/>
      <c r="AA91" s="585"/>
      <c r="AB91" s="585"/>
      <c r="AC91" s="585"/>
      <c r="AD91" s="585"/>
      <c r="AE91" s="585"/>
      <c r="AF91" s="585"/>
      <c r="AG91" s="566"/>
      <c r="AH91" s="569"/>
      <c r="GW91" s="581"/>
      <c r="HL91" s="567"/>
    </row>
    <row r="92" spans="1:220" ht="12" customHeight="1">
      <c r="C92" s="1"/>
      <c r="D92" s="1"/>
      <c r="E92" s="104" t="s">
        <v>594</v>
      </c>
      <c r="F92" s="1"/>
      <c r="G92" s="44"/>
      <c r="H92" s="326">
        <f>FF48</f>
        <v>0</v>
      </c>
      <c r="I92" s="326">
        <f>FG48</f>
        <v>0</v>
      </c>
      <c r="J92" s="326">
        <f>FH48</f>
        <v>0</v>
      </c>
      <c r="K92" s="326">
        <f>FI48</f>
        <v>0</v>
      </c>
      <c r="L92" s="326">
        <f>FJ48</f>
        <v>0</v>
      </c>
      <c r="M92" s="326">
        <f t="shared" si="215"/>
        <v>0</v>
      </c>
      <c r="N92" s="31"/>
      <c r="O92" s="96"/>
      <c r="Q92" s="500">
        <f>ABS(M92-AF92)</f>
        <v>0</v>
      </c>
      <c r="R92" s="500"/>
      <c r="S92" s="500"/>
      <c r="T92" s="1645"/>
      <c r="U92" s="1646"/>
      <c r="V92" s="569"/>
      <c r="W92" s="569"/>
      <c r="X92" s="572"/>
      <c r="Y92" s="569"/>
      <c r="Z92" s="584"/>
      <c r="AA92" s="585"/>
      <c r="AB92" s="585"/>
      <c r="AC92" s="585"/>
      <c r="AD92" s="585"/>
      <c r="AE92" s="585"/>
      <c r="AF92" s="585"/>
      <c r="AG92" s="1193"/>
      <c r="FY92" s="567"/>
      <c r="FZ92" s="567"/>
      <c r="GA92" s="567"/>
      <c r="GB92" s="567"/>
      <c r="GC92" s="567"/>
      <c r="GD92" s="567"/>
      <c r="GE92" s="567"/>
      <c r="GF92" s="567"/>
      <c r="GG92" s="567"/>
      <c r="GH92" s="567"/>
      <c r="GI92" s="567"/>
      <c r="GJ92" s="567"/>
      <c r="GK92" s="567"/>
      <c r="GL92" s="567"/>
      <c r="GM92" s="567"/>
      <c r="GN92" s="567"/>
      <c r="GO92" s="567"/>
      <c r="GW92" s="581"/>
      <c r="HL92" s="567"/>
    </row>
    <row r="93" spans="1:220" ht="12" customHeight="1">
      <c r="A93" s="16"/>
      <c r="B93" s="16" t="s">
        <v>2297</v>
      </c>
      <c r="C93" s="1"/>
      <c r="D93" s="1"/>
      <c r="E93" s="1"/>
      <c r="F93" s="1"/>
      <c r="G93" s="44"/>
      <c r="H93" s="1"/>
      <c r="I93" s="1"/>
      <c r="J93" s="1"/>
      <c r="K93" s="1"/>
      <c r="L93" s="1"/>
      <c r="M93" s="1"/>
      <c r="O93" s="96"/>
      <c r="Q93" s="500"/>
      <c r="R93" s="500"/>
      <c r="S93" s="500"/>
      <c r="T93" s="383" t="str">
        <f>B93</f>
        <v>Unit Square Footage:</v>
      </c>
      <c r="U93" s="499" t="s">
        <v>1199</v>
      </c>
      <c r="V93" s="583"/>
      <c r="W93" s="583"/>
      <c r="X93" s="583"/>
      <c r="Y93" s="583"/>
      <c r="Z93" s="584"/>
      <c r="AA93" s="583"/>
      <c r="AB93" s="583"/>
      <c r="AC93" s="583"/>
      <c r="AD93" s="583"/>
      <c r="AE93" s="583"/>
      <c r="AF93" s="583"/>
      <c r="AG93" s="1193"/>
      <c r="AH93" s="569"/>
      <c r="GW93" s="581"/>
      <c r="HL93" s="567"/>
    </row>
    <row r="94" spans="1:220" ht="12" customHeight="1">
      <c r="C94" s="6" t="s">
        <v>2267</v>
      </c>
      <c r="D94" s="1"/>
      <c r="E94" s="1"/>
      <c r="F94" s="1"/>
      <c r="G94" s="44" t="s">
        <v>1212</v>
      </c>
      <c r="H94" s="194">
        <f>BY48</f>
        <v>0</v>
      </c>
      <c r="I94" s="194">
        <f>BZ48</f>
        <v>6500</v>
      </c>
      <c r="J94" s="194">
        <f>CA48</f>
        <v>42300</v>
      </c>
      <c r="K94" s="194">
        <f>CB48</f>
        <v>0</v>
      </c>
      <c r="L94" s="194">
        <f>CC48</f>
        <v>0</v>
      </c>
      <c r="M94" s="194">
        <f t="shared" ref="M94:M100" si="216">SUM(H94:L94)</f>
        <v>48800</v>
      </c>
      <c r="O94" s="96"/>
      <c r="Q94" s="500">
        <f t="shared" ref="Q94:Q100" si="217">ABS(M94-AF94)</f>
        <v>48800</v>
      </c>
      <c r="R94" s="500"/>
      <c r="S94" s="500"/>
      <c r="T94" s="1641"/>
      <c r="U94" s="1642"/>
      <c r="V94" s="583"/>
      <c r="W94" s="583"/>
      <c r="X94" s="583"/>
      <c r="Y94" s="583"/>
      <c r="Z94" s="584"/>
      <c r="AA94" s="585"/>
      <c r="AB94" s="585"/>
      <c r="AC94" s="585"/>
      <c r="AD94" s="585"/>
      <c r="AE94" s="585"/>
      <c r="AF94" s="585"/>
      <c r="AG94" s="1193"/>
      <c r="AH94" s="569"/>
      <c r="GW94" s="581"/>
      <c r="HL94" s="567"/>
    </row>
    <row r="95" spans="1:220" ht="12" customHeight="1">
      <c r="C95" s="5"/>
      <c r="D95" s="1"/>
      <c r="E95" s="1"/>
      <c r="F95" s="1"/>
      <c r="G95" s="44" t="s">
        <v>121</v>
      </c>
      <c r="H95" s="196">
        <f>CD48</f>
        <v>0</v>
      </c>
      <c r="I95" s="196">
        <f>CE48</f>
        <v>8450</v>
      </c>
      <c r="J95" s="196">
        <f>CF48</f>
        <v>8100</v>
      </c>
      <c r="K95" s="196">
        <f>CG48</f>
        <v>0</v>
      </c>
      <c r="L95" s="196">
        <f>CH48</f>
        <v>0</v>
      </c>
      <c r="M95" s="196">
        <f t="shared" si="216"/>
        <v>16550</v>
      </c>
      <c r="N95" s="6"/>
      <c r="O95" s="96"/>
      <c r="Q95" s="500">
        <f t="shared" si="217"/>
        <v>16550</v>
      </c>
      <c r="R95" s="500"/>
      <c r="S95" s="500"/>
      <c r="T95" s="1643"/>
      <c r="U95" s="1644"/>
      <c r="V95" s="586"/>
      <c r="W95" s="583"/>
      <c r="X95" s="583"/>
      <c r="Y95" s="583"/>
      <c r="Z95" s="584"/>
      <c r="AA95" s="585"/>
      <c r="AB95" s="585"/>
      <c r="AC95" s="585"/>
      <c r="AD95" s="585"/>
      <c r="AE95" s="585"/>
      <c r="AF95" s="585"/>
      <c r="AG95" s="583"/>
      <c r="AH95" s="569"/>
      <c r="GW95" s="581"/>
      <c r="HL95" s="567"/>
    </row>
    <row r="96" spans="1:220" ht="12" customHeight="1">
      <c r="C96" s="5"/>
      <c r="D96" s="1"/>
      <c r="E96" s="1"/>
      <c r="F96" s="1"/>
      <c r="G96" s="44" t="s">
        <v>567</v>
      </c>
      <c r="H96" s="193">
        <f>SUM(H94:H95)</f>
        <v>0</v>
      </c>
      <c r="I96" s="193">
        <f>SUM(I94:I95)</f>
        <v>14950</v>
      </c>
      <c r="J96" s="193">
        <f>SUM(J94:J95)</f>
        <v>50400</v>
      </c>
      <c r="K96" s="193">
        <f>SUM(K94:K95)</f>
        <v>0</v>
      </c>
      <c r="L96" s="193">
        <f>SUM(L94:L95)</f>
        <v>0</v>
      </c>
      <c r="M96" s="193">
        <f t="shared" si="216"/>
        <v>65350</v>
      </c>
      <c r="N96" s="6"/>
      <c r="O96" s="96"/>
      <c r="Q96" s="500">
        <f t="shared" si="217"/>
        <v>65350</v>
      </c>
      <c r="R96" s="500"/>
      <c r="S96" s="500"/>
      <c r="T96" s="1643"/>
      <c r="U96" s="1644"/>
      <c r="V96" s="586"/>
      <c r="W96" s="583"/>
      <c r="X96" s="583"/>
      <c r="Y96" s="583"/>
      <c r="Z96" s="584"/>
      <c r="AA96" s="585"/>
      <c r="AB96" s="585"/>
      <c r="AC96" s="585"/>
      <c r="AD96" s="585"/>
      <c r="AE96" s="585"/>
      <c r="AF96" s="585"/>
      <c r="AG96" s="583"/>
      <c r="AH96" s="569"/>
      <c r="GW96" s="581"/>
      <c r="HL96" s="567"/>
    </row>
    <row r="97" spans="1:222" ht="12" customHeight="1">
      <c r="C97" s="1" t="s">
        <v>319</v>
      </c>
      <c r="D97" s="1"/>
      <c r="E97" s="1"/>
      <c r="F97" s="1"/>
      <c r="G97" s="1"/>
      <c r="H97" s="193">
        <f>CN48</f>
        <v>0</v>
      </c>
      <c r="I97" s="193">
        <f>CO48</f>
        <v>650</v>
      </c>
      <c r="J97" s="193">
        <f>CP48</f>
        <v>3600</v>
      </c>
      <c r="K97" s="193">
        <f>CQ48</f>
        <v>0</v>
      </c>
      <c r="L97" s="193">
        <f>CR48</f>
        <v>0</v>
      </c>
      <c r="M97" s="193">
        <f t="shared" si="216"/>
        <v>4250</v>
      </c>
      <c r="O97" s="96"/>
      <c r="Q97" s="500">
        <f t="shared" si="217"/>
        <v>4250</v>
      </c>
      <c r="R97" s="500"/>
      <c r="S97" s="500"/>
      <c r="T97" s="1643"/>
      <c r="U97" s="1644"/>
      <c r="V97" s="569"/>
      <c r="W97" s="583"/>
      <c r="X97" s="583"/>
      <c r="Y97" s="583"/>
      <c r="Z97" s="583"/>
      <c r="AA97" s="585"/>
      <c r="AB97" s="585"/>
      <c r="AC97" s="585"/>
      <c r="AD97" s="585"/>
      <c r="AE97" s="585"/>
      <c r="AF97" s="585"/>
      <c r="AG97" s="1193"/>
      <c r="AH97" s="569"/>
      <c r="GW97" s="581"/>
      <c r="HL97" s="567"/>
    </row>
    <row r="98" spans="1:222" ht="12" customHeight="1">
      <c r="C98" s="6" t="s">
        <v>1201</v>
      </c>
      <c r="D98" s="1"/>
      <c r="E98" s="1"/>
      <c r="F98" s="1"/>
      <c r="G98" s="1"/>
      <c r="H98" s="193">
        <f>SUM(H96:H97)</f>
        <v>0</v>
      </c>
      <c r="I98" s="193">
        <f>SUM(I96:I97)</f>
        <v>15600</v>
      </c>
      <c r="J98" s="193">
        <f>SUM(J96:J97)</f>
        <v>54000</v>
      </c>
      <c r="K98" s="193">
        <f>SUM(K96:K97)</f>
        <v>0</v>
      </c>
      <c r="L98" s="193">
        <f>SUM(L96:L97)</f>
        <v>0</v>
      </c>
      <c r="M98" s="193">
        <f t="shared" si="216"/>
        <v>69600</v>
      </c>
      <c r="O98" s="96"/>
      <c r="Q98" s="500">
        <f t="shared" si="217"/>
        <v>69600</v>
      </c>
      <c r="R98" s="500"/>
      <c r="S98" s="500"/>
      <c r="T98" s="1643"/>
      <c r="U98" s="1644"/>
      <c r="V98" s="583"/>
      <c r="W98" s="583"/>
      <c r="X98" s="583"/>
      <c r="Y98" s="583"/>
      <c r="Z98" s="583"/>
      <c r="AA98" s="585"/>
      <c r="AB98" s="585"/>
      <c r="AC98" s="585"/>
      <c r="AD98" s="585"/>
      <c r="AE98" s="585"/>
      <c r="AF98" s="585"/>
      <c r="AG98" s="1193"/>
      <c r="AH98" s="569"/>
      <c r="GW98" s="581"/>
      <c r="HL98" s="567"/>
    </row>
    <row r="99" spans="1:222" ht="12" customHeight="1">
      <c r="C99" s="6" t="s">
        <v>2673</v>
      </c>
      <c r="D99" s="1"/>
      <c r="E99" s="1"/>
      <c r="F99" s="1"/>
      <c r="G99" s="1"/>
      <c r="H99" s="193">
        <f>CX48</f>
        <v>0</v>
      </c>
      <c r="I99" s="193">
        <f>CY48</f>
        <v>0</v>
      </c>
      <c r="J99" s="193">
        <f>CZ48</f>
        <v>0</v>
      </c>
      <c r="K99" s="193">
        <f>DA48</f>
        <v>0</v>
      </c>
      <c r="L99" s="193">
        <f>DB48</f>
        <v>0</v>
      </c>
      <c r="M99" s="193">
        <f t="shared" si="216"/>
        <v>0</v>
      </c>
      <c r="O99" s="96"/>
      <c r="Q99" s="500">
        <f t="shared" si="217"/>
        <v>0</v>
      </c>
      <c r="R99" s="500"/>
      <c r="S99" s="500"/>
      <c r="T99" s="1643"/>
      <c r="U99" s="1644"/>
      <c r="V99" s="583"/>
      <c r="W99" s="583"/>
      <c r="X99" s="583"/>
      <c r="Y99" s="583"/>
      <c r="Z99" s="583"/>
      <c r="AA99" s="585"/>
      <c r="AB99" s="585"/>
      <c r="AC99" s="585"/>
      <c r="AD99" s="585"/>
      <c r="AE99" s="585"/>
      <c r="AF99" s="585"/>
      <c r="AG99" s="1193"/>
      <c r="AH99" s="569"/>
      <c r="GW99" s="581"/>
      <c r="HL99" s="567"/>
    </row>
    <row r="100" spans="1:222" ht="12" customHeight="1">
      <c r="C100" s="6" t="s">
        <v>567</v>
      </c>
      <c r="D100" s="1"/>
      <c r="E100" s="1"/>
      <c r="F100" s="1"/>
      <c r="G100" s="1"/>
      <c r="H100" s="193">
        <f>SUM(H98:H99)</f>
        <v>0</v>
      </c>
      <c r="I100" s="193">
        <f>SUM(I98:I99)</f>
        <v>15600</v>
      </c>
      <c r="J100" s="193">
        <f>SUM(J98:J99)</f>
        <v>54000</v>
      </c>
      <c r="K100" s="193">
        <f>SUM(K98:K99)</f>
        <v>0</v>
      </c>
      <c r="L100" s="193">
        <f>SUM(L98:L99)</f>
        <v>0</v>
      </c>
      <c r="M100" s="193">
        <f t="shared" si="216"/>
        <v>69600</v>
      </c>
      <c r="O100" s="96"/>
      <c r="Q100" s="500">
        <f t="shared" si="217"/>
        <v>69600</v>
      </c>
      <c r="R100" s="500"/>
      <c r="S100" s="500"/>
      <c r="T100" s="1645"/>
      <c r="U100" s="1646"/>
      <c r="V100" s="583"/>
      <c r="W100" s="583"/>
      <c r="X100" s="583"/>
      <c r="Y100" s="583"/>
      <c r="Z100" s="583"/>
      <c r="AA100" s="585"/>
      <c r="AB100" s="585"/>
      <c r="AC100" s="585"/>
      <c r="AD100" s="585"/>
      <c r="AE100" s="585"/>
      <c r="AF100" s="585"/>
      <c r="AG100" s="1193"/>
      <c r="AH100" s="569"/>
      <c r="GW100" s="581"/>
      <c r="HL100" s="567"/>
    </row>
    <row r="101" spans="1:222" ht="4.9000000000000004" customHeight="1">
      <c r="B101" s="16"/>
      <c r="O101" s="92"/>
      <c r="P101" s="92"/>
      <c r="Q101" s="106"/>
      <c r="R101" s="106"/>
      <c r="S101" s="106"/>
      <c r="U101" s="181"/>
      <c r="V101" s="1193"/>
      <c r="W101" s="1193"/>
      <c r="X101" s="1193"/>
      <c r="Y101" s="1193"/>
      <c r="Z101" s="1193"/>
      <c r="AA101" s="1193"/>
      <c r="AB101" s="1193"/>
      <c r="AC101" s="1193"/>
      <c r="AD101" s="1193"/>
      <c r="AE101" s="1193"/>
      <c r="AF101" s="1193"/>
      <c r="AG101" s="1193"/>
      <c r="GW101" s="581"/>
      <c r="HL101" s="567"/>
    </row>
    <row r="102" spans="1:222" ht="13.9" customHeight="1">
      <c r="A102" s="16" t="s">
        <v>786</v>
      </c>
      <c r="B102" s="16" t="s">
        <v>236</v>
      </c>
      <c r="P102" s="9"/>
      <c r="Q102" s="501"/>
      <c r="R102" s="501"/>
      <c r="S102" s="501"/>
      <c r="T102" s="16" t="s">
        <v>1966</v>
      </c>
      <c r="FY102" s="567"/>
      <c r="GP102" s="576"/>
      <c r="GV102" s="567"/>
      <c r="GW102" s="581"/>
      <c r="HL102" s="567"/>
      <c r="HN102" s="581"/>
    </row>
    <row r="103" spans="1:222" ht="9" customHeight="1">
      <c r="P103" s="501"/>
    </row>
    <row r="104" spans="1:222" ht="12.6" customHeight="1">
      <c r="B104" s="16" t="s">
        <v>1072</v>
      </c>
      <c r="D104" s="127"/>
      <c r="H104" s="1765">
        <f>'Part VII-Pro Forma'!B9*L49</f>
        <v>10123.92</v>
      </c>
      <c r="I104" s="1766"/>
      <c r="K104" s="642" t="s">
        <v>2995</v>
      </c>
      <c r="O104" s="602">
        <f>H104/L49</f>
        <v>0.02</v>
      </c>
      <c r="P104" s="459"/>
      <c r="T104" s="5" t="str">
        <f>B104</f>
        <v>Ancillary Income</v>
      </c>
    </row>
    <row r="105" spans="1:222" ht="15" customHeight="1">
      <c r="B105" s="16"/>
      <c r="D105" s="127"/>
      <c r="E105" s="161"/>
      <c r="I105" s="125"/>
      <c r="P105" s="459"/>
    </row>
    <row r="106" spans="1:222" ht="13.9" customHeight="1">
      <c r="B106" s="16" t="s">
        <v>1534</v>
      </c>
      <c r="I106" s="16"/>
      <c r="K106" s="41"/>
      <c r="T106" s="5" t="str">
        <f>B106</f>
        <v>Other Income (OI) by Year:</v>
      </c>
    </row>
    <row r="107" spans="1:222" ht="15" customHeight="1">
      <c r="B107" s="16"/>
      <c r="I107" s="16"/>
      <c r="K107" s="41"/>
    </row>
    <row r="108" spans="1:222" ht="13.9" customHeight="1">
      <c r="B108" s="454" t="s">
        <v>2426</v>
      </c>
      <c r="G108" s="456">
        <v>1</v>
      </c>
      <c r="H108" s="456">
        <v>2</v>
      </c>
      <c r="I108" s="456">
        <v>3</v>
      </c>
      <c r="J108" s="456">
        <v>4</v>
      </c>
      <c r="K108" s="457">
        <v>5</v>
      </c>
      <c r="L108" s="456">
        <v>6</v>
      </c>
      <c r="M108" s="456">
        <v>7</v>
      </c>
      <c r="N108" s="456">
        <v>8</v>
      </c>
      <c r="O108" s="456">
        <v>9</v>
      </c>
      <c r="P108" s="456">
        <v>10</v>
      </c>
      <c r="T108" s="111" t="str">
        <f>B108</f>
        <v>Included in Mgt Fee:</v>
      </c>
    </row>
    <row r="109" spans="1:222" ht="15" customHeight="1">
      <c r="B109" s="9" t="s">
        <v>1073</v>
      </c>
      <c r="G109" s="1215"/>
      <c r="H109" s="1215"/>
      <c r="I109" s="1215"/>
      <c r="J109" s="1215"/>
      <c r="K109" s="1216"/>
      <c r="L109" s="1215"/>
      <c r="M109" s="1215"/>
      <c r="N109" s="1215"/>
      <c r="O109" s="1215"/>
      <c r="P109" s="1215"/>
      <c r="T109" s="1641"/>
      <c r="U109" s="1642"/>
    </row>
    <row r="110" spans="1:222" ht="15" customHeight="1">
      <c r="B110" s="9" t="s">
        <v>785</v>
      </c>
      <c r="C110" s="1784"/>
      <c r="D110" s="1785"/>
      <c r="E110" s="1785"/>
      <c r="F110" s="1786"/>
      <c r="G110" s="1217"/>
      <c r="H110" s="1217"/>
      <c r="I110" s="1217"/>
      <c r="J110" s="1217"/>
      <c r="K110" s="1218"/>
      <c r="L110" s="1217"/>
      <c r="M110" s="1217"/>
      <c r="N110" s="1217"/>
      <c r="O110" s="1217"/>
      <c r="P110" s="1217"/>
      <c r="T110" s="1643"/>
      <c r="U110" s="1644"/>
    </row>
    <row r="111" spans="1:222" ht="15" customHeight="1">
      <c r="C111" s="104" t="s">
        <v>978</v>
      </c>
      <c r="G111" s="39">
        <f t="shared" ref="G111:P111" si="218">SUM(G109:G110)</f>
        <v>0</v>
      </c>
      <c r="H111" s="39">
        <f t="shared" si="218"/>
        <v>0</v>
      </c>
      <c r="I111" s="39">
        <f t="shared" si="218"/>
        <v>0</v>
      </c>
      <c r="J111" s="39">
        <f t="shared" si="218"/>
        <v>0</v>
      </c>
      <c r="K111" s="39">
        <f t="shared" si="218"/>
        <v>0</v>
      </c>
      <c r="L111" s="39">
        <f t="shared" si="218"/>
        <v>0</v>
      </c>
      <c r="M111" s="39">
        <f t="shared" si="218"/>
        <v>0</v>
      </c>
      <c r="N111" s="39">
        <f t="shared" si="218"/>
        <v>0</v>
      </c>
      <c r="O111" s="39">
        <f t="shared" si="218"/>
        <v>0</v>
      </c>
      <c r="P111" s="39">
        <f t="shared" si="218"/>
        <v>0</v>
      </c>
      <c r="T111" s="1645"/>
      <c r="U111" s="1646"/>
    </row>
    <row r="112" spans="1:222" ht="6.6" customHeight="1">
      <c r="C112" s="104"/>
      <c r="G112" s="25"/>
      <c r="H112" s="25"/>
      <c r="I112" s="25"/>
      <c r="J112" s="25"/>
      <c r="K112" s="25"/>
      <c r="L112" s="25"/>
      <c r="M112" s="25"/>
      <c r="N112" s="25"/>
      <c r="O112" s="25"/>
      <c r="P112" s="25"/>
    </row>
    <row r="113" spans="2:21" ht="15.6" customHeight="1">
      <c r="B113" s="455" t="s">
        <v>679</v>
      </c>
      <c r="G113" s="42"/>
      <c r="P113" s="9"/>
      <c r="T113" s="111" t="str">
        <f>B113</f>
        <v>NOT Included in Mgt Fee:</v>
      </c>
    </row>
    <row r="114" spans="2:21" ht="15" customHeight="1">
      <c r="B114" s="9" t="s">
        <v>561</v>
      </c>
      <c r="G114" s="1215"/>
      <c r="H114" s="1215"/>
      <c r="I114" s="1215"/>
      <c r="J114" s="1215"/>
      <c r="K114" s="1216"/>
      <c r="L114" s="1215"/>
      <c r="M114" s="1215"/>
      <c r="N114" s="1215"/>
      <c r="O114" s="1215"/>
      <c r="P114" s="1215"/>
      <c r="T114" s="1643"/>
      <c r="U114" s="1644"/>
    </row>
    <row r="115" spans="2:21" ht="15" customHeight="1">
      <c r="B115" s="9" t="s">
        <v>785</v>
      </c>
      <c r="C115" s="1784"/>
      <c r="D115" s="1785"/>
      <c r="E115" s="1785"/>
      <c r="F115" s="1786"/>
      <c r="G115" s="1217"/>
      <c r="H115" s="1217"/>
      <c r="I115" s="1217"/>
      <c r="J115" s="1217"/>
      <c r="K115" s="1218"/>
      <c r="L115" s="1217"/>
      <c r="M115" s="1217"/>
      <c r="N115" s="1217"/>
      <c r="O115" s="1217"/>
      <c r="P115" s="1217"/>
      <c r="T115" s="1643"/>
      <c r="U115" s="1644"/>
    </row>
    <row r="116" spans="2:21" ht="15" customHeight="1">
      <c r="C116" s="104" t="s">
        <v>200</v>
      </c>
      <c r="G116" s="39">
        <f t="shared" ref="G116:P116" si="219">SUM(G114:G115)</f>
        <v>0</v>
      </c>
      <c r="H116" s="39">
        <f t="shared" si="219"/>
        <v>0</v>
      </c>
      <c r="I116" s="39">
        <f t="shared" si="219"/>
        <v>0</v>
      </c>
      <c r="J116" s="39">
        <f t="shared" si="219"/>
        <v>0</v>
      </c>
      <c r="K116" s="39">
        <f t="shared" si="219"/>
        <v>0</v>
      </c>
      <c r="L116" s="39">
        <f t="shared" si="219"/>
        <v>0</v>
      </c>
      <c r="M116" s="39">
        <f t="shared" si="219"/>
        <v>0</v>
      </c>
      <c r="N116" s="39">
        <f t="shared" si="219"/>
        <v>0</v>
      </c>
      <c r="O116" s="39">
        <f t="shared" si="219"/>
        <v>0</v>
      </c>
      <c r="P116" s="39">
        <f t="shared" si="219"/>
        <v>0</v>
      </c>
      <c r="T116" s="1645"/>
      <c r="U116" s="1646"/>
    </row>
    <row r="117" spans="2:21" ht="42.6" customHeight="1">
      <c r="B117" s="16"/>
      <c r="G117" s="42"/>
      <c r="P117" s="9"/>
      <c r="T117" s="205" t="s">
        <v>2796</v>
      </c>
    </row>
    <row r="118" spans="2:21" ht="13.9" customHeight="1">
      <c r="B118" s="454" t="s">
        <v>2426</v>
      </c>
      <c r="G118" s="456">
        <v>11</v>
      </c>
      <c r="H118" s="456">
        <v>12</v>
      </c>
      <c r="I118" s="456">
        <v>13</v>
      </c>
      <c r="J118" s="456">
        <v>14</v>
      </c>
      <c r="K118" s="456">
        <v>15</v>
      </c>
      <c r="L118" s="456">
        <v>16</v>
      </c>
      <c r="M118" s="456">
        <v>17</v>
      </c>
      <c r="N118" s="456">
        <v>18</v>
      </c>
      <c r="O118" s="456">
        <v>19</v>
      </c>
      <c r="P118" s="456">
        <v>20</v>
      </c>
      <c r="T118" s="111" t="str">
        <f>B118</f>
        <v>Included in Mgt Fee:</v>
      </c>
    </row>
    <row r="119" spans="2:21" ht="15" customHeight="1">
      <c r="B119" s="9" t="s">
        <v>1073</v>
      </c>
      <c r="G119" s="1215"/>
      <c r="H119" s="1215"/>
      <c r="I119" s="1215"/>
      <c r="J119" s="1215"/>
      <c r="K119" s="1216"/>
      <c r="L119" s="1215"/>
      <c r="M119" s="1215"/>
      <c r="N119" s="1215"/>
      <c r="O119" s="1215"/>
      <c r="P119" s="1215"/>
      <c r="T119" s="1641"/>
      <c r="U119" s="1642"/>
    </row>
    <row r="120" spans="2:21" ht="15" customHeight="1">
      <c r="B120" s="9" t="s">
        <v>785</v>
      </c>
      <c r="C120" s="1784"/>
      <c r="D120" s="1785"/>
      <c r="E120" s="1785"/>
      <c r="F120" s="1786"/>
      <c r="G120" s="1217"/>
      <c r="H120" s="1217"/>
      <c r="I120" s="1217"/>
      <c r="J120" s="1217"/>
      <c r="K120" s="1218"/>
      <c r="L120" s="1217"/>
      <c r="M120" s="1217"/>
      <c r="N120" s="1217"/>
      <c r="O120" s="1217"/>
      <c r="P120" s="1217"/>
      <c r="T120" s="1643"/>
      <c r="U120" s="1644"/>
    </row>
    <row r="121" spans="2:21" ht="15" customHeight="1">
      <c r="C121" s="104" t="s">
        <v>978</v>
      </c>
      <c r="G121" s="39">
        <f t="shared" ref="G121:P121" si="220">SUM(G119:G120)</f>
        <v>0</v>
      </c>
      <c r="H121" s="39">
        <f t="shared" si="220"/>
        <v>0</v>
      </c>
      <c r="I121" s="39">
        <f t="shared" si="220"/>
        <v>0</v>
      </c>
      <c r="J121" s="39">
        <f t="shared" si="220"/>
        <v>0</v>
      </c>
      <c r="K121" s="39">
        <f t="shared" si="220"/>
        <v>0</v>
      </c>
      <c r="L121" s="39">
        <f t="shared" si="220"/>
        <v>0</v>
      </c>
      <c r="M121" s="39">
        <f t="shared" si="220"/>
        <v>0</v>
      </c>
      <c r="N121" s="39">
        <f t="shared" si="220"/>
        <v>0</v>
      </c>
      <c r="O121" s="39">
        <f t="shared" si="220"/>
        <v>0</v>
      </c>
      <c r="P121" s="39">
        <f t="shared" si="220"/>
        <v>0</v>
      </c>
      <c r="T121" s="1645"/>
      <c r="U121" s="1646"/>
    </row>
    <row r="122" spans="2:21" ht="6.6" customHeight="1">
      <c r="C122" s="104"/>
      <c r="G122" s="25"/>
      <c r="H122" s="25"/>
      <c r="I122" s="25"/>
      <c r="J122" s="25"/>
      <c r="K122" s="25"/>
      <c r="L122" s="25"/>
      <c r="M122" s="25"/>
      <c r="N122" s="25"/>
      <c r="O122" s="25"/>
      <c r="P122" s="25"/>
    </row>
    <row r="123" spans="2:21" ht="15.6" customHeight="1">
      <c r="B123" s="455" t="s">
        <v>679</v>
      </c>
      <c r="G123" s="42"/>
      <c r="P123" s="9"/>
      <c r="T123" s="111" t="str">
        <f>B123</f>
        <v>NOT Included in Mgt Fee:</v>
      </c>
    </row>
    <row r="124" spans="2:21" ht="15" customHeight="1">
      <c r="B124" s="9" t="s">
        <v>561</v>
      </c>
      <c r="G124" s="1215"/>
      <c r="H124" s="1215"/>
      <c r="I124" s="1215"/>
      <c r="J124" s="1215"/>
      <c r="K124" s="1216"/>
      <c r="L124" s="1215"/>
      <c r="M124" s="1215"/>
      <c r="N124" s="1215"/>
      <c r="O124" s="1215"/>
      <c r="P124" s="1215"/>
      <c r="T124" s="1643"/>
      <c r="U124" s="1644"/>
    </row>
    <row r="125" spans="2:21" ht="15" customHeight="1">
      <c r="B125" s="9" t="s">
        <v>785</v>
      </c>
      <c r="C125" s="1784"/>
      <c r="D125" s="1785"/>
      <c r="E125" s="1785"/>
      <c r="F125" s="1786"/>
      <c r="G125" s="1217"/>
      <c r="H125" s="1217"/>
      <c r="I125" s="1217"/>
      <c r="J125" s="1217"/>
      <c r="K125" s="1218"/>
      <c r="L125" s="1217"/>
      <c r="M125" s="1217"/>
      <c r="N125" s="1217"/>
      <c r="O125" s="1217"/>
      <c r="P125" s="1217"/>
      <c r="T125" s="1643"/>
      <c r="U125" s="1644"/>
    </row>
    <row r="126" spans="2:21" ht="15" customHeight="1">
      <c r="C126" s="104" t="s">
        <v>200</v>
      </c>
      <c r="G126" s="39">
        <f t="shared" ref="G126:P126" si="221">SUM(G124:G125)</f>
        <v>0</v>
      </c>
      <c r="H126" s="39">
        <f t="shared" si="221"/>
        <v>0</v>
      </c>
      <c r="I126" s="39">
        <f t="shared" si="221"/>
        <v>0</v>
      </c>
      <c r="J126" s="39">
        <f t="shared" si="221"/>
        <v>0</v>
      </c>
      <c r="K126" s="39">
        <f t="shared" si="221"/>
        <v>0</v>
      </c>
      <c r="L126" s="39">
        <f t="shared" si="221"/>
        <v>0</v>
      </c>
      <c r="M126" s="39">
        <f t="shared" si="221"/>
        <v>0</v>
      </c>
      <c r="N126" s="39">
        <f t="shared" si="221"/>
        <v>0</v>
      </c>
      <c r="O126" s="39">
        <f t="shared" si="221"/>
        <v>0</v>
      </c>
      <c r="P126" s="39">
        <f t="shared" si="221"/>
        <v>0</v>
      </c>
      <c r="T126" s="1645"/>
      <c r="U126" s="1646"/>
    </row>
    <row r="127" spans="2:21" ht="42.6" customHeight="1">
      <c r="B127" s="16"/>
      <c r="G127" s="42"/>
      <c r="P127" s="9"/>
      <c r="T127" s="205" t="s">
        <v>2797</v>
      </c>
    </row>
    <row r="128" spans="2:21" ht="13.9" customHeight="1">
      <c r="B128" s="454" t="s">
        <v>2426</v>
      </c>
      <c r="G128" s="456">
        <v>21</v>
      </c>
      <c r="H128" s="456">
        <v>22</v>
      </c>
      <c r="I128" s="456">
        <v>23</v>
      </c>
      <c r="J128" s="456">
        <v>24</v>
      </c>
      <c r="K128" s="456">
        <v>25</v>
      </c>
      <c r="L128" s="456">
        <v>26</v>
      </c>
      <c r="M128" s="456">
        <v>27</v>
      </c>
      <c r="N128" s="456">
        <v>28</v>
      </c>
      <c r="O128" s="456">
        <v>29</v>
      </c>
      <c r="P128" s="456">
        <v>30</v>
      </c>
      <c r="T128" s="111" t="str">
        <f>B128</f>
        <v>Included in Mgt Fee:</v>
      </c>
    </row>
    <row r="129" spans="1:255" ht="15" customHeight="1">
      <c r="B129" s="9" t="s">
        <v>1073</v>
      </c>
      <c r="G129" s="1215"/>
      <c r="H129" s="1215"/>
      <c r="I129" s="1215"/>
      <c r="J129" s="1215"/>
      <c r="K129" s="1216"/>
      <c r="L129" s="1215"/>
      <c r="M129" s="1215"/>
      <c r="N129" s="1215"/>
      <c r="O129" s="1215"/>
      <c r="P129" s="1215"/>
      <c r="T129" s="1641"/>
      <c r="U129" s="1642"/>
    </row>
    <row r="130" spans="1:255" ht="15" customHeight="1">
      <c r="B130" s="9" t="s">
        <v>785</v>
      </c>
      <c r="C130" s="1784"/>
      <c r="D130" s="1785"/>
      <c r="E130" s="1785"/>
      <c r="F130" s="1786"/>
      <c r="G130" s="1217"/>
      <c r="H130" s="1217"/>
      <c r="I130" s="1217"/>
      <c r="J130" s="1217"/>
      <c r="K130" s="1218"/>
      <c r="L130" s="1217"/>
      <c r="M130" s="1217"/>
      <c r="N130" s="1217"/>
      <c r="O130" s="1217"/>
      <c r="P130" s="1217"/>
      <c r="T130" s="1643"/>
      <c r="U130" s="1644"/>
    </row>
    <row r="131" spans="1:255" ht="15" customHeight="1">
      <c r="C131" s="104" t="s">
        <v>978</v>
      </c>
      <c r="G131" s="39">
        <f t="shared" ref="G131:P131" si="222">SUM(G129:G130)</f>
        <v>0</v>
      </c>
      <c r="H131" s="39">
        <f t="shared" si="222"/>
        <v>0</v>
      </c>
      <c r="I131" s="39">
        <f t="shared" si="222"/>
        <v>0</v>
      </c>
      <c r="J131" s="39">
        <f t="shared" si="222"/>
        <v>0</v>
      </c>
      <c r="K131" s="39">
        <f t="shared" si="222"/>
        <v>0</v>
      </c>
      <c r="L131" s="39">
        <f t="shared" si="222"/>
        <v>0</v>
      </c>
      <c r="M131" s="39">
        <f t="shared" si="222"/>
        <v>0</v>
      </c>
      <c r="N131" s="39">
        <f t="shared" si="222"/>
        <v>0</v>
      </c>
      <c r="O131" s="39">
        <f t="shared" si="222"/>
        <v>0</v>
      </c>
      <c r="P131" s="39">
        <f t="shared" si="222"/>
        <v>0</v>
      </c>
      <c r="T131" s="1645"/>
      <c r="U131" s="1646"/>
    </row>
    <row r="132" spans="1:255" ht="6.6" customHeight="1">
      <c r="C132" s="104"/>
      <c r="G132" s="25"/>
      <c r="H132" s="25"/>
      <c r="I132" s="25"/>
      <c r="J132" s="25"/>
      <c r="K132" s="25"/>
      <c r="L132" s="25"/>
      <c r="M132" s="25"/>
      <c r="N132" s="25"/>
      <c r="O132" s="25"/>
      <c r="P132" s="25"/>
    </row>
    <row r="133" spans="1:255" ht="15" customHeight="1">
      <c r="B133" s="455" t="s">
        <v>679</v>
      </c>
      <c r="G133" s="42"/>
      <c r="P133" s="9"/>
      <c r="T133" s="111" t="str">
        <f>B133</f>
        <v>NOT Included in Mgt Fee:</v>
      </c>
    </row>
    <row r="134" spans="1:255" ht="15" customHeight="1">
      <c r="B134" s="9" t="s">
        <v>561</v>
      </c>
      <c r="G134" s="1215"/>
      <c r="H134" s="1215"/>
      <c r="I134" s="1215"/>
      <c r="J134" s="1215"/>
      <c r="K134" s="1216"/>
      <c r="L134" s="1215"/>
      <c r="M134" s="1215"/>
      <c r="N134" s="1215"/>
      <c r="O134" s="1215"/>
      <c r="P134" s="1215"/>
      <c r="T134" s="1643"/>
      <c r="U134" s="1644"/>
    </row>
    <row r="135" spans="1:255" ht="15" customHeight="1">
      <c r="B135" s="9" t="s">
        <v>785</v>
      </c>
      <c r="C135" s="1784"/>
      <c r="D135" s="1785"/>
      <c r="E135" s="1785"/>
      <c r="F135" s="1786"/>
      <c r="G135" s="1217"/>
      <c r="H135" s="1217"/>
      <c r="I135" s="1217"/>
      <c r="J135" s="1217"/>
      <c r="K135" s="1218"/>
      <c r="L135" s="1217"/>
      <c r="M135" s="1217"/>
      <c r="N135" s="1217"/>
      <c r="O135" s="1217"/>
      <c r="P135" s="1217"/>
      <c r="T135" s="1643"/>
      <c r="U135" s="1644"/>
    </row>
    <row r="136" spans="1:255" ht="15" customHeight="1">
      <c r="C136" s="104" t="s">
        <v>200</v>
      </c>
      <c r="G136" s="39">
        <f t="shared" ref="G136:P136" si="223">SUM(G134:G135)</f>
        <v>0</v>
      </c>
      <c r="H136" s="39">
        <f t="shared" si="223"/>
        <v>0</v>
      </c>
      <c r="I136" s="39">
        <f t="shared" si="223"/>
        <v>0</v>
      </c>
      <c r="J136" s="39">
        <f t="shared" si="223"/>
        <v>0</v>
      </c>
      <c r="K136" s="39">
        <f t="shared" si="223"/>
        <v>0</v>
      </c>
      <c r="L136" s="39">
        <f t="shared" si="223"/>
        <v>0</v>
      </c>
      <c r="M136" s="39">
        <f t="shared" si="223"/>
        <v>0</v>
      </c>
      <c r="N136" s="39">
        <f t="shared" si="223"/>
        <v>0</v>
      </c>
      <c r="O136" s="39">
        <f t="shared" si="223"/>
        <v>0</v>
      </c>
      <c r="P136" s="39">
        <f t="shared" si="223"/>
        <v>0</v>
      </c>
      <c r="T136" s="1645"/>
      <c r="U136" s="1646"/>
    </row>
    <row r="137" spans="1:255" ht="9.6" customHeight="1">
      <c r="B137" s="16"/>
      <c r="F137" s="42"/>
      <c r="G137" s="42"/>
      <c r="J137" s="19"/>
      <c r="P137" s="9"/>
    </row>
    <row r="138" spans="1:255" s="105" customFormat="1" ht="11.25" customHeight="1">
      <c r="A138" s="5" t="s">
        <v>1907</v>
      </c>
      <c r="B138" s="3" t="s">
        <v>1075</v>
      </c>
      <c r="C138" s="3"/>
      <c r="D138" s="3"/>
      <c r="E138" s="3"/>
      <c r="F138" s="3"/>
      <c r="G138" s="3"/>
      <c r="H138" s="3"/>
      <c r="I138" s="3"/>
      <c r="J138" s="3"/>
      <c r="K138" s="3"/>
      <c r="L138" s="1"/>
      <c r="M138" s="17"/>
      <c r="N138" s="7"/>
      <c r="O138" s="7"/>
      <c r="P138" s="1"/>
      <c r="T138" s="5" t="str">
        <f>B138</f>
        <v>ANNUAL OPERATING EXPENSE BUDGET</v>
      </c>
      <c r="U138" s="96"/>
      <c r="V138" s="567"/>
      <c r="W138" s="567"/>
      <c r="X138" s="567"/>
      <c r="Y138" s="569"/>
      <c r="Z138" s="569"/>
      <c r="AA138" s="569"/>
      <c r="AB138" s="569"/>
      <c r="AC138" s="569"/>
      <c r="AD138" s="569"/>
      <c r="AE138" s="569"/>
      <c r="AF138" s="569"/>
      <c r="AG138" s="569"/>
      <c r="AH138" s="569"/>
      <c r="AI138" s="569"/>
      <c r="AJ138" s="569"/>
      <c r="AK138" s="569"/>
      <c r="AL138" s="569"/>
      <c r="AM138" s="569"/>
      <c r="AN138" s="569"/>
      <c r="AO138" s="569"/>
      <c r="AP138" s="569"/>
      <c r="AQ138" s="569"/>
      <c r="AR138" s="569"/>
      <c r="AS138" s="569"/>
      <c r="AT138" s="569"/>
      <c r="AU138" s="569"/>
      <c r="AV138" s="569"/>
      <c r="AW138" s="569"/>
      <c r="AX138" s="569"/>
      <c r="AY138" s="569"/>
      <c r="AZ138" s="569"/>
      <c r="BA138" s="569"/>
      <c r="BB138" s="569"/>
      <c r="BC138" s="569"/>
      <c r="BD138" s="569"/>
      <c r="BE138" s="569"/>
      <c r="BF138" s="569"/>
      <c r="BG138" s="569"/>
      <c r="BH138" s="569"/>
      <c r="BI138" s="569"/>
      <c r="BJ138" s="569"/>
      <c r="BK138" s="569"/>
      <c r="BL138" s="569"/>
      <c r="BM138" s="569"/>
      <c r="BN138" s="569"/>
      <c r="BO138" s="569"/>
      <c r="BP138" s="569"/>
      <c r="BQ138" s="569"/>
      <c r="BR138" s="569"/>
      <c r="BS138" s="569"/>
      <c r="BT138" s="569"/>
      <c r="BU138" s="569"/>
      <c r="BV138" s="569"/>
      <c r="BW138" s="569"/>
      <c r="BX138" s="569"/>
      <c r="BY138" s="569"/>
      <c r="BZ138" s="569"/>
      <c r="CA138" s="569"/>
      <c r="CB138" s="569"/>
      <c r="CC138" s="569"/>
      <c r="CD138" s="569"/>
      <c r="CE138" s="569"/>
      <c r="CF138" s="569"/>
      <c r="CG138" s="569"/>
      <c r="CH138" s="569"/>
      <c r="CI138" s="569"/>
      <c r="CJ138" s="569"/>
      <c r="CK138" s="569"/>
      <c r="CL138" s="569"/>
      <c r="CM138" s="569"/>
      <c r="CN138" s="569"/>
      <c r="CO138" s="569"/>
      <c r="CP138" s="569"/>
      <c r="CQ138" s="569"/>
      <c r="CR138" s="569"/>
      <c r="CS138" s="569"/>
      <c r="CT138" s="569"/>
      <c r="CU138" s="569"/>
      <c r="CV138" s="569"/>
      <c r="CW138" s="569"/>
      <c r="CX138" s="569"/>
      <c r="CY138" s="569"/>
      <c r="CZ138" s="569"/>
      <c r="DA138" s="569"/>
      <c r="DB138" s="569"/>
      <c r="DC138" s="569"/>
      <c r="DD138" s="569"/>
      <c r="DE138" s="569"/>
      <c r="DF138" s="569"/>
      <c r="DG138" s="569"/>
      <c r="DH138" s="569"/>
      <c r="DI138" s="569"/>
      <c r="DJ138" s="569"/>
      <c r="DK138" s="569"/>
      <c r="DL138" s="569"/>
      <c r="DM138" s="569"/>
      <c r="DN138" s="569"/>
      <c r="DO138" s="569"/>
      <c r="DP138" s="569"/>
      <c r="DQ138" s="569"/>
      <c r="DR138" s="569"/>
      <c r="DS138" s="569"/>
      <c r="DT138" s="569"/>
      <c r="DU138" s="569"/>
      <c r="DV138" s="569"/>
      <c r="DW138" s="569"/>
      <c r="DX138" s="569"/>
      <c r="DY138" s="569"/>
      <c r="DZ138" s="569"/>
      <c r="EA138" s="569"/>
      <c r="EB138" s="569"/>
      <c r="EC138" s="569"/>
      <c r="ED138" s="569"/>
      <c r="EE138" s="569"/>
      <c r="EF138" s="569"/>
      <c r="EG138" s="569"/>
      <c r="EH138" s="569"/>
      <c r="EI138" s="569"/>
      <c r="EJ138" s="569"/>
      <c r="EK138" s="569"/>
      <c r="EL138" s="569"/>
      <c r="EM138" s="569"/>
      <c r="EN138" s="569"/>
      <c r="EO138" s="569"/>
      <c r="EP138" s="569"/>
      <c r="EQ138" s="569"/>
      <c r="ER138" s="569"/>
      <c r="ES138" s="569"/>
      <c r="ET138" s="569"/>
      <c r="EU138" s="569"/>
      <c r="EV138" s="569"/>
      <c r="EW138" s="569"/>
      <c r="EX138" s="569"/>
      <c r="EY138" s="569"/>
      <c r="EZ138" s="569"/>
      <c r="FA138" s="569"/>
      <c r="FB138" s="569"/>
      <c r="FC138" s="569"/>
      <c r="FD138" s="569"/>
      <c r="FE138" s="569"/>
      <c r="FF138" s="569"/>
      <c r="FG138" s="569"/>
      <c r="FH138" s="569"/>
      <c r="FI138" s="569"/>
      <c r="FJ138" s="569"/>
      <c r="FK138" s="569"/>
      <c r="FL138" s="569"/>
      <c r="FM138" s="569"/>
      <c r="FN138" s="569"/>
      <c r="FO138" s="569"/>
      <c r="FP138" s="569"/>
      <c r="FQ138" s="569"/>
      <c r="FR138" s="569"/>
      <c r="FS138" s="569"/>
      <c r="FT138" s="569"/>
      <c r="FU138" s="569"/>
      <c r="FV138" s="569"/>
      <c r="FW138" s="569"/>
      <c r="FX138" s="569"/>
      <c r="FY138" s="570"/>
      <c r="FZ138" s="570"/>
      <c r="GA138" s="570"/>
      <c r="GB138" s="570"/>
      <c r="GC138" s="570"/>
      <c r="GD138" s="570"/>
      <c r="GE138" s="570"/>
      <c r="GF138" s="570"/>
      <c r="GG138" s="570"/>
      <c r="GH138" s="570"/>
      <c r="GI138" s="570"/>
      <c r="GJ138" s="570"/>
      <c r="GK138" s="570"/>
      <c r="GL138" s="570"/>
      <c r="GM138" s="570"/>
      <c r="GN138" s="570"/>
      <c r="GO138" s="570"/>
      <c r="GP138" s="569"/>
      <c r="GQ138" s="569"/>
      <c r="GR138" s="569"/>
      <c r="GS138" s="569"/>
      <c r="GT138" s="569"/>
      <c r="GU138" s="569"/>
      <c r="GV138" s="571"/>
      <c r="GW138" s="569"/>
      <c r="GX138" s="569"/>
      <c r="GY138" s="569"/>
      <c r="GZ138" s="569"/>
      <c r="HA138" s="569"/>
      <c r="HB138" s="569"/>
      <c r="HC138" s="569"/>
      <c r="HD138" s="569"/>
      <c r="HE138" s="569"/>
      <c r="HF138" s="569"/>
      <c r="HG138" s="569"/>
      <c r="HH138" s="569"/>
      <c r="HI138" s="569"/>
      <c r="HJ138" s="569"/>
      <c r="HK138" s="569"/>
      <c r="HL138" s="571"/>
      <c r="HM138" s="571"/>
      <c r="HN138" s="569"/>
      <c r="HO138" s="569"/>
      <c r="HP138" s="111"/>
      <c r="HQ138" s="111"/>
      <c r="HR138" s="111"/>
      <c r="HS138" s="111"/>
      <c r="HT138" s="111"/>
      <c r="HU138" s="111"/>
      <c r="HV138" s="111"/>
      <c r="HW138" s="111"/>
      <c r="HX138" s="111"/>
      <c r="HY138" s="111"/>
      <c r="HZ138" s="111"/>
      <c r="IA138" s="111"/>
      <c r="IB138" s="111"/>
      <c r="IC138" s="111"/>
      <c r="ID138" s="111"/>
      <c r="IE138" s="111"/>
      <c r="IF138" s="111"/>
      <c r="IG138" s="111"/>
      <c r="IH138" s="111"/>
      <c r="II138" s="111"/>
      <c r="IJ138" s="111"/>
      <c r="IK138" s="111"/>
      <c r="IL138" s="111"/>
      <c r="IM138" s="111"/>
      <c r="IN138" s="111"/>
      <c r="IO138" s="111"/>
      <c r="IP138" s="111"/>
      <c r="IQ138" s="111"/>
      <c r="IR138" s="111"/>
      <c r="IS138" s="111"/>
      <c r="IT138" s="111"/>
      <c r="IU138" s="111"/>
    </row>
    <row r="139" spans="1:255" s="105" customFormat="1" ht="9" customHeight="1">
      <c r="A139" s="1"/>
      <c r="B139" s="3"/>
      <c r="C139" s="3"/>
      <c r="D139" s="3"/>
      <c r="E139" s="3"/>
      <c r="F139" s="3"/>
      <c r="G139" s="3"/>
      <c r="H139" s="3"/>
      <c r="I139" s="3"/>
      <c r="J139" s="3"/>
      <c r="K139" s="1"/>
      <c r="L139" s="1"/>
      <c r="M139" s="1"/>
      <c r="N139" s="1"/>
      <c r="O139" s="1"/>
      <c r="P139" s="1"/>
      <c r="T139" s="1768" t="s">
        <v>1966</v>
      </c>
      <c r="U139" s="1768"/>
      <c r="V139" s="569"/>
      <c r="W139" s="569"/>
      <c r="X139" s="569"/>
      <c r="Y139" s="569"/>
      <c r="Z139" s="569"/>
      <c r="AA139" s="569"/>
      <c r="AB139" s="569"/>
      <c r="AC139" s="569"/>
      <c r="AD139" s="569"/>
      <c r="AE139" s="569"/>
      <c r="AF139" s="569"/>
      <c r="AG139" s="569"/>
      <c r="AH139" s="569"/>
      <c r="AI139" s="569"/>
      <c r="AJ139" s="569"/>
      <c r="AK139" s="569"/>
      <c r="AL139" s="569"/>
      <c r="AM139" s="569"/>
      <c r="AN139" s="569"/>
      <c r="AO139" s="569"/>
      <c r="AP139" s="569"/>
      <c r="AQ139" s="569"/>
      <c r="AR139" s="569"/>
      <c r="AS139" s="569"/>
      <c r="AT139" s="569"/>
      <c r="AU139" s="569"/>
      <c r="AV139" s="569"/>
      <c r="AW139" s="569"/>
      <c r="AX139" s="569"/>
      <c r="AY139" s="569"/>
      <c r="AZ139" s="569"/>
      <c r="BA139" s="569"/>
      <c r="BB139" s="569"/>
      <c r="BC139" s="569"/>
      <c r="BD139" s="569"/>
      <c r="BE139" s="569"/>
      <c r="BF139" s="569"/>
      <c r="BG139" s="569"/>
      <c r="BH139" s="569"/>
      <c r="BI139" s="569"/>
      <c r="BJ139" s="569"/>
      <c r="BK139" s="569"/>
      <c r="BL139" s="569"/>
      <c r="BM139" s="569"/>
      <c r="BN139" s="569"/>
      <c r="BO139" s="569"/>
      <c r="BP139" s="569"/>
      <c r="BQ139" s="569"/>
      <c r="BR139" s="569"/>
      <c r="BS139" s="569"/>
      <c r="BT139" s="569"/>
      <c r="BU139" s="569"/>
      <c r="BV139" s="569"/>
      <c r="BW139" s="569"/>
      <c r="BX139" s="569"/>
      <c r="BY139" s="569"/>
      <c r="BZ139" s="569"/>
      <c r="CA139" s="569"/>
      <c r="CB139" s="569"/>
      <c r="CC139" s="569"/>
      <c r="CD139" s="569"/>
      <c r="CE139" s="569"/>
      <c r="CF139" s="569"/>
      <c r="CG139" s="569"/>
      <c r="CH139" s="569"/>
      <c r="CI139" s="569"/>
      <c r="CJ139" s="569"/>
      <c r="CK139" s="569"/>
      <c r="CL139" s="569"/>
      <c r="CM139" s="569"/>
      <c r="CN139" s="569"/>
      <c r="CO139" s="569"/>
      <c r="CP139" s="569"/>
      <c r="CQ139" s="569"/>
      <c r="CR139" s="569"/>
      <c r="CS139" s="569"/>
      <c r="CT139" s="569"/>
      <c r="CU139" s="569"/>
      <c r="CV139" s="569"/>
      <c r="CW139" s="569"/>
      <c r="CX139" s="569"/>
      <c r="CY139" s="569"/>
      <c r="CZ139" s="569"/>
      <c r="DA139" s="569"/>
      <c r="DB139" s="569"/>
      <c r="DC139" s="569"/>
      <c r="DD139" s="569"/>
      <c r="DE139" s="569"/>
      <c r="DF139" s="569"/>
      <c r="DG139" s="569"/>
      <c r="DH139" s="569"/>
      <c r="DI139" s="569"/>
      <c r="DJ139" s="569"/>
      <c r="DK139" s="569"/>
      <c r="DL139" s="569"/>
      <c r="DM139" s="569"/>
      <c r="DN139" s="569"/>
      <c r="DO139" s="569"/>
      <c r="DP139" s="569"/>
      <c r="DQ139" s="569"/>
      <c r="DR139" s="569"/>
      <c r="DS139" s="569"/>
      <c r="DT139" s="569"/>
      <c r="DU139" s="569"/>
      <c r="DV139" s="569"/>
      <c r="DW139" s="569"/>
      <c r="DX139" s="569"/>
      <c r="DY139" s="569"/>
      <c r="DZ139" s="569"/>
      <c r="EA139" s="569"/>
      <c r="EB139" s="569"/>
      <c r="EC139" s="569"/>
      <c r="ED139" s="569"/>
      <c r="EE139" s="569"/>
      <c r="EF139" s="569"/>
      <c r="EG139" s="569"/>
      <c r="EH139" s="569"/>
      <c r="EI139" s="569"/>
      <c r="EJ139" s="569"/>
      <c r="EK139" s="569"/>
      <c r="EL139" s="569"/>
      <c r="EM139" s="569"/>
      <c r="EN139" s="569"/>
      <c r="EO139" s="569"/>
      <c r="EP139" s="569"/>
      <c r="EQ139" s="569"/>
      <c r="ER139" s="569"/>
      <c r="ES139" s="569"/>
      <c r="ET139" s="569"/>
      <c r="EU139" s="569"/>
      <c r="EV139" s="569"/>
      <c r="EW139" s="569"/>
      <c r="EX139" s="569"/>
      <c r="EY139" s="569"/>
      <c r="EZ139" s="569"/>
      <c r="FA139" s="569"/>
      <c r="FB139" s="569"/>
      <c r="FC139" s="569"/>
      <c r="FD139" s="569"/>
      <c r="FE139" s="569"/>
      <c r="FF139" s="569"/>
      <c r="FG139" s="569"/>
      <c r="FH139" s="569"/>
      <c r="FI139" s="569"/>
      <c r="FJ139" s="569"/>
      <c r="FK139" s="569"/>
      <c r="FL139" s="569"/>
      <c r="FM139" s="569"/>
      <c r="FN139" s="569"/>
      <c r="FO139" s="569"/>
      <c r="FP139" s="569"/>
      <c r="FQ139" s="569"/>
      <c r="FR139" s="569"/>
      <c r="FS139" s="569"/>
      <c r="FT139" s="569"/>
      <c r="FU139" s="569"/>
      <c r="FV139" s="569"/>
      <c r="FW139" s="569"/>
      <c r="FX139" s="569"/>
      <c r="FY139" s="570"/>
      <c r="FZ139" s="570"/>
      <c r="GA139" s="570"/>
      <c r="GB139" s="570"/>
      <c r="GC139" s="570"/>
      <c r="GD139" s="570"/>
      <c r="GE139" s="570"/>
      <c r="GF139" s="570"/>
      <c r="GG139" s="570"/>
      <c r="GH139" s="570"/>
      <c r="GI139" s="570"/>
      <c r="GJ139" s="570"/>
      <c r="GK139" s="570"/>
      <c r="GL139" s="570"/>
      <c r="GM139" s="570"/>
      <c r="GN139" s="570"/>
      <c r="GO139" s="570"/>
      <c r="GP139" s="569"/>
      <c r="GQ139" s="569"/>
      <c r="GR139" s="569"/>
      <c r="GS139" s="569"/>
      <c r="GT139" s="569"/>
      <c r="GU139" s="569"/>
      <c r="GV139" s="571"/>
      <c r="GW139" s="569"/>
      <c r="GX139" s="569"/>
      <c r="GY139" s="569"/>
      <c r="GZ139" s="569"/>
      <c r="HA139" s="569"/>
      <c r="HB139" s="569"/>
      <c r="HC139" s="569"/>
      <c r="HD139" s="569"/>
      <c r="HE139" s="569"/>
      <c r="HF139" s="569"/>
      <c r="HG139" s="569"/>
      <c r="HH139" s="569"/>
      <c r="HI139" s="569"/>
      <c r="HJ139" s="569"/>
      <c r="HK139" s="569"/>
      <c r="HL139" s="571"/>
      <c r="HM139" s="571"/>
      <c r="HN139" s="569"/>
      <c r="HO139" s="569"/>
      <c r="HP139" s="111"/>
      <c r="HQ139" s="111"/>
      <c r="HR139" s="111"/>
      <c r="HS139" s="111"/>
      <c r="HT139" s="111"/>
      <c r="HU139" s="111"/>
      <c r="HV139" s="111"/>
      <c r="HW139" s="111"/>
      <c r="HX139" s="111"/>
      <c r="HY139" s="111"/>
      <c r="HZ139" s="111"/>
      <c r="IA139" s="111"/>
      <c r="IB139" s="111"/>
      <c r="IC139" s="111"/>
      <c r="ID139" s="111"/>
      <c r="IE139" s="111"/>
      <c r="IF139" s="111"/>
      <c r="IG139" s="111"/>
      <c r="IH139" s="111"/>
      <c r="II139" s="111"/>
      <c r="IJ139" s="111"/>
      <c r="IK139" s="111"/>
      <c r="IL139" s="111"/>
      <c r="IM139" s="111"/>
      <c r="IN139" s="111"/>
      <c r="IO139" s="111"/>
      <c r="IP139" s="111"/>
      <c r="IQ139" s="111"/>
      <c r="IR139" s="111"/>
      <c r="IS139" s="111"/>
      <c r="IT139" s="111"/>
      <c r="IU139" s="111"/>
    </row>
    <row r="140" spans="1:255" s="105" customFormat="1" ht="13.15" customHeight="1">
      <c r="A140" s="1"/>
      <c r="B140" s="11" t="s">
        <v>1370</v>
      </c>
      <c r="C140" s="1"/>
      <c r="D140" s="1"/>
      <c r="E140" s="1"/>
      <c r="F140" s="31"/>
      <c r="G140" s="31"/>
      <c r="H140" s="1"/>
      <c r="I140" s="11" t="s">
        <v>1458</v>
      </c>
      <c r="J140" s="1"/>
      <c r="K140" s="1"/>
      <c r="L140" s="1"/>
      <c r="M140" s="1"/>
      <c r="N140" s="11" t="s">
        <v>1457</v>
      </c>
      <c r="O140" s="1"/>
      <c r="P140" s="1"/>
      <c r="T140" s="1641"/>
      <c r="U140" s="1642"/>
      <c r="V140" s="567"/>
      <c r="W140" s="567"/>
      <c r="X140" s="567"/>
      <c r="Y140" s="569"/>
      <c r="Z140" s="569"/>
      <c r="AA140" s="569"/>
      <c r="AB140" s="569"/>
      <c r="AC140" s="569"/>
      <c r="AD140" s="569"/>
      <c r="AE140" s="569"/>
      <c r="AF140" s="569"/>
      <c r="AG140" s="569"/>
      <c r="AH140" s="569"/>
      <c r="AI140" s="569"/>
      <c r="AJ140" s="569"/>
      <c r="AK140" s="569"/>
      <c r="AL140" s="569"/>
      <c r="AM140" s="569"/>
      <c r="AN140" s="569"/>
      <c r="AO140" s="569"/>
      <c r="AP140" s="569"/>
      <c r="AQ140" s="569"/>
      <c r="AR140" s="569"/>
      <c r="AS140" s="569"/>
      <c r="AT140" s="569"/>
      <c r="AU140" s="569"/>
      <c r="AV140" s="569"/>
      <c r="AW140" s="569"/>
      <c r="AX140" s="569"/>
      <c r="AY140" s="569"/>
      <c r="AZ140" s="569"/>
      <c r="BA140" s="569"/>
      <c r="BB140" s="569"/>
      <c r="BC140" s="569"/>
      <c r="BD140" s="569"/>
      <c r="BE140" s="569"/>
      <c r="BF140" s="569"/>
      <c r="BG140" s="569"/>
      <c r="BH140" s="569"/>
      <c r="BI140" s="569"/>
      <c r="BJ140" s="569"/>
      <c r="BK140" s="569"/>
      <c r="BL140" s="569"/>
      <c r="BM140" s="569"/>
      <c r="BN140" s="569"/>
      <c r="BO140" s="569"/>
      <c r="BP140" s="569"/>
      <c r="BQ140" s="569"/>
      <c r="BR140" s="569"/>
      <c r="BS140" s="569"/>
      <c r="BT140" s="569"/>
      <c r="BU140" s="569"/>
      <c r="BV140" s="569"/>
      <c r="BW140" s="569"/>
      <c r="BX140" s="569"/>
      <c r="BY140" s="569"/>
      <c r="BZ140" s="569"/>
      <c r="CA140" s="569"/>
      <c r="CB140" s="569"/>
      <c r="CC140" s="569"/>
      <c r="CD140" s="569"/>
      <c r="CE140" s="569"/>
      <c r="CF140" s="569"/>
      <c r="CG140" s="569"/>
      <c r="CH140" s="569"/>
      <c r="CI140" s="569"/>
      <c r="CJ140" s="569"/>
      <c r="CK140" s="569"/>
      <c r="CL140" s="569"/>
      <c r="CM140" s="569"/>
      <c r="CN140" s="569"/>
      <c r="CO140" s="569"/>
      <c r="CP140" s="569"/>
      <c r="CQ140" s="569"/>
      <c r="CR140" s="569"/>
      <c r="CS140" s="569"/>
      <c r="CT140" s="569"/>
      <c r="CU140" s="569"/>
      <c r="CV140" s="569"/>
      <c r="CW140" s="569"/>
      <c r="CX140" s="569"/>
      <c r="CY140" s="569"/>
      <c r="CZ140" s="569"/>
      <c r="DA140" s="569"/>
      <c r="DB140" s="569"/>
      <c r="DC140" s="569"/>
      <c r="DD140" s="569"/>
      <c r="DE140" s="569"/>
      <c r="DF140" s="569"/>
      <c r="DG140" s="569"/>
      <c r="DH140" s="569"/>
      <c r="DI140" s="569"/>
      <c r="DJ140" s="569"/>
      <c r="DK140" s="569"/>
      <c r="DL140" s="569"/>
      <c r="DM140" s="569"/>
      <c r="DN140" s="569"/>
      <c r="DO140" s="569"/>
      <c r="DP140" s="569"/>
      <c r="DQ140" s="569"/>
      <c r="DR140" s="569"/>
      <c r="DS140" s="569"/>
      <c r="DT140" s="569"/>
      <c r="DU140" s="569"/>
      <c r="DV140" s="569"/>
      <c r="DW140" s="569"/>
      <c r="DX140" s="569"/>
      <c r="DY140" s="569"/>
      <c r="DZ140" s="569"/>
      <c r="EA140" s="569"/>
      <c r="EB140" s="569"/>
      <c r="EC140" s="569"/>
      <c r="ED140" s="569"/>
      <c r="EE140" s="569"/>
      <c r="EF140" s="569"/>
      <c r="EG140" s="569"/>
      <c r="EH140" s="569"/>
      <c r="EI140" s="569"/>
      <c r="EJ140" s="569"/>
      <c r="EK140" s="569"/>
      <c r="EL140" s="569"/>
      <c r="EM140" s="569"/>
      <c r="EN140" s="569"/>
      <c r="EO140" s="569"/>
      <c r="EP140" s="569"/>
      <c r="EQ140" s="569"/>
      <c r="ER140" s="569"/>
      <c r="ES140" s="569"/>
      <c r="ET140" s="569"/>
      <c r="EU140" s="569"/>
      <c r="EV140" s="569"/>
      <c r="EW140" s="569"/>
      <c r="EX140" s="569"/>
      <c r="EY140" s="569"/>
      <c r="EZ140" s="569"/>
      <c r="FA140" s="569"/>
      <c r="FB140" s="569"/>
      <c r="FC140" s="569"/>
      <c r="FD140" s="569"/>
      <c r="FE140" s="569"/>
      <c r="FF140" s="569"/>
      <c r="FG140" s="569"/>
      <c r="FH140" s="569"/>
      <c r="FI140" s="569"/>
      <c r="FJ140" s="569"/>
      <c r="FK140" s="569"/>
      <c r="FL140" s="569"/>
      <c r="FM140" s="569"/>
      <c r="FN140" s="569"/>
      <c r="FO140" s="569"/>
      <c r="FP140" s="569"/>
      <c r="FQ140" s="569"/>
      <c r="FR140" s="569"/>
      <c r="FS140" s="569"/>
      <c r="FT140" s="569"/>
      <c r="FU140" s="569"/>
      <c r="FV140" s="569"/>
      <c r="FW140" s="569"/>
      <c r="FX140" s="569"/>
      <c r="FY140" s="570"/>
      <c r="FZ140" s="570"/>
      <c r="GA140" s="570"/>
      <c r="GB140" s="570"/>
      <c r="GC140" s="570"/>
      <c r="GD140" s="570"/>
      <c r="GE140" s="570"/>
      <c r="GF140" s="570"/>
      <c r="GG140" s="570"/>
      <c r="GH140" s="570"/>
      <c r="GI140" s="570"/>
      <c r="GJ140" s="570"/>
      <c r="GK140" s="570"/>
      <c r="GL140" s="570"/>
      <c r="GM140" s="570"/>
      <c r="GN140" s="570"/>
      <c r="GO140" s="570"/>
      <c r="GP140" s="569"/>
      <c r="GQ140" s="569"/>
      <c r="GR140" s="569"/>
      <c r="GS140" s="569"/>
      <c r="GT140" s="569"/>
      <c r="GU140" s="569"/>
      <c r="GV140" s="571"/>
      <c r="GW140" s="569"/>
      <c r="GX140" s="569"/>
      <c r="GY140" s="569"/>
      <c r="GZ140" s="569"/>
      <c r="HA140" s="569"/>
      <c r="HB140" s="569"/>
      <c r="HC140" s="569"/>
      <c r="HD140" s="569"/>
      <c r="HE140" s="569"/>
      <c r="HF140" s="569"/>
      <c r="HG140" s="569"/>
      <c r="HH140" s="569"/>
      <c r="HI140" s="569"/>
      <c r="HJ140" s="569"/>
      <c r="HK140" s="569"/>
      <c r="HL140" s="571"/>
      <c r="HM140" s="571"/>
      <c r="HN140" s="569"/>
      <c r="HO140" s="569"/>
      <c r="HP140" s="111"/>
      <c r="HQ140" s="111"/>
      <c r="HR140" s="111"/>
      <c r="HS140" s="111"/>
      <c r="HT140" s="111"/>
      <c r="HU140" s="111"/>
      <c r="HV140" s="111"/>
      <c r="HW140" s="111"/>
      <c r="HX140" s="111"/>
      <c r="HY140" s="111"/>
      <c r="HZ140" s="111"/>
      <c r="IA140" s="111"/>
      <c r="IB140" s="111"/>
      <c r="IC140" s="111"/>
      <c r="ID140" s="111"/>
      <c r="IE140" s="111"/>
      <c r="IF140" s="111"/>
      <c r="IG140" s="111"/>
      <c r="IH140" s="111"/>
      <c r="II140" s="111"/>
      <c r="IJ140" s="111"/>
      <c r="IK140" s="111"/>
      <c r="IL140" s="111"/>
      <c r="IM140" s="111"/>
      <c r="IN140" s="111"/>
      <c r="IO140" s="111"/>
      <c r="IP140" s="111"/>
      <c r="IQ140" s="111"/>
      <c r="IR140" s="111"/>
      <c r="IS140" s="111"/>
      <c r="IT140" s="111"/>
      <c r="IU140" s="111"/>
    </row>
    <row r="141" spans="1:255" s="105" customFormat="1" ht="15.6" customHeight="1">
      <c r="A141" s="1"/>
      <c r="B141" s="1" t="s">
        <v>2329</v>
      </c>
      <c r="C141" s="1"/>
      <c r="D141" s="1"/>
      <c r="E141" s="1"/>
      <c r="F141" s="1780">
        <v>51233</v>
      </c>
      <c r="G141" s="1781"/>
      <c r="H141" s="1"/>
      <c r="I141" s="1" t="s">
        <v>1459</v>
      </c>
      <c r="J141" s="1"/>
      <c r="K141" s="1780"/>
      <c r="L141" s="1781"/>
      <c r="M141" s="1"/>
      <c r="N141" s="1" t="s">
        <v>979</v>
      </c>
      <c r="O141" s="1"/>
      <c r="P141" s="1219">
        <v>58800</v>
      </c>
      <c r="T141" s="1643"/>
      <c r="U141" s="1644"/>
      <c r="V141" s="567"/>
      <c r="W141" s="567"/>
      <c r="X141" s="567"/>
      <c r="Y141" s="569"/>
      <c r="Z141" s="569"/>
      <c r="AA141" s="569"/>
      <c r="AB141" s="569"/>
      <c r="AC141" s="569"/>
      <c r="AD141" s="569"/>
      <c r="AE141" s="569"/>
      <c r="AF141" s="569"/>
      <c r="AG141" s="569"/>
      <c r="AH141" s="569"/>
      <c r="AI141" s="569"/>
      <c r="AJ141" s="569"/>
      <c r="AK141" s="569"/>
      <c r="AL141" s="569"/>
      <c r="AM141" s="569"/>
      <c r="AN141" s="569"/>
      <c r="AO141" s="569"/>
      <c r="AP141" s="569"/>
      <c r="AQ141" s="569"/>
      <c r="AR141" s="569"/>
      <c r="AS141" s="569"/>
      <c r="AT141" s="569"/>
      <c r="AU141" s="569"/>
      <c r="AV141" s="569"/>
      <c r="AW141" s="569"/>
      <c r="AX141" s="569"/>
      <c r="AY141" s="569"/>
      <c r="AZ141" s="569"/>
      <c r="BA141" s="569"/>
      <c r="BB141" s="569"/>
      <c r="BC141" s="569"/>
      <c r="BD141" s="569"/>
      <c r="BE141" s="569"/>
      <c r="BF141" s="569"/>
      <c r="BG141" s="569"/>
      <c r="BH141" s="569"/>
      <c r="BI141" s="569"/>
      <c r="BJ141" s="569"/>
      <c r="BK141" s="569"/>
      <c r="BL141" s="569"/>
      <c r="BM141" s="569"/>
      <c r="BN141" s="569"/>
      <c r="BO141" s="569"/>
      <c r="BP141" s="569"/>
      <c r="BQ141" s="569"/>
      <c r="BR141" s="569"/>
      <c r="BS141" s="569"/>
      <c r="BT141" s="569"/>
      <c r="BU141" s="569"/>
      <c r="BV141" s="569"/>
      <c r="BW141" s="569"/>
      <c r="BX141" s="569"/>
      <c r="BY141" s="569"/>
      <c r="BZ141" s="569"/>
      <c r="CA141" s="569"/>
      <c r="CB141" s="569"/>
      <c r="CC141" s="569"/>
      <c r="CD141" s="569"/>
      <c r="CE141" s="569"/>
      <c r="CF141" s="569"/>
      <c r="CG141" s="569"/>
      <c r="CH141" s="569"/>
      <c r="CI141" s="569"/>
      <c r="CJ141" s="569"/>
      <c r="CK141" s="569"/>
      <c r="CL141" s="569"/>
      <c r="CM141" s="569"/>
      <c r="CN141" s="569"/>
      <c r="CO141" s="569"/>
      <c r="CP141" s="569"/>
      <c r="CQ141" s="569"/>
      <c r="CR141" s="569"/>
      <c r="CS141" s="569"/>
      <c r="CT141" s="569"/>
      <c r="CU141" s="569"/>
      <c r="CV141" s="569"/>
      <c r="CW141" s="569"/>
      <c r="CX141" s="569"/>
      <c r="CY141" s="569"/>
      <c r="CZ141" s="569"/>
      <c r="DA141" s="569"/>
      <c r="DB141" s="569"/>
      <c r="DC141" s="569"/>
      <c r="DD141" s="569"/>
      <c r="DE141" s="569"/>
      <c r="DF141" s="569"/>
      <c r="DG141" s="569"/>
      <c r="DH141" s="569"/>
      <c r="DI141" s="569"/>
      <c r="DJ141" s="569"/>
      <c r="DK141" s="569"/>
      <c r="DL141" s="569"/>
      <c r="DM141" s="569"/>
      <c r="DN141" s="569"/>
      <c r="DO141" s="569"/>
      <c r="DP141" s="569"/>
      <c r="DQ141" s="569"/>
      <c r="DR141" s="569"/>
      <c r="DS141" s="569"/>
      <c r="DT141" s="569"/>
      <c r="DU141" s="569"/>
      <c r="DV141" s="569"/>
      <c r="DW141" s="569"/>
      <c r="DX141" s="569"/>
      <c r="DY141" s="569"/>
      <c r="DZ141" s="569"/>
      <c r="EA141" s="569"/>
      <c r="EB141" s="569"/>
      <c r="EC141" s="569"/>
      <c r="ED141" s="569"/>
      <c r="EE141" s="569"/>
      <c r="EF141" s="569"/>
      <c r="EG141" s="569"/>
      <c r="EH141" s="569"/>
      <c r="EI141" s="569"/>
      <c r="EJ141" s="569"/>
      <c r="EK141" s="569"/>
      <c r="EL141" s="569"/>
      <c r="EM141" s="569"/>
      <c r="EN141" s="569"/>
      <c r="EO141" s="569"/>
      <c r="EP141" s="569"/>
      <c r="EQ141" s="569"/>
      <c r="ER141" s="569"/>
      <c r="ES141" s="569"/>
      <c r="ET141" s="569"/>
      <c r="EU141" s="569"/>
      <c r="EV141" s="569"/>
      <c r="EW141" s="569"/>
      <c r="EX141" s="569"/>
      <c r="EY141" s="569"/>
      <c r="EZ141" s="569"/>
      <c r="FA141" s="569"/>
      <c r="FB141" s="569"/>
      <c r="FC141" s="569"/>
      <c r="FD141" s="569"/>
      <c r="FE141" s="569"/>
      <c r="FF141" s="569"/>
      <c r="FG141" s="569"/>
      <c r="FH141" s="569"/>
      <c r="FI141" s="569"/>
      <c r="FJ141" s="569"/>
      <c r="FK141" s="569"/>
      <c r="FL141" s="569"/>
      <c r="FM141" s="569"/>
      <c r="FN141" s="569"/>
      <c r="FO141" s="569"/>
      <c r="FP141" s="569"/>
      <c r="FQ141" s="569"/>
      <c r="FR141" s="569"/>
      <c r="FS141" s="569"/>
      <c r="FT141" s="569"/>
      <c r="FU141" s="569"/>
      <c r="FV141" s="569"/>
      <c r="FW141" s="569"/>
      <c r="FX141" s="569"/>
      <c r="FY141" s="570"/>
      <c r="FZ141" s="570"/>
      <c r="GA141" s="570"/>
      <c r="GB141" s="570"/>
      <c r="GC141" s="570"/>
      <c r="GD141" s="570"/>
      <c r="GE141" s="570"/>
      <c r="GF141" s="570"/>
      <c r="GG141" s="570"/>
      <c r="GH141" s="570"/>
      <c r="GI141" s="570"/>
      <c r="GJ141" s="570"/>
      <c r="GK141" s="570"/>
      <c r="GL141" s="570"/>
      <c r="GM141" s="570"/>
      <c r="GN141" s="570"/>
      <c r="GO141" s="570"/>
      <c r="GP141" s="569"/>
      <c r="GQ141" s="569"/>
      <c r="GR141" s="569"/>
      <c r="GS141" s="569"/>
      <c r="GT141" s="569"/>
      <c r="GU141" s="569"/>
      <c r="GV141" s="571"/>
      <c r="GW141" s="569"/>
      <c r="GX141" s="569"/>
      <c r="GY141" s="569"/>
      <c r="GZ141" s="569"/>
      <c r="HA141" s="569"/>
      <c r="HB141" s="569"/>
      <c r="HC141" s="569"/>
      <c r="HD141" s="569"/>
      <c r="HE141" s="569"/>
      <c r="HF141" s="569"/>
      <c r="HG141" s="569"/>
      <c r="HH141" s="569"/>
      <c r="HI141" s="569"/>
      <c r="HJ141" s="569"/>
      <c r="HK141" s="569"/>
      <c r="HL141" s="571"/>
      <c r="HM141" s="571"/>
      <c r="HN141" s="569"/>
      <c r="HO141" s="569"/>
      <c r="HP141" s="111"/>
      <c r="HQ141" s="111"/>
      <c r="HR141" s="111"/>
      <c r="HS141" s="111"/>
      <c r="HT141" s="111"/>
      <c r="HU141" s="111"/>
      <c r="HV141" s="111"/>
      <c r="HW141" s="111"/>
      <c r="HX141" s="111"/>
      <c r="HY141" s="111"/>
      <c r="HZ141" s="111"/>
      <c r="IA141" s="111"/>
      <c r="IB141" s="111"/>
      <c r="IC141" s="111"/>
      <c r="ID141" s="111"/>
      <c r="IE141" s="111"/>
      <c r="IF141" s="111"/>
      <c r="IG141" s="111"/>
      <c r="IH141" s="111"/>
      <c r="II141" s="111"/>
      <c r="IJ141" s="111"/>
      <c r="IK141" s="111"/>
      <c r="IL141" s="111"/>
      <c r="IM141" s="111"/>
      <c r="IN141" s="111"/>
      <c r="IO141" s="111"/>
      <c r="IP141" s="111"/>
      <c r="IQ141" s="111"/>
      <c r="IR141" s="111"/>
      <c r="IS141" s="111"/>
      <c r="IT141" s="111"/>
      <c r="IU141" s="111"/>
    </row>
    <row r="142" spans="1:255" s="105" customFormat="1" ht="15.6" customHeight="1" thickBot="1">
      <c r="A142" s="1"/>
      <c r="B142" s="1" t="s">
        <v>1448</v>
      </c>
      <c r="C142" s="1"/>
      <c r="D142" s="1"/>
      <c r="E142" s="1"/>
      <c r="F142" s="1780">
        <v>44744</v>
      </c>
      <c r="G142" s="1781"/>
      <c r="H142" s="1"/>
      <c r="I142" s="1" t="s">
        <v>1460</v>
      </c>
      <c r="J142" s="1"/>
      <c r="K142" s="1780">
        <v>600</v>
      </c>
      <c r="L142" s="1781"/>
      <c r="M142" s="1"/>
      <c r="N142" s="1" t="s">
        <v>153</v>
      </c>
      <c r="O142" s="1"/>
      <c r="P142" s="1219">
        <v>19193</v>
      </c>
      <c r="T142" s="1643"/>
      <c r="U142" s="1644"/>
      <c r="V142" s="567"/>
      <c r="W142" s="567"/>
      <c r="X142" s="567"/>
      <c r="Y142" s="569"/>
      <c r="Z142" s="569"/>
      <c r="AA142" s="569"/>
      <c r="AB142" s="569"/>
      <c r="AC142" s="569"/>
      <c r="AD142" s="569"/>
      <c r="AE142" s="569"/>
      <c r="AF142" s="569"/>
      <c r="AG142" s="569"/>
      <c r="AH142" s="569"/>
      <c r="AI142" s="569"/>
      <c r="AJ142" s="569"/>
      <c r="AK142" s="569"/>
      <c r="AL142" s="569"/>
      <c r="AM142" s="569"/>
      <c r="AN142" s="569"/>
      <c r="AO142" s="569"/>
      <c r="AP142" s="569"/>
      <c r="AQ142" s="569"/>
      <c r="AR142" s="569"/>
      <c r="AS142" s="569"/>
      <c r="AT142" s="569"/>
      <c r="AU142" s="569"/>
      <c r="AV142" s="569"/>
      <c r="AW142" s="569"/>
      <c r="AX142" s="569"/>
      <c r="AY142" s="569"/>
      <c r="AZ142" s="569"/>
      <c r="BA142" s="569"/>
      <c r="BB142" s="569"/>
      <c r="BC142" s="569"/>
      <c r="BD142" s="569"/>
      <c r="BE142" s="569"/>
      <c r="BF142" s="569"/>
      <c r="BG142" s="569"/>
      <c r="BH142" s="569"/>
      <c r="BI142" s="569"/>
      <c r="BJ142" s="569"/>
      <c r="BK142" s="569"/>
      <c r="BL142" s="569"/>
      <c r="BM142" s="569"/>
      <c r="BN142" s="569"/>
      <c r="BO142" s="569"/>
      <c r="BP142" s="569"/>
      <c r="BQ142" s="569"/>
      <c r="BR142" s="569"/>
      <c r="BS142" s="569"/>
      <c r="BT142" s="569"/>
      <c r="BU142" s="569"/>
      <c r="BV142" s="569"/>
      <c r="BW142" s="569"/>
      <c r="BX142" s="569"/>
      <c r="BY142" s="569"/>
      <c r="BZ142" s="569"/>
      <c r="CA142" s="569"/>
      <c r="CB142" s="569"/>
      <c r="CC142" s="569"/>
      <c r="CD142" s="569"/>
      <c r="CE142" s="569"/>
      <c r="CF142" s="569"/>
      <c r="CG142" s="569"/>
      <c r="CH142" s="569"/>
      <c r="CI142" s="569"/>
      <c r="CJ142" s="569"/>
      <c r="CK142" s="569"/>
      <c r="CL142" s="569"/>
      <c r="CM142" s="569"/>
      <c r="CN142" s="569"/>
      <c r="CO142" s="569"/>
      <c r="CP142" s="569"/>
      <c r="CQ142" s="569"/>
      <c r="CR142" s="569"/>
      <c r="CS142" s="569"/>
      <c r="CT142" s="569"/>
      <c r="CU142" s="569"/>
      <c r="CV142" s="569"/>
      <c r="CW142" s="569"/>
      <c r="CX142" s="569"/>
      <c r="CY142" s="569"/>
      <c r="CZ142" s="569"/>
      <c r="DA142" s="569"/>
      <c r="DB142" s="569"/>
      <c r="DC142" s="569"/>
      <c r="DD142" s="569"/>
      <c r="DE142" s="569"/>
      <c r="DF142" s="569"/>
      <c r="DG142" s="569"/>
      <c r="DH142" s="569"/>
      <c r="DI142" s="569"/>
      <c r="DJ142" s="569"/>
      <c r="DK142" s="569"/>
      <c r="DL142" s="569"/>
      <c r="DM142" s="569"/>
      <c r="DN142" s="569"/>
      <c r="DO142" s="569"/>
      <c r="DP142" s="569"/>
      <c r="DQ142" s="569"/>
      <c r="DR142" s="569"/>
      <c r="DS142" s="569"/>
      <c r="DT142" s="569"/>
      <c r="DU142" s="569"/>
      <c r="DV142" s="569"/>
      <c r="DW142" s="569"/>
      <c r="DX142" s="569"/>
      <c r="DY142" s="569"/>
      <c r="DZ142" s="569"/>
      <c r="EA142" s="569"/>
      <c r="EB142" s="569"/>
      <c r="EC142" s="569"/>
      <c r="ED142" s="569"/>
      <c r="EE142" s="569"/>
      <c r="EF142" s="569"/>
      <c r="EG142" s="569"/>
      <c r="EH142" s="569"/>
      <c r="EI142" s="569"/>
      <c r="EJ142" s="569"/>
      <c r="EK142" s="569"/>
      <c r="EL142" s="569"/>
      <c r="EM142" s="569"/>
      <c r="EN142" s="569"/>
      <c r="EO142" s="569"/>
      <c r="EP142" s="569"/>
      <c r="EQ142" s="569"/>
      <c r="ER142" s="569"/>
      <c r="ES142" s="569"/>
      <c r="ET142" s="569"/>
      <c r="EU142" s="569"/>
      <c r="EV142" s="569"/>
      <c r="EW142" s="569"/>
      <c r="EX142" s="569"/>
      <c r="EY142" s="569"/>
      <c r="EZ142" s="569"/>
      <c r="FA142" s="569"/>
      <c r="FB142" s="569"/>
      <c r="FC142" s="569"/>
      <c r="FD142" s="569"/>
      <c r="FE142" s="569"/>
      <c r="FF142" s="569"/>
      <c r="FG142" s="569"/>
      <c r="FH142" s="569"/>
      <c r="FI142" s="569"/>
      <c r="FJ142" s="569"/>
      <c r="FK142" s="569"/>
      <c r="FL142" s="569"/>
      <c r="FM142" s="569"/>
      <c r="FN142" s="569"/>
      <c r="FO142" s="569"/>
      <c r="FP142" s="569"/>
      <c r="FQ142" s="569"/>
      <c r="FR142" s="569"/>
      <c r="FS142" s="569"/>
      <c r="FT142" s="569"/>
      <c r="FU142" s="569"/>
      <c r="FV142" s="569"/>
      <c r="FW142" s="569"/>
      <c r="FX142" s="569"/>
      <c r="FY142" s="570"/>
      <c r="FZ142" s="570"/>
      <c r="GA142" s="570"/>
      <c r="GB142" s="570"/>
      <c r="GC142" s="570"/>
      <c r="GD142" s="570"/>
      <c r="GE142" s="570"/>
      <c r="GF142" s="570"/>
      <c r="GG142" s="570"/>
      <c r="GH142" s="570"/>
      <c r="GI142" s="570"/>
      <c r="GJ142" s="570"/>
      <c r="GK142" s="570"/>
      <c r="GL142" s="570"/>
      <c r="GM142" s="570"/>
      <c r="GN142" s="570"/>
      <c r="GO142" s="570"/>
      <c r="GP142" s="569"/>
      <c r="GQ142" s="569"/>
      <c r="GR142" s="569"/>
      <c r="GS142" s="569"/>
      <c r="GT142" s="569"/>
      <c r="GU142" s="569"/>
      <c r="GV142" s="571"/>
      <c r="GW142" s="569"/>
      <c r="GX142" s="569"/>
      <c r="GY142" s="569"/>
      <c r="GZ142" s="569"/>
      <c r="HA142" s="569"/>
      <c r="HB142" s="569"/>
      <c r="HC142" s="569"/>
      <c r="HD142" s="569"/>
      <c r="HE142" s="569"/>
      <c r="HF142" s="569"/>
      <c r="HG142" s="569"/>
      <c r="HH142" s="569"/>
      <c r="HI142" s="569"/>
      <c r="HJ142" s="569"/>
      <c r="HK142" s="569"/>
      <c r="HL142" s="571"/>
      <c r="HM142" s="571"/>
      <c r="HN142" s="569"/>
      <c r="HO142" s="569"/>
      <c r="HP142" s="111"/>
      <c r="HQ142" s="111"/>
      <c r="HR142" s="111"/>
      <c r="HS142" s="111"/>
      <c r="HT142" s="111"/>
      <c r="HU142" s="111"/>
      <c r="HV142" s="111"/>
      <c r="HW142" s="111"/>
      <c r="HX142" s="111"/>
      <c r="HY142" s="111"/>
      <c r="HZ142" s="111"/>
      <c r="IA142" s="111"/>
      <c r="IB142" s="111"/>
      <c r="IC142" s="111"/>
      <c r="ID142" s="111"/>
      <c r="IE142" s="111"/>
      <c r="IF142" s="111"/>
      <c r="IG142" s="111"/>
      <c r="IH142" s="111"/>
      <c r="II142" s="111"/>
      <c r="IJ142" s="111"/>
      <c r="IK142" s="111"/>
      <c r="IL142" s="111"/>
      <c r="IM142" s="111"/>
      <c r="IN142" s="111"/>
      <c r="IO142" s="111"/>
      <c r="IP142" s="111"/>
      <c r="IQ142" s="111"/>
      <c r="IR142" s="111"/>
      <c r="IS142" s="111"/>
      <c r="IT142" s="111"/>
      <c r="IU142" s="111"/>
    </row>
    <row r="143" spans="1:255" s="105" customFormat="1" ht="15.6" customHeight="1" thickTop="1" thickBot="1">
      <c r="A143" s="1"/>
      <c r="B143" s="1" t="s">
        <v>1311</v>
      </c>
      <c r="C143" s="1"/>
      <c r="D143" s="1"/>
      <c r="E143" s="1"/>
      <c r="F143" s="1780"/>
      <c r="G143" s="1781"/>
      <c r="H143" s="1"/>
      <c r="I143" s="1"/>
      <c r="J143" s="146" t="s">
        <v>199</v>
      </c>
      <c r="K143" s="1782">
        <f>SUM(K141:L142)</f>
        <v>600</v>
      </c>
      <c r="L143" s="1783"/>
      <c r="M143" s="1"/>
      <c r="N143" s="1792"/>
      <c r="O143" s="1793"/>
      <c r="P143" s="1220"/>
      <c r="T143" s="1643"/>
      <c r="U143" s="1644"/>
      <c r="V143" s="567"/>
      <c r="W143" s="567"/>
      <c r="X143" s="567"/>
      <c r="Y143" s="569"/>
      <c r="Z143" s="569"/>
      <c r="AA143" s="569"/>
      <c r="AB143" s="569"/>
      <c r="AC143" s="569"/>
      <c r="AD143" s="569"/>
      <c r="AE143" s="569"/>
      <c r="AF143" s="569"/>
      <c r="AG143" s="569"/>
      <c r="AH143" s="569"/>
      <c r="AI143" s="569"/>
      <c r="AJ143" s="569"/>
      <c r="AK143" s="569"/>
      <c r="AL143" s="569"/>
      <c r="AM143" s="569"/>
      <c r="AN143" s="569"/>
      <c r="AO143" s="569"/>
      <c r="AP143" s="569"/>
      <c r="AQ143" s="569"/>
      <c r="AR143" s="569"/>
      <c r="AS143" s="569"/>
      <c r="AT143" s="569"/>
      <c r="AU143" s="569"/>
      <c r="AV143" s="569"/>
      <c r="AW143" s="569"/>
      <c r="AX143" s="569"/>
      <c r="AY143" s="569"/>
      <c r="AZ143" s="569"/>
      <c r="BA143" s="569"/>
      <c r="BB143" s="569"/>
      <c r="BC143" s="569"/>
      <c r="BD143" s="569"/>
      <c r="BE143" s="569"/>
      <c r="BF143" s="569"/>
      <c r="BG143" s="569"/>
      <c r="BH143" s="569"/>
      <c r="BI143" s="569"/>
      <c r="BJ143" s="569"/>
      <c r="BK143" s="569"/>
      <c r="BL143" s="569"/>
      <c r="BM143" s="569"/>
      <c r="BN143" s="569"/>
      <c r="BO143" s="569"/>
      <c r="BP143" s="569"/>
      <c r="BQ143" s="569"/>
      <c r="BR143" s="569"/>
      <c r="BS143" s="569"/>
      <c r="BT143" s="569"/>
      <c r="BU143" s="569"/>
      <c r="BV143" s="569"/>
      <c r="BW143" s="569"/>
      <c r="BX143" s="569"/>
      <c r="BY143" s="569"/>
      <c r="BZ143" s="569"/>
      <c r="CA143" s="569"/>
      <c r="CB143" s="569"/>
      <c r="CC143" s="569"/>
      <c r="CD143" s="569"/>
      <c r="CE143" s="569"/>
      <c r="CF143" s="569"/>
      <c r="CG143" s="569"/>
      <c r="CH143" s="569"/>
      <c r="CI143" s="569"/>
      <c r="CJ143" s="569"/>
      <c r="CK143" s="569"/>
      <c r="CL143" s="569"/>
      <c r="CM143" s="569"/>
      <c r="CN143" s="569"/>
      <c r="CO143" s="569"/>
      <c r="CP143" s="569"/>
      <c r="CQ143" s="569"/>
      <c r="CR143" s="569"/>
      <c r="CS143" s="569"/>
      <c r="CT143" s="569"/>
      <c r="CU143" s="569"/>
      <c r="CV143" s="569"/>
      <c r="CW143" s="569"/>
      <c r="CX143" s="569"/>
      <c r="CY143" s="569"/>
      <c r="CZ143" s="569"/>
      <c r="DA143" s="569"/>
      <c r="DB143" s="569"/>
      <c r="DC143" s="569"/>
      <c r="DD143" s="569"/>
      <c r="DE143" s="569"/>
      <c r="DF143" s="569"/>
      <c r="DG143" s="569"/>
      <c r="DH143" s="569"/>
      <c r="DI143" s="569"/>
      <c r="DJ143" s="569"/>
      <c r="DK143" s="569"/>
      <c r="DL143" s="569"/>
      <c r="DM143" s="569"/>
      <c r="DN143" s="569"/>
      <c r="DO143" s="569"/>
      <c r="DP143" s="569"/>
      <c r="DQ143" s="569"/>
      <c r="DR143" s="569"/>
      <c r="DS143" s="569"/>
      <c r="DT143" s="569"/>
      <c r="DU143" s="569"/>
      <c r="DV143" s="569"/>
      <c r="DW143" s="569"/>
      <c r="DX143" s="569"/>
      <c r="DY143" s="569"/>
      <c r="DZ143" s="569"/>
      <c r="EA143" s="569"/>
      <c r="EB143" s="569"/>
      <c r="EC143" s="569"/>
      <c r="ED143" s="569"/>
      <c r="EE143" s="569"/>
      <c r="EF143" s="569"/>
      <c r="EG143" s="569"/>
      <c r="EH143" s="569"/>
      <c r="EI143" s="569"/>
      <c r="EJ143" s="569"/>
      <c r="EK143" s="569"/>
      <c r="EL143" s="569"/>
      <c r="EM143" s="569"/>
      <c r="EN143" s="569"/>
      <c r="EO143" s="569"/>
      <c r="EP143" s="569"/>
      <c r="EQ143" s="569"/>
      <c r="ER143" s="569"/>
      <c r="ES143" s="569"/>
      <c r="ET143" s="569"/>
      <c r="EU143" s="569"/>
      <c r="EV143" s="569"/>
      <c r="EW143" s="569"/>
      <c r="EX143" s="569"/>
      <c r="EY143" s="569"/>
      <c r="EZ143" s="569"/>
      <c r="FA143" s="569"/>
      <c r="FB143" s="569"/>
      <c r="FC143" s="569"/>
      <c r="FD143" s="569"/>
      <c r="FE143" s="569"/>
      <c r="FF143" s="569"/>
      <c r="FG143" s="569"/>
      <c r="FH143" s="569"/>
      <c r="FI143" s="569"/>
      <c r="FJ143" s="569"/>
      <c r="FK143" s="569"/>
      <c r="FL143" s="569"/>
      <c r="FM143" s="569"/>
      <c r="FN143" s="569"/>
      <c r="FO143" s="569"/>
      <c r="FP143" s="569"/>
      <c r="FQ143" s="569"/>
      <c r="FR143" s="569"/>
      <c r="FS143" s="569"/>
      <c r="FT143" s="569"/>
      <c r="FU143" s="569"/>
      <c r="FV143" s="569"/>
      <c r="FW143" s="569"/>
      <c r="FX143" s="569"/>
      <c r="FY143" s="570"/>
      <c r="FZ143" s="570"/>
      <c r="GA143" s="570"/>
      <c r="GB143" s="570"/>
      <c r="GC143" s="570"/>
      <c r="GD143" s="570"/>
      <c r="GE143" s="570"/>
      <c r="GF143" s="570"/>
      <c r="GG143" s="570"/>
      <c r="GH143" s="570"/>
      <c r="GI143" s="570"/>
      <c r="GJ143" s="570"/>
      <c r="GK143" s="570"/>
      <c r="GL143" s="570"/>
      <c r="GM143" s="570"/>
      <c r="GN143" s="570"/>
      <c r="GO143" s="570"/>
      <c r="GP143" s="569"/>
      <c r="GQ143" s="569"/>
      <c r="GR143" s="569"/>
      <c r="GS143" s="569"/>
      <c r="GT143" s="569"/>
      <c r="GU143" s="569"/>
      <c r="GV143" s="571"/>
      <c r="GW143" s="569"/>
      <c r="GX143" s="569"/>
      <c r="GY143" s="569"/>
      <c r="GZ143" s="569"/>
      <c r="HA143" s="569"/>
      <c r="HB143" s="569"/>
      <c r="HC143" s="569"/>
      <c r="HD143" s="569"/>
      <c r="HE143" s="569"/>
      <c r="HF143" s="569"/>
      <c r="HG143" s="569"/>
      <c r="HH143" s="569"/>
      <c r="HI143" s="569"/>
      <c r="HJ143" s="569"/>
      <c r="HK143" s="569"/>
      <c r="HL143" s="571"/>
      <c r="HM143" s="571"/>
      <c r="HN143" s="569"/>
      <c r="HO143" s="569"/>
      <c r="HP143" s="111"/>
      <c r="HQ143" s="111"/>
      <c r="HR143" s="111"/>
      <c r="HS143" s="111"/>
      <c r="HT143" s="111"/>
      <c r="HU143" s="111"/>
      <c r="HV143" s="111"/>
      <c r="HW143" s="111"/>
      <c r="HX143" s="111"/>
      <c r="HY143" s="111"/>
      <c r="HZ143" s="111"/>
      <c r="IA143" s="111"/>
      <c r="IB143" s="111"/>
      <c r="IC143" s="111"/>
      <c r="ID143" s="111"/>
      <c r="IE143" s="111"/>
      <c r="IF143" s="111"/>
      <c r="IG143" s="111"/>
      <c r="IH143" s="111"/>
      <c r="II143" s="111"/>
      <c r="IJ143" s="111"/>
      <c r="IK143" s="111"/>
      <c r="IL143" s="111"/>
      <c r="IM143" s="111"/>
      <c r="IN143" s="111"/>
      <c r="IO143" s="111"/>
      <c r="IP143" s="111"/>
      <c r="IQ143" s="111"/>
      <c r="IR143" s="111"/>
      <c r="IS143" s="111"/>
      <c r="IT143" s="111"/>
      <c r="IU143" s="111"/>
    </row>
    <row r="144" spans="1:255" s="105" customFormat="1" ht="15.6" customHeight="1" thickTop="1" thickBot="1">
      <c r="A144" s="1"/>
      <c r="B144" s="1776" t="s">
        <v>3499</v>
      </c>
      <c r="C144" s="1777"/>
      <c r="D144" s="1777"/>
      <c r="E144" s="1778"/>
      <c r="F144" s="1796">
        <v>5000</v>
      </c>
      <c r="G144" s="1797"/>
      <c r="H144" s="1"/>
      <c r="I144" s="1"/>
      <c r="J144" s="1"/>
      <c r="K144" s="1"/>
      <c r="L144" s="1"/>
      <c r="M144" s="1"/>
      <c r="N144" s="13" t="s">
        <v>199</v>
      </c>
      <c r="O144" s="1"/>
      <c r="P144" s="497">
        <f>SUM(P141:P143)</f>
        <v>77993</v>
      </c>
      <c r="T144" s="1643"/>
      <c r="U144" s="1644"/>
      <c r="V144" s="567"/>
      <c r="W144" s="567"/>
      <c r="X144" s="567"/>
      <c r="Y144" s="569"/>
      <c r="Z144" s="569"/>
      <c r="AA144" s="569"/>
      <c r="AB144" s="569"/>
      <c r="AC144" s="569"/>
      <c r="AD144" s="569"/>
      <c r="AE144" s="569"/>
      <c r="AF144" s="569"/>
      <c r="AG144" s="569"/>
      <c r="AH144" s="569"/>
      <c r="AI144" s="569"/>
      <c r="AJ144" s="569"/>
      <c r="AK144" s="569"/>
      <c r="AL144" s="569"/>
      <c r="AM144" s="569"/>
      <c r="AN144" s="569"/>
      <c r="AO144" s="569"/>
      <c r="AP144" s="569"/>
      <c r="AQ144" s="569"/>
      <c r="AR144" s="569"/>
      <c r="AS144" s="569"/>
      <c r="AT144" s="569"/>
      <c r="AU144" s="569"/>
      <c r="AV144" s="569"/>
      <c r="AW144" s="569"/>
      <c r="AX144" s="569"/>
      <c r="AY144" s="569"/>
      <c r="AZ144" s="569"/>
      <c r="BA144" s="569"/>
      <c r="BB144" s="569"/>
      <c r="BC144" s="569"/>
      <c r="BD144" s="569"/>
      <c r="BE144" s="569"/>
      <c r="BF144" s="569"/>
      <c r="BG144" s="569"/>
      <c r="BH144" s="569"/>
      <c r="BI144" s="569"/>
      <c r="BJ144" s="569"/>
      <c r="BK144" s="569"/>
      <c r="BL144" s="569"/>
      <c r="BM144" s="569"/>
      <c r="BN144" s="569"/>
      <c r="BO144" s="569"/>
      <c r="BP144" s="569"/>
      <c r="BQ144" s="569"/>
      <c r="BR144" s="569"/>
      <c r="BS144" s="569"/>
      <c r="BT144" s="569"/>
      <c r="BU144" s="569"/>
      <c r="BV144" s="569"/>
      <c r="BW144" s="569"/>
      <c r="BX144" s="569"/>
      <c r="BY144" s="569"/>
      <c r="BZ144" s="569"/>
      <c r="CA144" s="569"/>
      <c r="CB144" s="569"/>
      <c r="CC144" s="569"/>
      <c r="CD144" s="569"/>
      <c r="CE144" s="569"/>
      <c r="CF144" s="569"/>
      <c r="CG144" s="569"/>
      <c r="CH144" s="569"/>
      <c r="CI144" s="569"/>
      <c r="CJ144" s="569"/>
      <c r="CK144" s="569"/>
      <c r="CL144" s="569"/>
      <c r="CM144" s="569"/>
      <c r="CN144" s="569"/>
      <c r="CO144" s="569"/>
      <c r="CP144" s="569"/>
      <c r="CQ144" s="569"/>
      <c r="CR144" s="569"/>
      <c r="CS144" s="569"/>
      <c r="CT144" s="569"/>
      <c r="CU144" s="569"/>
      <c r="CV144" s="569"/>
      <c r="CW144" s="569"/>
      <c r="CX144" s="569"/>
      <c r="CY144" s="569"/>
      <c r="CZ144" s="569"/>
      <c r="DA144" s="569"/>
      <c r="DB144" s="569"/>
      <c r="DC144" s="569"/>
      <c r="DD144" s="569"/>
      <c r="DE144" s="569"/>
      <c r="DF144" s="569"/>
      <c r="DG144" s="569"/>
      <c r="DH144" s="569"/>
      <c r="DI144" s="569"/>
      <c r="DJ144" s="569"/>
      <c r="DK144" s="569"/>
      <c r="DL144" s="569"/>
      <c r="DM144" s="569"/>
      <c r="DN144" s="569"/>
      <c r="DO144" s="569"/>
      <c r="DP144" s="569"/>
      <c r="DQ144" s="569"/>
      <c r="DR144" s="569"/>
      <c r="DS144" s="569"/>
      <c r="DT144" s="569"/>
      <c r="DU144" s="569"/>
      <c r="DV144" s="569"/>
      <c r="DW144" s="569"/>
      <c r="DX144" s="569"/>
      <c r="DY144" s="569"/>
      <c r="DZ144" s="569"/>
      <c r="EA144" s="569"/>
      <c r="EB144" s="569"/>
      <c r="EC144" s="569"/>
      <c r="ED144" s="569"/>
      <c r="EE144" s="569"/>
      <c r="EF144" s="569"/>
      <c r="EG144" s="569"/>
      <c r="EH144" s="569"/>
      <c r="EI144" s="569"/>
      <c r="EJ144" s="569"/>
      <c r="EK144" s="569"/>
      <c r="EL144" s="569"/>
      <c r="EM144" s="569"/>
      <c r="EN144" s="569"/>
      <c r="EO144" s="569"/>
      <c r="EP144" s="569"/>
      <c r="EQ144" s="569"/>
      <c r="ER144" s="569"/>
      <c r="ES144" s="569"/>
      <c r="ET144" s="569"/>
      <c r="EU144" s="569"/>
      <c r="EV144" s="569"/>
      <c r="EW144" s="569"/>
      <c r="EX144" s="569"/>
      <c r="EY144" s="569"/>
      <c r="EZ144" s="569"/>
      <c r="FA144" s="569"/>
      <c r="FB144" s="569"/>
      <c r="FC144" s="569"/>
      <c r="FD144" s="569"/>
      <c r="FE144" s="569"/>
      <c r="FF144" s="569"/>
      <c r="FG144" s="569"/>
      <c r="FH144" s="569"/>
      <c r="FI144" s="569"/>
      <c r="FJ144" s="569"/>
      <c r="FK144" s="569"/>
      <c r="FL144" s="569"/>
      <c r="FM144" s="569"/>
      <c r="FN144" s="569"/>
      <c r="FO144" s="569"/>
      <c r="FP144" s="569"/>
      <c r="FQ144" s="569"/>
      <c r="FR144" s="569"/>
      <c r="FS144" s="569"/>
      <c r="FT144" s="569"/>
      <c r="FU144" s="569"/>
      <c r="FV144" s="569"/>
      <c r="FW144" s="569"/>
      <c r="FX144" s="569"/>
      <c r="FY144" s="570"/>
      <c r="FZ144" s="570"/>
      <c r="GA144" s="570"/>
      <c r="GB144" s="570"/>
      <c r="GC144" s="570"/>
      <c r="GD144" s="570"/>
      <c r="GE144" s="570"/>
      <c r="GF144" s="570"/>
      <c r="GG144" s="570"/>
      <c r="GH144" s="570"/>
      <c r="GI144" s="570"/>
      <c r="GJ144" s="570"/>
      <c r="GK144" s="570"/>
      <c r="GL144" s="570"/>
      <c r="GM144" s="570"/>
      <c r="GN144" s="570"/>
      <c r="GO144" s="570"/>
      <c r="GP144" s="569"/>
      <c r="GQ144" s="569"/>
      <c r="GR144" s="569"/>
      <c r="GS144" s="569"/>
      <c r="GT144" s="569"/>
      <c r="GU144" s="569"/>
      <c r="GV144" s="571"/>
      <c r="GW144" s="569"/>
      <c r="GX144" s="569"/>
      <c r="GY144" s="569"/>
      <c r="GZ144" s="569"/>
      <c r="HA144" s="569"/>
      <c r="HB144" s="569"/>
      <c r="HC144" s="569"/>
      <c r="HD144" s="569"/>
      <c r="HE144" s="569"/>
      <c r="HF144" s="569"/>
      <c r="HG144" s="569"/>
      <c r="HH144" s="569"/>
      <c r="HI144" s="569"/>
      <c r="HJ144" s="569"/>
      <c r="HK144" s="569"/>
      <c r="HL144" s="571"/>
      <c r="HM144" s="571"/>
      <c r="HN144" s="569"/>
      <c r="HO144" s="569"/>
      <c r="HP144" s="111"/>
      <c r="HQ144" s="111"/>
      <c r="HR144" s="111"/>
      <c r="HS144" s="111"/>
      <c r="HT144" s="111"/>
      <c r="HU144" s="111"/>
      <c r="HV144" s="111"/>
      <c r="HW144" s="111"/>
      <c r="HX144" s="111"/>
      <c r="HY144" s="111"/>
      <c r="HZ144" s="111"/>
      <c r="IA144" s="111"/>
      <c r="IB144" s="111"/>
      <c r="IC144" s="111"/>
      <c r="ID144" s="111"/>
      <c r="IE144" s="111"/>
      <c r="IF144" s="111"/>
      <c r="IG144" s="111"/>
      <c r="IH144" s="111"/>
      <c r="II144" s="111"/>
      <c r="IJ144" s="111"/>
      <c r="IK144" s="111"/>
      <c r="IL144" s="111"/>
      <c r="IM144" s="111"/>
      <c r="IN144" s="111"/>
      <c r="IO144" s="111"/>
      <c r="IP144" s="111"/>
      <c r="IQ144" s="111"/>
      <c r="IR144" s="111"/>
      <c r="IS144" s="111"/>
      <c r="IT144" s="111"/>
      <c r="IU144" s="111"/>
    </row>
    <row r="145" spans="1:255" s="105" customFormat="1" ht="15.6" customHeight="1" thickTop="1">
      <c r="A145" s="1"/>
      <c r="B145" s="1"/>
      <c r="C145" s="13" t="s">
        <v>199</v>
      </c>
      <c r="D145" s="1"/>
      <c r="E145" s="1"/>
      <c r="F145" s="1782">
        <f>SUM(F141:G144)</f>
        <v>100977</v>
      </c>
      <c r="G145" s="1783"/>
      <c r="H145" s="1"/>
      <c r="I145" s="1"/>
      <c r="J145" s="14"/>
      <c r="K145" s="1"/>
      <c r="L145" s="1"/>
      <c r="M145" s="1"/>
      <c r="N145" s="1"/>
      <c r="O145" s="1"/>
      <c r="P145" s="1"/>
      <c r="T145" s="1643"/>
      <c r="U145" s="1644"/>
      <c r="V145" s="567"/>
      <c r="W145" s="567"/>
      <c r="X145" s="567"/>
      <c r="Y145" s="569"/>
      <c r="Z145" s="569"/>
      <c r="AA145" s="569"/>
      <c r="AB145" s="569"/>
      <c r="AC145" s="569"/>
      <c r="AD145" s="569"/>
      <c r="AE145" s="569"/>
      <c r="AF145" s="569"/>
      <c r="AG145" s="569"/>
      <c r="AH145" s="569"/>
      <c r="AI145" s="569"/>
      <c r="AJ145" s="569"/>
      <c r="AK145" s="569"/>
      <c r="AL145" s="569"/>
      <c r="AM145" s="569"/>
      <c r="AN145" s="569"/>
      <c r="AO145" s="569"/>
      <c r="AP145" s="569"/>
      <c r="AQ145" s="569"/>
      <c r="AR145" s="569"/>
      <c r="AS145" s="569"/>
      <c r="AT145" s="569"/>
      <c r="AU145" s="569"/>
      <c r="AV145" s="569"/>
      <c r="AW145" s="569"/>
      <c r="AX145" s="569"/>
      <c r="AY145" s="569"/>
      <c r="AZ145" s="569"/>
      <c r="BA145" s="569"/>
      <c r="BB145" s="569"/>
      <c r="BC145" s="569"/>
      <c r="BD145" s="569"/>
      <c r="BE145" s="569"/>
      <c r="BF145" s="569"/>
      <c r="BG145" s="569"/>
      <c r="BH145" s="569"/>
      <c r="BI145" s="569"/>
      <c r="BJ145" s="569"/>
      <c r="BK145" s="569"/>
      <c r="BL145" s="569"/>
      <c r="BM145" s="569"/>
      <c r="BN145" s="569"/>
      <c r="BO145" s="569"/>
      <c r="BP145" s="569"/>
      <c r="BQ145" s="569"/>
      <c r="BR145" s="569"/>
      <c r="BS145" s="569"/>
      <c r="BT145" s="569"/>
      <c r="BU145" s="569"/>
      <c r="BV145" s="569"/>
      <c r="BW145" s="569"/>
      <c r="BX145" s="569"/>
      <c r="BY145" s="569"/>
      <c r="BZ145" s="569"/>
      <c r="CA145" s="569"/>
      <c r="CB145" s="569"/>
      <c r="CC145" s="569"/>
      <c r="CD145" s="569"/>
      <c r="CE145" s="569"/>
      <c r="CF145" s="569"/>
      <c r="CG145" s="569"/>
      <c r="CH145" s="569"/>
      <c r="CI145" s="569"/>
      <c r="CJ145" s="569"/>
      <c r="CK145" s="569"/>
      <c r="CL145" s="569"/>
      <c r="CM145" s="569"/>
      <c r="CN145" s="569"/>
      <c r="CO145" s="569"/>
      <c r="CP145" s="569"/>
      <c r="CQ145" s="569"/>
      <c r="CR145" s="569"/>
      <c r="CS145" s="569"/>
      <c r="CT145" s="569"/>
      <c r="CU145" s="569"/>
      <c r="CV145" s="569"/>
      <c r="CW145" s="569"/>
      <c r="CX145" s="569"/>
      <c r="CY145" s="569"/>
      <c r="CZ145" s="569"/>
      <c r="DA145" s="569"/>
      <c r="DB145" s="569"/>
      <c r="DC145" s="569"/>
      <c r="DD145" s="569"/>
      <c r="DE145" s="569"/>
      <c r="DF145" s="569"/>
      <c r="DG145" s="569"/>
      <c r="DH145" s="569"/>
      <c r="DI145" s="569"/>
      <c r="DJ145" s="569"/>
      <c r="DK145" s="569"/>
      <c r="DL145" s="569"/>
      <c r="DM145" s="569"/>
      <c r="DN145" s="569"/>
      <c r="DO145" s="569"/>
      <c r="DP145" s="569"/>
      <c r="DQ145" s="569"/>
      <c r="DR145" s="569"/>
      <c r="DS145" s="569"/>
      <c r="DT145" s="569"/>
      <c r="DU145" s="569"/>
      <c r="DV145" s="569"/>
      <c r="DW145" s="569"/>
      <c r="DX145" s="569"/>
      <c r="DY145" s="569"/>
      <c r="DZ145" s="569"/>
      <c r="EA145" s="569"/>
      <c r="EB145" s="569"/>
      <c r="EC145" s="569"/>
      <c r="ED145" s="569"/>
      <c r="EE145" s="569"/>
      <c r="EF145" s="569"/>
      <c r="EG145" s="569"/>
      <c r="EH145" s="569"/>
      <c r="EI145" s="569"/>
      <c r="EJ145" s="569"/>
      <c r="EK145" s="569"/>
      <c r="EL145" s="569"/>
      <c r="EM145" s="569"/>
      <c r="EN145" s="569"/>
      <c r="EO145" s="569"/>
      <c r="EP145" s="569"/>
      <c r="EQ145" s="569"/>
      <c r="ER145" s="569"/>
      <c r="ES145" s="569"/>
      <c r="ET145" s="569"/>
      <c r="EU145" s="569"/>
      <c r="EV145" s="569"/>
      <c r="EW145" s="569"/>
      <c r="EX145" s="569"/>
      <c r="EY145" s="569"/>
      <c r="EZ145" s="569"/>
      <c r="FA145" s="569"/>
      <c r="FB145" s="569"/>
      <c r="FC145" s="569"/>
      <c r="FD145" s="569"/>
      <c r="FE145" s="569"/>
      <c r="FF145" s="569"/>
      <c r="FG145" s="569"/>
      <c r="FH145" s="569"/>
      <c r="FI145" s="569"/>
      <c r="FJ145" s="569"/>
      <c r="FK145" s="569"/>
      <c r="FL145" s="569"/>
      <c r="FM145" s="569"/>
      <c r="FN145" s="569"/>
      <c r="FO145" s="569"/>
      <c r="FP145" s="569"/>
      <c r="FQ145" s="569"/>
      <c r="FR145" s="569"/>
      <c r="FS145" s="569"/>
      <c r="FT145" s="569"/>
      <c r="FU145" s="569"/>
      <c r="FV145" s="569"/>
      <c r="FW145" s="569"/>
      <c r="FX145" s="569"/>
      <c r="FY145" s="570"/>
      <c r="FZ145" s="570"/>
      <c r="GA145" s="570"/>
      <c r="GB145" s="570"/>
      <c r="GC145" s="570"/>
      <c r="GD145" s="570"/>
      <c r="GE145" s="570"/>
      <c r="GF145" s="570"/>
      <c r="GG145" s="570"/>
      <c r="GH145" s="570"/>
      <c r="GI145" s="570"/>
      <c r="GJ145" s="570"/>
      <c r="GK145" s="570"/>
      <c r="GL145" s="570"/>
      <c r="GM145" s="570"/>
      <c r="GN145" s="570"/>
      <c r="GO145" s="570"/>
      <c r="GP145" s="569"/>
      <c r="GQ145" s="569"/>
      <c r="GR145" s="569"/>
      <c r="GS145" s="569"/>
      <c r="GT145" s="569"/>
      <c r="GU145" s="569"/>
      <c r="GV145" s="571"/>
      <c r="GW145" s="569"/>
      <c r="GX145" s="569"/>
      <c r="GY145" s="569"/>
      <c r="GZ145" s="569"/>
      <c r="HA145" s="569"/>
      <c r="HB145" s="569"/>
      <c r="HC145" s="569"/>
      <c r="HD145" s="569"/>
      <c r="HE145" s="569"/>
      <c r="HF145" s="569"/>
      <c r="HG145" s="569"/>
      <c r="HH145" s="569"/>
      <c r="HI145" s="569"/>
      <c r="HJ145" s="569"/>
      <c r="HK145" s="569"/>
      <c r="HL145" s="571"/>
      <c r="HM145" s="571"/>
      <c r="HN145" s="569"/>
      <c r="HO145" s="569"/>
      <c r="HP145" s="111"/>
      <c r="HQ145" s="111"/>
      <c r="HR145" s="111"/>
      <c r="HS145" s="111"/>
      <c r="HT145" s="111"/>
      <c r="HU145" s="111"/>
      <c r="HV145" s="111"/>
      <c r="HW145" s="111"/>
      <c r="HX145" s="111"/>
      <c r="HY145" s="111"/>
      <c r="HZ145" s="111"/>
      <c r="IA145" s="111"/>
      <c r="IB145" s="111"/>
      <c r="IC145" s="111"/>
      <c r="ID145" s="111"/>
      <c r="IE145" s="111"/>
      <c r="IF145" s="111"/>
      <c r="IG145" s="111"/>
      <c r="IH145" s="111"/>
      <c r="II145" s="111"/>
      <c r="IJ145" s="111"/>
      <c r="IK145" s="111"/>
      <c r="IL145" s="111"/>
      <c r="IM145" s="111"/>
      <c r="IN145" s="111"/>
      <c r="IO145" s="111"/>
      <c r="IP145" s="111"/>
      <c r="IQ145" s="111"/>
      <c r="IR145" s="111"/>
      <c r="IS145" s="111"/>
      <c r="IT145" s="111"/>
      <c r="IU145" s="111"/>
    </row>
    <row r="146" spans="1:255" s="105" customFormat="1" ht="6" customHeight="1" thickBot="1">
      <c r="A146" s="1"/>
      <c r="B146" s="1"/>
      <c r="C146" s="11"/>
      <c r="D146" s="13"/>
      <c r="E146" s="1"/>
      <c r="F146" s="14"/>
      <c r="G146" s="14"/>
      <c r="H146" s="1"/>
      <c r="I146" s="1"/>
      <c r="J146" s="14"/>
      <c r="K146" s="1"/>
      <c r="L146" s="1"/>
      <c r="M146" s="11"/>
      <c r="N146" s="1"/>
      <c r="O146" s="13"/>
      <c r="P146" s="6"/>
      <c r="T146" s="1643"/>
      <c r="U146" s="1644"/>
      <c r="V146" s="569"/>
      <c r="W146" s="569"/>
      <c r="X146" s="569"/>
      <c r="Y146" s="569"/>
      <c r="Z146" s="569"/>
      <c r="AA146" s="569"/>
      <c r="AB146" s="569"/>
      <c r="AC146" s="569"/>
      <c r="AD146" s="569"/>
      <c r="AE146" s="569"/>
      <c r="AF146" s="569"/>
      <c r="AG146" s="569"/>
      <c r="AH146" s="569"/>
      <c r="AI146" s="569"/>
      <c r="AJ146" s="569"/>
      <c r="AK146" s="569"/>
      <c r="AL146" s="569"/>
      <c r="AM146" s="569"/>
      <c r="AN146" s="569"/>
      <c r="AO146" s="569"/>
      <c r="AP146" s="569"/>
      <c r="AQ146" s="569"/>
      <c r="AR146" s="569"/>
      <c r="AS146" s="569"/>
      <c r="AT146" s="569"/>
      <c r="AU146" s="569"/>
      <c r="AV146" s="569"/>
      <c r="AW146" s="569"/>
      <c r="AX146" s="569"/>
      <c r="AY146" s="569"/>
      <c r="AZ146" s="569"/>
      <c r="BA146" s="569"/>
      <c r="BB146" s="569"/>
      <c r="BC146" s="569"/>
      <c r="BD146" s="569"/>
      <c r="BE146" s="569"/>
      <c r="BF146" s="569"/>
      <c r="BG146" s="569"/>
      <c r="BH146" s="569"/>
      <c r="BI146" s="569"/>
      <c r="BJ146" s="569"/>
      <c r="BK146" s="569"/>
      <c r="BL146" s="569"/>
      <c r="BM146" s="569"/>
      <c r="BN146" s="569"/>
      <c r="BO146" s="569"/>
      <c r="BP146" s="569"/>
      <c r="BQ146" s="569"/>
      <c r="BR146" s="569"/>
      <c r="BS146" s="569"/>
      <c r="BT146" s="569"/>
      <c r="BU146" s="569"/>
      <c r="BV146" s="569"/>
      <c r="BW146" s="569"/>
      <c r="BX146" s="569"/>
      <c r="BY146" s="569"/>
      <c r="BZ146" s="569"/>
      <c r="CA146" s="569"/>
      <c r="CB146" s="569"/>
      <c r="CC146" s="569"/>
      <c r="CD146" s="569"/>
      <c r="CE146" s="569"/>
      <c r="CF146" s="569"/>
      <c r="CG146" s="569"/>
      <c r="CH146" s="569"/>
      <c r="CI146" s="569"/>
      <c r="CJ146" s="569"/>
      <c r="CK146" s="569"/>
      <c r="CL146" s="569"/>
      <c r="CM146" s="569"/>
      <c r="CN146" s="569"/>
      <c r="CO146" s="569"/>
      <c r="CP146" s="569"/>
      <c r="CQ146" s="569"/>
      <c r="CR146" s="569"/>
      <c r="CS146" s="569"/>
      <c r="CT146" s="569"/>
      <c r="CU146" s="569"/>
      <c r="CV146" s="569"/>
      <c r="CW146" s="569"/>
      <c r="CX146" s="569"/>
      <c r="CY146" s="569"/>
      <c r="CZ146" s="569"/>
      <c r="DA146" s="569"/>
      <c r="DB146" s="569"/>
      <c r="DC146" s="569"/>
      <c r="DD146" s="569"/>
      <c r="DE146" s="569"/>
      <c r="DF146" s="569"/>
      <c r="DG146" s="569"/>
      <c r="DH146" s="569"/>
      <c r="DI146" s="569"/>
      <c r="DJ146" s="569"/>
      <c r="DK146" s="569"/>
      <c r="DL146" s="569"/>
      <c r="DM146" s="569"/>
      <c r="DN146" s="569"/>
      <c r="DO146" s="569"/>
      <c r="DP146" s="569"/>
      <c r="DQ146" s="569"/>
      <c r="DR146" s="569"/>
      <c r="DS146" s="569"/>
      <c r="DT146" s="569"/>
      <c r="DU146" s="569"/>
      <c r="DV146" s="569"/>
      <c r="DW146" s="569"/>
      <c r="DX146" s="569"/>
      <c r="DY146" s="569"/>
      <c r="DZ146" s="569"/>
      <c r="EA146" s="569"/>
      <c r="EB146" s="569"/>
      <c r="EC146" s="569"/>
      <c r="ED146" s="569"/>
      <c r="EE146" s="569"/>
      <c r="EF146" s="569"/>
      <c r="EG146" s="569"/>
      <c r="EH146" s="569"/>
      <c r="EI146" s="569"/>
      <c r="EJ146" s="569"/>
      <c r="EK146" s="569"/>
      <c r="EL146" s="569"/>
      <c r="EM146" s="569"/>
      <c r="EN146" s="569"/>
      <c r="EO146" s="569"/>
      <c r="EP146" s="569"/>
      <c r="EQ146" s="569"/>
      <c r="ER146" s="569"/>
      <c r="ES146" s="569"/>
      <c r="ET146" s="569"/>
      <c r="EU146" s="569"/>
      <c r="EV146" s="569"/>
      <c r="EW146" s="569"/>
      <c r="EX146" s="569"/>
      <c r="EY146" s="569"/>
      <c r="EZ146" s="569"/>
      <c r="FA146" s="569"/>
      <c r="FB146" s="569"/>
      <c r="FC146" s="569"/>
      <c r="FD146" s="569"/>
      <c r="FE146" s="569"/>
      <c r="FF146" s="569"/>
      <c r="FG146" s="569"/>
      <c r="FH146" s="569"/>
      <c r="FI146" s="569"/>
      <c r="FJ146" s="569"/>
      <c r="FK146" s="569"/>
      <c r="FL146" s="569"/>
      <c r="FM146" s="569"/>
      <c r="FN146" s="569"/>
      <c r="FO146" s="569"/>
      <c r="FP146" s="569"/>
      <c r="FQ146" s="569"/>
      <c r="FR146" s="569"/>
      <c r="FS146" s="569"/>
      <c r="FT146" s="569"/>
      <c r="FU146" s="569"/>
      <c r="FV146" s="569"/>
      <c r="FW146" s="569"/>
      <c r="FX146" s="569"/>
      <c r="FY146" s="570"/>
      <c r="FZ146" s="570"/>
      <c r="GA146" s="570"/>
      <c r="GB146" s="570"/>
      <c r="GC146" s="570"/>
      <c r="GD146" s="570"/>
      <c r="GE146" s="570"/>
      <c r="GF146" s="570"/>
      <c r="GG146" s="570"/>
      <c r="GH146" s="570"/>
      <c r="GI146" s="570"/>
      <c r="GJ146" s="570"/>
      <c r="GK146" s="570"/>
      <c r="GL146" s="570"/>
      <c r="GM146" s="570"/>
      <c r="GN146" s="570"/>
      <c r="GO146" s="570"/>
      <c r="GP146" s="569"/>
      <c r="GQ146" s="569"/>
      <c r="GR146" s="569"/>
      <c r="GS146" s="569"/>
      <c r="GT146" s="569"/>
      <c r="GU146" s="569"/>
      <c r="GV146" s="571"/>
      <c r="GW146" s="569"/>
      <c r="GX146" s="569"/>
      <c r="GY146" s="569"/>
      <c r="GZ146" s="569"/>
      <c r="HA146" s="569"/>
      <c r="HB146" s="569"/>
      <c r="HC146" s="569"/>
      <c r="HD146" s="569"/>
      <c r="HE146" s="569"/>
      <c r="HF146" s="569"/>
      <c r="HG146" s="569"/>
      <c r="HH146" s="569"/>
      <c r="HI146" s="569"/>
      <c r="HJ146" s="569"/>
      <c r="HK146" s="569"/>
      <c r="HL146" s="571"/>
      <c r="HM146" s="571"/>
      <c r="HN146" s="569"/>
      <c r="HO146" s="569"/>
      <c r="HP146" s="111"/>
      <c r="HQ146" s="111"/>
      <c r="HR146" s="111"/>
      <c r="HS146" s="111"/>
      <c r="HT146" s="111"/>
      <c r="HU146" s="111"/>
      <c r="HV146" s="111"/>
      <c r="HW146" s="111"/>
      <c r="HX146" s="111"/>
      <c r="HY146" s="111"/>
      <c r="HZ146" s="111"/>
      <c r="IA146" s="111"/>
      <c r="IB146" s="111"/>
      <c r="IC146" s="111"/>
      <c r="ID146" s="111"/>
      <c r="IE146" s="111"/>
      <c r="IF146" s="111"/>
      <c r="IG146" s="111"/>
      <c r="IH146" s="111"/>
      <c r="II146" s="111"/>
      <c r="IJ146" s="111"/>
      <c r="IK146" s="111"/>
      <c r="IL146" s="111"/>
      <c r="IM146" s="111"/>
      <c r="IN146" s="111"/>
      <c r="IO146" s="111"/>
      <c r="IP146" s="111"/>
      <c r="IQ146" s="111"/>
      <c r="IR146" s="111"/>
      <c r="IS146" s="111"/>
      <c r="IT146" s="111"/>
      <c r="IU146" s="111"/>
    </row>
    <row r="147" spans="1:255" s="105" customFormat="1" ht="13.15" customHeight="1" thickBot="1">
      <c r="A147" s="1"/>
      <c r="B147" s="11" t="s">
        <v>1371</v>
      </c>
      <c r="C147" s="1"/>
      <c r="D147" s="10"/>
      <c r="E147" s="1"/>
      <c r="F147" s="1"/>
      <c r="G147" s="1"/>
      <c r="H147" s="1"/>
      <c r="I147" s="11" t="s">
        <v>1372</v>
      </c>
      <c r="J147" s="1"/>
      <c r="K147" s="1"/>
      <c r="L147" s="1"/>
      <c r="M147" s="1"/>
      <c r="N147" s="11" t="s">
        <v>1461</v>
      </c>
      <c r="O147" s="1"/>
      <c r="P147" s="496">
        <f>IF(OR('Part VII-Pro Forma'!$B$20 = "Choose Mgt Fee",'Part VII-Pro Forma'!$B$20 = "Choose One!"), 0,- 'Part VII-Pro Forma'!$B$20)</f>
        <v>40320</v>
      </c>
      <c r="T147" s="1643"/>
      <c r="U147" s="1644"/>
      <c r="V147" s="567"/>
      <c r="W147" s="567"/>
      <c r="X147" s="567"/>
      <c r="Y147" s="569"/>
      <c r="Z147" s="569"/>
      <c r="AA147" s="569"/>
      <c r="AB147" s="569"/>
      <c r="AC147" s="569"/>
      <c r="AD147" s="569"/>
      <c r="AE147" s="569"/>
      <c r="AF147" s="569"/>
      <c r="AG147" s="569"/>
      <c r="AH147" s="569"/>
      <c r="AI147" s="569"/>
      <c r="AJ147" s="569"/>
      <c r="AK147" s="569"/>
      <c r="AL147" s="569"/>
      <c r="AM147" s="569"/>
      <c r="AN147" s="569"/>
      <c r="AO147" s="569"/>
      <c r="AP147" s="569"/>
      <c r="AQ147" s="569"/>
      <c r="AR147" s="569"/>
      <c r="AS147" s="569"/>
      <c r="AT147" s="569"/>
      <c r="AU147" s="569"/>
      <c r="AV147" s="569"/>
      <c r="AW147" s="569"/>
      <c r="AX147" s="569"/>
      <c r="AY147" s="569"/>
      <c r="AZ147" s="569"/>
      <c r="BA147" s="569"/>
      <c r="BB147" s="569"/>
      <c r="BC147" s="569"/>
      <c r="BD147" s="569"/>
      <c r="BE147" s="569"/>
      <c r="BF147" s="569"/>
      <c r="BG147" s="569"/>
      <c r="BH147" s="569"/>
      <c r="BI147" s="569"/>
      <c r="BJ147" s="569"/>
      <c r="BK147" s="569"/>
      <c r="BL147" s="569"/>
      <c r="BM147" s="569"/>
      <c r="BN147" s="569"/>
      <c r="BO147" s="569"/>
      <c r="BP147" s="569"/>
      <c r="BQ147" s="569"/>
      <c r="BR147" s="569"/>
      <c r="BS147" s="569"/>
      <c r="BT147" s="569"/>
      <c r="BU147" s="569"/>
      <c r="BV147" s="569"/>
      <c r="BW147" s="569"/>
      <c r="BX147" s="569"/>
      <c r="BY147" s="569"/>
      <c r="BZ147" s="569"/>
      <c r="CA147" s="569"/>
      <c r="CB147" s="569"/>
      <c r="CC147" s="569"/>
      <c r="CD147" s="569"/>
      <c r="CE147" s="569"/>
      <c r="CF147" s="569"/>
      <c r="CG147" s="569"/>
      <c r="CH147" s="569"/>
      <c r="CI147" s="569"/>
      <c r="CJ147" s="569"/>
      <c r="CK147" s="569"/>
      <c r="CL147" s="569"/>
      <c r="CM147" s="569"/>
      <c r="CN147" s="569"/>
      <c r="CO147" s="569"/>
      <c r="CP147" s="569"/>
      <c r="CQ147" s="569"/>
      <c r="CR147" s="569"/>
      <c r="CS147" s="569"/>
      <c r="CT147" s="569"/>
      <c r="CU147" s="569"/>
      <c r="CV147" s="569"/>
      <c r="CW147" s="569"/>
      <c r="CX147" s="569"/>
      <c r="CY147" s="569"/>
      <c r="CZ147" s="569"/>
      <c r="DA147" s="569"/>
      <c r="DB147" s="569"/>
      <c r="DC147" s="569"/>
      <c r="DD147" s="569"/>
      <c r="DE147" s="569"/>
      <c r="DF147" s="569"/>
      <c r="DG147" s="569"/>
      <c r="DH147" s="569"/>
      <c r="DI147" s="569"/>
      <c r="DJ147" s="569"/>
      <c r="DK147" s="569"/>
      <c r="DL147" s="569"/>
      <c r="DM147" s="569"/>
      <c r="DN147" s="569"/>
      <c r="DO147" s="569"/>
      <c r="DP147" s="569"/>
      <c r="DQ147" s="569"/>
      <c r="DR147" s="569"/>
      <c r="DS147" s="569"/>
      <c r="DT147" s="569"/>
      <c r="DU147" s="569"/>
      <c r="DV147" s="569"/>
      <c r="DW147" s="569"/>
      <c r="DX147" s="569"/>
      <c r="DY147" s="569"/>
      <c r="DZ147" s="569"/>
      <c r="EA147" s="569"/>
      <c r="EB147" s="569"/>
      <c r="EC147" s="569"/>
      <c r="ED147" s="569"/>
      <c r="EE147" s="569"/>
      <c r="EF147" s="569"/>
      <c r="EG147" s="569"/>
      <c r="EH147" s="569"/>
      <c r="EI147" s="569"/>
      <c r="EJ147" s="569"/>
      <c r="EK147" s="569"/>
      <c r="EL147" s="569"/>
      <c r="EM147" s="569"/>
      <c r="EN147" s="569"/>
      <c r="EO147" s="569"/>
      <c r="EP147" s="569"/>
      <c r="EQ147" s="569"/>
      <c r="ER147" s="569"/>
      <c r="ES147" s="569"/>
      <c r="ET147" s="569"/>
      <c r="EU147" s="569"/>
      <c r="EV147" s="569"/>
      <c r="EW147" s="569"/>
      <c r="EX147" s="569"/>
      <c r="EY147" s="569"/>
      <c r="EZ147" s="569"/>
      <c r="FA147" s="569"/>
      <c r="FB147" s="569"/>
      <c r="FC147" s="569"/>
      <c r="FD147" s="569"/>
      <c r="FE147" s="569"/>
      <c r="FF147" s="569"/>
      <c r="FG147" s="569"/>
      <c r="FH147" s="569"/>
      <c r="FI147" s="569"/>
      <c r="FJ147" s="569"/>
      <c r="FK147" s="569"/>
      <c r="FL147" s="569"/>
      <c r="FM147" s="569"/>
      <c r="FN147" s="569"/>
      <c r="FO147" s="569"/>
      <c r="FP147" s="569"/>
      <c r="FQ147" s="569"/>
      <c r="FR147" s="569"/>
      <c r="FS147" s="569"/>
      <c r="FT147" s="569"/>
      <c r="FU147" s="569"/>
      <c r="FV147" s="569"/>
      <c r="FW147" s="569"/>
      <c r="FX147" s="569"/>
      <c r="FY147" s="570"/>
      <c r="FZ147" s="570"/>
      <c r="GA147" s="570"/>
      <c r="GB147" s="570"/>
      <c r="GC147" s="570"/>
      <c r="GD147" s="570"/>
      <c r="GE147" s="570"/>
      <c r="GF147" s="570"/>
      <c r="GG147" s="570"/>
      <c r="GH147" s="570"/>
      <c r="GI147" s="570"/>
      <c r="GJ147" s="570"/>
      <c r="GK147" s="570"/>
      <c r="GL147" s="570"/>
      <c r="GM147" s="570"/>
      <c r="GN147" s="570"/>
      <c r="GO147" s="570"/>
      <c r="GP147" s="569"/>
      <c r="GQ147" s="569"/>
      <c r="GR147" s="569"/>
      <c r="GS147" s="569"/>
      <c r="GT147" s="569"/>
      <c r="GU147" s="569"/>
      <c r="GV147" s="571"/>
      <c r="GW147" s="569"/>
      <c r="GX147" s="569"/>
      <c r="GY147" s="569"/>
      <c r="GZ147" s="569"/>
      <c r="HA147" s="569"/>
      <c r="HB147" s="569"/>
      <c r="HC147" s="569"/>
      <c r="HD147" s="569"/>
      <c r="HE147" s="569"/>
      <c r="HF147" s="569"/>
      <c r="HG147" s="569"/>
      <c r="HH147" s="569"/>
      <c r="HI147" s="569"/>
      <c r="HJ147" s="569"/>
      <c r="HK147" s="569"/>
      <c r="HL147" s="571"/>
      <c r="HM147" s="571"/>
      <c r="HN147" s="569"/>
      <c r="HO147" s="569"/>
      <c r="HP147" s="111"/>
      <c r="HQ147" s="111"/>
      <c r="HR147" s="111"/>
      <c r="HS147" s="111"/>
      <c r="HT147" s="111"/>
      <c r="HU147" s="111"/>
      <c r="HV147" s="111"/>
      <c r="HW147" s="111"/>
      <c r="HX147" s="111"/>
      <c r="HY147" s="111"/>
      <c r="HZ147" s="111"/>
      <c r="IA147" s="111"/>
      <c r="IB147" s="111"/>
      <c r="IC147" s="111"/>
      <c r="ID147" s="111"/>
      <c r="IE147" s="111"/>
      <c r="IF147" s="111"/>
      <c r="IG147" s="111"/>
      <c r="IH147" s="111"/>
      <c r="II147" s="111"/>
      <c r="IJ147" s="111"/>
      <c r="IK147" s="111"/>
      <c r="IL147" s="111"/>
      <c r="IM147" s="111"/>
      <c r="IN147" s="111"/>
      <c r="IO147" s="111"/>
      <c r="IP147" s="111"/>
      <c r="IQ147" s="111"/>
      <c r="IR147" s="111"/>
      <c r="IS147" s="111"/>
      <c r="IT147" s="111"/>
      <c r="IU147" s="111"/>
    </row>
    <row r="148" spans="1:255" s="105" customFormat="1" ht="15.6" customHeight="1">
      <c r="A148" s="1"/>
      <c r="B148" s="1" t="s">
        <v>1453</v>
      </c>
      <c r="C148" s="1"/>
      <c r="D148" s="10"/>
      <c r="E148" s="1"/>
      <c r="F148" s="1780">
        <v>1750</v>
      </c>
      <c r="G148" s="1781"/>
      <c r="H148" s="1"/>
      <c r="I148" s="1" t="s">
        <v>1702</v>
      </c>
      <c r="J148" s="1"/>
      <c r="K148" s="1800">
        <v>500</v>
      </c>
      <c r="L148" s="1801"/>
      <c r="M148" s="1"/>
      <c r="N148" s="480">
        <f>+P147/(M62*0.93)</f>
        <v>516.12903225806451</v>
      </c>
      <c r="O148" s="30" t="s">
        <v>3019</v>
      </c>
      <c r="P148" s="1"/>
      <c r="T148" s="1643"/>
      <c r="U148" s="1644"/>
      <c r="V148" s="567"/>
      <c r="W148" s="567"/>
      <c r="X148" s="567"/>
      <c r="Y148" s="569"/>
      <c r="Z148" s="569"/>
      <c r="AA148" s="569"/>
      <c r="AB148" s="569"/>
      <c r="AC148" s="569"/>
      <c r="AD148" s="569"/>
      <c r="AE148" s="569"/>
      <c r="AF148" s="569"/>
      <c r="AG148" s="569"/>
      <c r="AH148" s="569"/>
      <c r="AI148" s="569"/>
      <c r="AJ148" s="569"/>
      <c r="AK148" s="569"/>
      <c r="AL148" s="569"/>
      <c r="AM148" s="569"/>
      <c r="AN148" s="569"/>
      <c r="AO148" s="569"/>
      <c r="AP148" s="569"/>
      <c r="AQ148" s="569"/>
      <c r="AR148" s="569"/>
      <c r="AS148" s="569"/>
      <c r="AT148" s="569"/>
      <c r="AU148" s="569"/>
      <c r="AV148" s="569"/>
      <c r="AW148" s="569"/>
      <c r="AX148" s="569"/>
      <c r="AY148" s="569"/>
      <c r="AZ148" s="569"/>
      <c r="BA148" s="569"/>
      <c r="BB148" s="569"/>
      <c r="BC148" s="569"/>
      <c r="BD148" s="569"/>
      <c r="BE148" s="569"/>
      <c r="BF148" s="569"/>
      <c r="BG148" s="569"/>
      <c r="BH148" s="569"/>
      <c r="BI148" s="569"/>
      <c r="BJ148" s="569"/>
      <c r="BK148" s="569"/>
      <c r="BL148" s="569"/>
      <c r="BM148" s="569"/>
      <c r="BN148" s="569"/>
      <c r="BO148" s="569"/>
      <c r="BP148" s="569"/>
      <c r="BQ148" s="569"/>
      <c r="BR148" s="569"/>
      <c r="BS148" s="569"/>
      <c r="BT148" s="569"/>
      <c r="BU148" s="569"/>
      <c r="BV148" s="569"/>
      <c r="BW148" s="569"/>
      <c r="BX148" s="569"/>
      <c r="BY148" s="569"/>
      <c r="BZ148" s="569"/>
      <c r="CA148" s="569"/>
      <c r="CB148" s="569"/>
      <c r="CC148" s="569"/>
      <c r="CD148" s="569"/>
      <c r="CE148" s="569"/>
      <c r="CF148" s="569"/>
      <c r="CG148" s="569"/>
      <c r="CH148" s="569"/>
      <c r="CI148" s="569"/>
      <c r="CJ148" s="569"/>
      <c r="CK148" s="569"/>
      <c r="CL148" s="569"/>
      <c r="CM148" s="569"/>
      <c r="CN148" s="569"/>
      <c r="CO148" s="569"/>
      <c r="CP148" s="569"/>
      <c r="CQ148" s="569"/>
      <c r="CR148" s="569"/>
      <c r="CS148" s="569"/>
      <c r="CT148" s="569"/>
      <c r="CU148" s="569"/>
      <c r="CV148" s="569"/>
      <c r="CW148" s="569"/>
      <c r="CX148" s="569"/>
      <c r="CY148" s="569"/>
      <c r="CZ148" s="569"/>
      <c r="DA148" s="569"/>
      <c r="DB148" s="569"/>
      <c r="DC148" s="569"/>
      <c r="DD148" s="569"/>
      <c r="DE148" s="569"/>
      <c r="DF148" s="569"/>
      <c r="DG148" s="569"/>
      <c r="DH148" s="569"/>
      <c r="DI148" s="569"/>
      <c r="DJ148" s="569"/>
      <c r="DK148" s="569"/>
      <c r="DL148" s="569"/>
      <c r="DM148" s="569"/>
      <c r="DN148" s="569"/>
      <c r="DO148" s="569"/>
      <c r="DP148" s="569"/>
      <c r="DQ148" s="569"/>
      <c r="DR148" s="569"/>
      <c r="DS148" s="569"/>
      <c r="DT148" s="569"/>
      <c r="DU148" s="569"/>
      <c r="DV148" s="569"/>
      <c r="DW148" s="569"/>
      <c r="DX148" s="569"/>
      <c r="DY148" s="569"/>
      <c r="DZ148" s="569"/>
      <c r="EA148" s="569"/>
      <c r="EB148" s="569"/>
      <c r="EC148" s="569"/>
      <c r="ED148" s="569"/>
      <c r="EE148" s="569"/>
      <c r="EF148" s="569"/>
      <c r="EG148" s="569"/>
      <c r="EH148" s="569"/>
      <c r="EI148" s="569"/>
      <c r="EJ148" s="569"/>
      <c r="EK148" s="569"/>
      <c r="EL148" s="569"/>
      <c r="EM148" s="569"/>
      <c r="EN148" s="569"/>
      <c r="EO148" s="569"/>
      <c r="EP148" s="569"/>
      <c r="EQ148" s="569"/>
      <c r="ER148" s="569"/>
      <c r="ES148" s="569"/>
      <c r="ET148" s="569"/>
      <c r="EU148" s="569"/>
      <c r="EV148" s="569"/>
      <c r="EW148" s="569"/>
      <c r="EX148" s="569"/>
      <c r="EY148" s="569"/>
      <c r="EZ148" s="569"/>
      <c r="FA148" s="569"/>
      <c r="FB148" s="569"/>
      <c r="FC148" s="569"/>
      <c r="FD148" s="569"/>
      <c r="FE148" s="569"/>
      <c r="FF148" s="569"/>
      <c r="FG148" s="569"/>
      <c r="FH148" s="569"/>
      <c r="FI148" s="569"/>
      <c r="FJ148" s="569"/>
      <c r="FK148" s="569"/>
      <c r="FL148" s="569"/>
      <c r="FM148" s="569"/>
      <c r="FN148" s="569"/>
      <c r="FO148" s="569"/>
      <c r="FP148" s="569"/>
      <c r="FQ148" s="569"/>
      <c r="FR148" s="569"/>
      <c r="FS148" s="569"/>
      <c r="FT148" s="569"/>
      <c r="FU148" s="569"/>
      <c r="FV148" s="569"/>
      <c r="FW148" s="569"/>
      <c r="FX148" s="569"/>
      <c r="FY148" s="570"/>
      <c r="FZ148" s="570"/>
      <c r="GA148" s="570"/>
      <c r="GB148" s="570"/>
      <c r="GC148" s="570"/>
      <c r="GD148" s="570"/>
      <c r="GE148" s="570"/>
      <c r="GF148" s="570"/>
      <c r="GG148" s="570"/>
      <c r="GH148" s="570"/>
      <c r="GI148" s="570"/>
      <c r="GJ148" s="570"/>
      <c r="GK148" s="570"/>
      <c r="GL148" s="570"/>
      <c r="GM148" s="570"/>
      <c r="GN148" s="570"/>
      <c r="GO148" s="570"/>
      <c r="GP148" s="569"/>
      <c r="GQ148" s="569"/>
      <c r="GR148" s="569"/>
      <c r="GS148" s="569"/>
      <c r="GT148" s="569"/>
      <c r="GU148" s="569"/>
      <c r="GV148" s="571"/>
      <c r="GW148" s="569"/>
      <c r="GX148" s="569"/>
      <c r="GY148" s="569"/>
      <c r="GZ148" s="569"/>
      <c r="HA148" s="569"/>
      <c r="HB148" s="569"/>
      <c r="HC148" s="569"/>
      <c r="HD148" s="569"/>
      <c r="HE148" s="569"/>
      <c r="HF148" s="569"/>
      <c r="HG148" s="569"/>
      <c r="HH148" s="569"/>
      <c r="HI148" s="569"/>
      <c r="HJ148" s="569"/>
      <c r="HK148" s="569"/>
      <c r="HL148" s="571"/>
      <c r="HM148" s="571"/>
      <c r="HN148" s="569"/>
      <c r="HO148" s="569"/>
      <c r="HP148" s="111"/>
      <c r="HQ148" s="111"/>
      <c r="HR148" s="111"/>
      <c r="HS148" s="111"/>
      <c r="HT148" s="111"/>
      <c r="HU148" s="111"/>
      <c r="HV148" s="111"/>
      <c r="HW148" s="111"/>
      <c r="HX148" s="111"/>
      <c r="HY148" s="111"/>
      <c r="HZ148" s="111"/>
      <c r="IA148" s="111"/>
      <c r="IB148" s="111"/>
      <c r="IC148" s="111"/>
      <c r="ID148" s="111"/>
      <c r="IE148" s="111"/>
      <c r="IF148" s="111"/>
      <c r="IG148" s="111"/>
      <c r="IH148" s="111"/>
      <c r="II148" s="111"/>
      <c r="IJ148" s="111"/>
      <c r="IK148" s="111"/>
      <c r="IL148" s="111"/>
      <c r="IM148" s="111"/>
      <c r="IN148" s="111"/>
      <c r="IO148" s="111"/>
      <c r="IP148" s="111"/>
      <c r="IQ148" s="111"/>
      <c r="IR148" s="111"/>
      <c r="IS148" s="111"/>
      <c r="IT148" s="111"/>
      <c r="IU148" s="111"/>
    </row>
    <row r="149" spans="1:255" s="105" customFormat="1" ht="15.6" customHeight="1">
      <c r="A149" s="1"/>
      <c r="B149" s="1" t="s">
        <v>1454</v>
      </c>
      <c r="C149" s="1"/>
      <c r="D149" s="10"/>
      <c r="E149" s="1"/>
      <c r="F149" s="1780">
        <v>7600</v>
      </c>
      <c r="G149" s="1781"/>
      <c r="H149" s="1"/>
      <c r="I149" s="1" t="s">
        <v>2179</v>
      </c>
      <c r="J149" s="1"/>
      <c r="K149" s="1802">
        <v>7000</v>
      </c>
      <c r="L149" s="1803"/>
      <c r="M149" s="1"/>
      <c r="N149" s="480">
        <f>+P147/(M62*0.93)/12</f>
        <v>43.01075268817204</v>
      </c>
      <c r="O149" s="30" t="s">
        <v>3021</v>
      </c>
      <c r="P149" s="1"/>
      <c r="T149" s="1643"/>
      <c r="U149" s="1644"/>
      <c r="V149" s="567"/>
      <c r="W149" s="567"/>
      <c r="X149" s="567"/>
      <c r="Y149" s="569"/>
      <c r="Z149" s="569"/>
      <c r="AA149" s="569"/>
      <c r="AB149" s="569"/>
      <c r="AC149" s="569"/>
      <c r="AD149" s="569"/>
      <c r="AE149" s="569"/>
      <c r="AF149" s="569"/>
      <c r="AG149" s="569"/>
      <c r="AH149" s="569"/>
      <c r="AI149" s="569"/>
      <c r="AJ149" s="569"/>
      <c r="AK149" s="569"/>
      <c r="AL149" s="569"/>
      <c r="AM149" s="569"/>
      <c r="AN149" s="569"/>
      <c r="AO149" s="569"/>
      <c r="AP149" s="569"/>
      <c r="AQ149" s="569"/>
      <c r="AR149" s="569"/>
      <c r="AS149" s="569"/>
      <c r="AT149" s="569"/>
      <c r="AU149" s="569"/>
      <c r="AV149" s="569"/>
      <c r="AW149" s="569"/>
      <c r="AX149" s="569"/>
      <c r="AY149" s="569"/>
      <c r="AZ149" s="569"/>
      <c r="BA149" s="569"/>
      <c r="BB149" s="569"/>
      <c r="BC149" s="569"/>
      <c r="BD149" s="569"/>
      <c r="BE149" s="569"/>
      <c r="BF149" s="569"/>
      <c r="BG149" s="569"/>
      <c r="BH149" s="569"/>
      <c r="BI149" s="569"/>
      <c r="BJ149" s="569"/>
      <c r="BK149" s="569"/>
      <c r="BL149" s="569"/>
      <c r="BM149" s="569"/>
      <c r="BN149" s="569"/>
      <c r="BO149" s="569"/>
      <c r="BP149" s="569"/>
      <c r="BQ149" s="569"/>
      <c r="BR149" s="569"/>
      <c r="BS149" s="569"/>
      <c r="BT149" s="569"/>
      <c r="BU149" s="569"/>
      <c r="BV149" s="569"/>
      <c r="BW149" s="569"/>
      <c r="BX149" s="569"/>
      <c r="BY149" s="569"/>
      <c r="BZ149" s="569"/>
      <c r="CA149" s="569"/>
      <c r="CB149" s="569"/>
      <c r="CC149" s="569"/>
      <c r="CD149" s="569"/>
      <c r="CE149" s="569"/>
      <c r="CF149" s="569"/>
      <c r="CG149" s="569"/>
      <c r="CH149" s="569"/>
      <c r="CI149" s="569"/>
      <c r="CJ149" s="569"/>
      <c r="CK149" s="569"/>
      <c r="CL149" s="569"/>
      <c r="CM149" s="569"/>
      <c r="CN149" s="569"/>
      <c r="CO149" s="569"/>
      <c r="CP149" s="569"/>
      <c r="CQ149" s="569"/>
      <c r="CR149" s="569"/>
      <c r="CS149" s="569"/>
      <c r="CT149" s="569"/>
      <c r="CU149" s="569"/>
      <c r="CV149" s="569"/>
      <c r="CW149" s="569"/>
      <c r="CX149" s="569"/>
      <c r="CY149" s="569"/>
      <c r="CZ149" s="569"/>
      <c r="DA149" s="569"/>
      <c r="DB149" s="569"/>
      <c r="DC149" s="569"/>
      <c r="DD149" s="569"/>
      <c r="DE149" s="569"/>
      <c r="DF149" s="569"/>
      <c r="DG149" s="569"/>
      <c r="DH149" s="569"/>
      <c r="DI149" s="569"/>
      <c r="DJ149" s="569"/>
      <c r="DK149" s="569"/>
      <c r="DL149" s="569"/>
      <c r="DM149" s="569"/>
      <c r="DN149" s="569"/>
      <c r="DO149" s="569"/>
      <c r="DP149" s="569"/>
      <c r="DQ149" s="569"/>
      <c r="DR149" s="569"/>
      <c r="DS149" s="569"/>
      <c r="DT149" s="569"/>
      <c r="DU149" s="569"/>
      <c r="DV149" s="569"/>
      <c r="DW149" s="569"/>
      <c r="DX149" s="569"/>
      <c r="DY149" s="569"/>
      <c r="DZ149" s="569"/>
      <c r="EA149" s="569"/>
      <c r="EB149" s="569"/>
      <c r="EC149" s="569"/>
      <c r="ED149" s="569"/>
      <c r="EE149" s="569"/>
      <c r="EF149" s="569"/>
      <c r="EG149" s="569"/>
      <c r="EH149" s="569"/>
      <c r="EI149" s="569"/>
      <c r="EJ149" s="569"/>
      <c r="EK149" s="569"/>
      <c r="EL149" s="569"/>
      <c r="EM149" s="569"/>
      <c r="EN149" s="569"/>
      <c r="EO149" s="569"/>
      <c r="EP149" s="569"/>
      <c r="EQ149" s="569"/>
      <c r="ER149" s="569"/>
      <c r="ES149" s="569"/>
      <c r="ET149" s="569"/>
      <c r="EU149" s="569"/>
      <c r="EV149" s="569"/>
      <c r="EW149" s="569"/>
      <c r="EX149" s="569"/>
      <c r="EY149" s="569"/>
      <c r="EZ149" s="569"/>
      <c r="FA149" s="569"/>
      <c r="FB149" s="569"/>
      <c r="FC149" s="569"/>
      <c r="FD149" s="569"/>
      <c r="FE149" s="569"/>
      <c r="FF149" s="569"/>
      <c r="FG149" s="569"/>
      <c r="FH149" s="569"/>
      <c r="FI149" s="569"/>
      <c r="FJ149" s="569"/>
      <c r="FK149" s="569"/>
      <c r="FL149" s="569"/>
      <c r="FM149" s="569"/>
      <c r="FN149" s="569"/>
      <c r="FO149" s="569"/>
      <c r="FP149" s="569"/>
      <c r="FQ149" s="569"/>
      <c r="FR149" s="569"/>
      <c r="FS149" s="569"/>
      <c r="FT149" s="569"/>
      <c r="FU149" s="569"/>
      <c r="FV149" s="569"/>
      <c r="FW149" s="569"/>
      <c r="FX149" s="569"/>
      <c r="FY149" s="570"/>
      <c r="FZ149" s="570"/>
      <c r="GA149" s="570"/>
      <c r="GB149" s="570"/>
      <c r="GC149" s="570"/>
      <c r="GD149" s="570"/>
      <c r="GE149" s="570"/>
      <c r="GF149" s="570"/>
      <c r="GG149" s="570"/>
      <c r="GH149" s="570"/>
      <c r="GI149" s="570"/>
      <c r="GJ149" s="570"/>
      <c r="GK149" s="570"/>
      <c r="GL149" s="570"/>
      <c r="GM149" s="570"/>
      <c r="GN149" s="570"/>
      <c r="GO149" s="570"/>
      <c r="GP149" s="569"/>
      <c r="GQ149" s="569"/>
      <c r="GR149" s="569"/>
      <c r="GS149" s="569"/>
      <c r="GT149" s="569"/>
      <c r="GU149" s="569"/>
      <c r="GV149" s="571"/>
      <c r="GW149" s="569"/>
      <c r="GX149" s="569"/>
      <c r="GY149" s="569"/>
      <c r="GZ149" s="569"/>
      <c r="HA149" s="569"/>
      <c r="HB149" s="569"/>
      <c r="HC149" s="569"/>
      <c r="HD149" s="569"/>
      <c r="HE149" s="569"/>
      <c r="HF149" s="569"/>
      <c r="HG149" s="569"/>
      <c r="HH149" s="569"/>
      <c r="HI149" s="569"/>
      <c r="HJ149" s="569"/>
      <c r="HK149" s="569"/>
      <c r="HL149" s="571"/>
      <c r="HM149" s="571"/>
      <c r="HN149" s="569"/>
      <c r="HO149" s="569"/>
      <c r="HP149" s="111"/>
      <c r="HQ149" s="111"/>
      <c r="HR149" s="111"/>
      <c r="HS149" s="111"/>
      <c r="HT149" s="111"/>
      <c r="HU149" s="111"/>
      <c r="HV149" s="111"/>
      <c r="HW149" s="111"/>
      <c r="HX149" s="111"/>
      <c r="HY149" s="111"/>
      <c r="HZ149" s="111"/>
      <c r="IA149" s="111"/>
      <c r="IB149" s="111"/>
      <c r="IC149" s="111"/>
      <c r="ID149" s="111"/>
      <c r="IE149" s="111"/>
      <c r="IF149" s="111"/>
      <c r="IG149" s="111"/>
      <c r="IH149" s="111"/>
      <c r="II149" s="111"/>
      <c r="IJ149" s="111"/>
      <c r="IK149" s="111"/>
      <c r="IL149" s="111"/>
      <c r="IM149" s="111"/>
      <c r="IN149" s="111"/>
      <c r="IO149" s="111"/>
      <c r="IP149" s="111"/>
      <c r="IQ149" s="111"/>
      <c r="IR149" s="111"/>
      <c r="IS149" s="111"/>
      <c r="IT149" s="111"/>
      <c r="IU149" s="111"/>
    </row>
    <row r="150" spans="1:255" s="105" customFormat="1" ht="15.6" customHeight="1">
      <c r="A150" s="1"/>
      <c r="B150" s="1" t="s">
        <v>1455</v>
      </c>
      <c r="C150" s="1"/>
      <c r="D150" s="10"/>
      <c r="E150" s="1"/>
      <c r="F150" s="1780"/>
      <c r="G150" s="1781"/>
      <c r="H150" s="1"/>
      <c r="I150" s="1" t="s">
        <v>1703</v>
      </c>
      <c r="J150" s="1"/>
      <c r="K150" s="1802">
        <v>2100</v>
      </c>
      <c r="L150" s="1803"/>
      <c r="M150" s="1"/>
      <c r="N150" s="1"/>
      <c r="O150" s="1"/>
      <c r="P150" s="1"/>
      <c r="T150" s="1643"/>
      <c r="U150" s="1644"/>
      <c r="V150" s="567"/>
      <c r="W150" s="567"/>
      <c r="X150" s="567"/>
      <c r="Y150" s="569"/>
      <c r="Z150" s="569"/>
      <c r="AA150" s="569"/>
      <c r="AB150" s="569"/>
      <c r="AC150" s="569"/>
      <c r="AD150" s="569"/>
      <c r="AE150" s="569"/>
      <c r="AF150" s="569"/>
      <c r="AG150" s="569"/>
      <c r="AH150" s="569"/>
      <c r="AI150" s="569"/>
      <c r="AJ150" s="569"/>
      <c r="AK150" s="569"/>
      <c r="AL150" s="569"/>
      <c r="AM150" s="569"/>
      <c r="AN150" s="569"/>
      <c r="AO150" s="569"/>
      <c r="AP150" s="569"/>
      <c r="AQ150" s="569"/>
      <c r="AR150" s="569"/>
      <c r="AS150" s="569"/>
      <c r="AT150" s="569"/>
      <c r="AU150" s="569"/>
      <c r="AV150" s="569"/>
      <c r="AW150" s="569"/>
      <c r="AX150" s="569"/>
      <c r="AY150" s="569"/>
      <c r="AZ150" s="569"/>
      <c r="BA150" s="569"/>
      <c r="BB150" s="569"/>
      <c r="BC150" s="569"/>
      <c r="BD150" s="569"/>
      <c r="BE150" s="569"/>
      <c r="BF150" s="569"/>
      <c r="BG150" s="569"/>
      <c r="BH150" s="569"/>
      <c r="BI150" s="569"/>
      <c r="BJ150" s="569"/>
      <c r="BK150" s="569"/>
      <c r="BL150" s="569"/>
      <c r="BM150" s="569"/>
      <c r="BN150" s="569"/>
      <c r="BO150" s="569"/>
      <c r="BP150" s="569"/>
      <c r="BQ150" s="569"/>
      <c r="BR150" s="569"/>
      <c r="BS150" s="569"/>
      <c r="BT150" s="569"/>
      <c r="BU150" s="569"/>
      <c r="BV150" s="569"/>
      <c r="BW150" s="569"/>
      <c r="BX150" s="569"/>
      <c r="BY150" s="569"/>
      <c r="BZ150" s="569"/>
      <c r="CA150" s="569"/>
      <c r="CB150" s="569"/>
      <c r="CC150" s="569"/>
      <c r="CD150" s="569"/>
      <c r="CE150" s="569"/>
      <c r="CF150" s="569"/>
      <c r="CG150" s="569"/>
      <c r="CH150" s="569"/>
      <c r="CI150" s="569"/>
      <c r="CJ150" s="569"/>
      <c r="CK150" s="569"/>
      <c r="CL150" s="569"/>
      <c r="CM150" s="569"/>
      <c r="CN150" s="569"/>
      <c r="CO150" s="569"/>
      <c r="CP150" s="569"/>
      <c r="CQ150" s="569"/>
      <c r="CR150" s="569"/>
      <c r="CS150" s="569"/>
      <c r="CT150" s="569"/>
      <c r="CU150" s="569"/>
      <c r="CV150" s="569"/>
      <c r="CW150" s="569"/>
      <c r="CX150" s="569"/>
      <c r="CY150" s="569"/>
      <c r="CZ150" s="569"/>
      <c r="DA150" s="569"/>
      <c r="DB150" s="569"/>
      <c r="DC150" s="569"/>
      <c r="DD150" s="569"/>
      <c r="DE150" s="569"/>
      <c r="DF150" s="569"/>
      <c r="DG150" s="569"/>
      <c r="DH150" s="569"/>
      <c r="DI150" s="569"/>
      <c r="DJ150" s="569"/>
      <c r="DK150" s="569"/>
      <c r="DL150" s="569"/>
      <c r="DM150" s="569"/>
      <c r="DN150" s="569"/>
      <c r="DO150" s="569"/>
      <c r="DP150" s="569"/>
      <c r="DQ150" s="569"/>
      <c r="DR150" s="569"/>
      <c r="DS150" s="569"/>
      <c r="DT150" s="569"/>
      <c r="DU150" s="569"/>
      <c r="DV150" s="569"/>
      <c r="DW150" s="569"/>
      <c r="DX150" s="569"/>
      <c r="DY150" s="569"/>
      <c r="DZ150" s="569"/>
      <c r="EA150" s="569"/>
      <c r="EB150" s="569"/>
      <c r="EC150" s="569"/>
      <c r="ED150" s="569"/>
      <c r="EE150" s="569"/>
      <c r="EF150" s="569"/>
      <c r="EG150" s="569"/>
      <c r="EH150" s="569"/>
      <c r="EI150" s="569"/>
      <c r="EJ150" s="569"/>
      <c r="EK150" s="569"/>
      <c r="EL150" s="569"/>
      <c r="EM150" s="569"/>
      <c r="EN150" s="569"/>
      <c r="EO150" s="569"/>
      <c r="EP150" s="569"/>
      <c r="EQ150" s="569"/>
      <c r="ER150" s="569"/>
      <c r="ES150" s="569"/>
      <c r="ET150" s="569"/>
      <c r="EU150" s="569"/>
      <c r="EV150" s="569"/>
      <c r="EW150" s="569"/>
      <c r="EX150" s="569"/>
      <c r="EY150" s="569"/>
      <c r="EZ150" s="569"/>
      <c r="FA150" s="569"/>
      <c r="FB150" s="569"/>
      <c r="FC150" s="569"/>
      <c r="FD150" s="569"/>
      <c r="FE150" s="569"/>
      <c r="FF150" s="569"/>
      <c r="FG150" s="569"/>
      <c r="FH150" s="569"/>
      <c r="FI150" s="569"/>
      <c r="FJ150" s="569"/>
      <c r="FK150" s="569"/>
      <c r="FL150" s="569"/>
      <c r="FM150" s="569"/>
      <c r="FN150" s="569"/>
      <c r="FO150" s="569"/>
      <c r="FP150" s="569"/>
      <c r="FQ150" s="569"/>
      <c r="FR150" s="569"/>
      <c r="FS150" s="569"/>
      <c r="FT150" s="569"/>
      <c r="FU150" s="569"/>
      <c r="FV150" s="569"/>
      <c r="FW150" s="569"/>
      <c r="FX150" s="569"/>
      <c r="FY150" s="570"/>
      <c r="FZ150" s="570"/>
      <c r="GA150" s="570"/>
      <c r="GB150" s="570"/>
      <c r="GC150" s="570"/>
      <c r="GD150" s="570"/>
      <c r="GE150" s="570"/>
      <c r="GF150" s="570"/>
      <c r="GG150" s="570"/>
      <c r="GH150" s="570"/>
      <c r="GI150" s="570"/>
      <c r="GJ150" s="570"/>
      <c r="GK150" s="570"/>
      <c r="GL150" s="570"/>
      <c r="GM150" s="570"/>
      <c r="GN150" s="570"/>
      <c r="GO150" s="570"/>
      <c r="GP150" s="569"/>
      <c r="GQ150" s="569"/>
      <c r="GR150" s="569"/>
      <c r="GS150" s="569"/>
      <c r="GT150" s="569"/>
      <c r="GU150" s="569"/>
      <c r="GV150" s="571"/>
      <c r="GW150" s="569"/>
      <c r="GX150" s="569"/>
      <c r="GY150" s="569"/>
      <c r="GZ150" s="569"/>
      <c r="HA150" s="569"/>
      <c r="HB150" s="569"/>
      <c r="HC150" s="569"/>
      <c r="HD150" s="569"/>
      <c r="HE150" s="569"/>
      <c r="HF150" s="569"/>
      <c r="HG150" s="569"/>
      <c r="HH150" s="569"/>
      <c r="HI150" s="569"/>
      <c r="HJ150" s="569"/>
      <c r="HK150" s="569"/>
      <c r="HL150" s="571"/>
      <c r="HM150" s="571"/>
      <c r="HN150" s="569"/>
      <c r="HO150" s="569"/>
      <c r="HP150" s="111"/>
      <c r="HQ150" s="111"/>
      <c r="HR150" s="111"/>
      <c r="HS150" s="111"/>
      <c r="HT150" s="111"/>
      <c r="HU150" s="111"/>
      <c r="HV150" s="111"/>
      <c r="HW150" s="111"/>
      <c r="HX150" s="111"/>
      <c r="HY150" s="111"/>
      <c r="HZ150" s="111"/>
      <c r="IA150" s="111"/>
      <c r="IB150" s="111"/>
      <c r="IC150" s="111"/>
      <c r="ID150" s="111"/>
      <c r="IE150" s="111"/>
      <c r="IF150" s="111"/>
      <c r="IG150" s="111"/>
      <c r="IH150" s="111"/>
      <c r="II150" s="111"/>
      <c r="IJ150" s="111"/>
      <c r="IK150" s="111"/>
      <c r="IL150" s="111"/>
      <c r="IM150" s="111"/>
      <c r="IN150" s="111"/>
      <c r="IO150" s="111"/>
      <c r="IP150" s="111"/>
      <c r="IQ150" s="111"/>
      <c r="IR150" s="111"/>
      <c r="IS150" s="111"/>
      <c r="IT150" s="111"/>
      <c r="IU150" s="111"/>
    </row>
    <row r="151" spans="1:255" s="105" customFormat="1" ht="15.6" customHeight="1" thickBot="1">
      <c r="A151" s="1"/>
      <c r="B151" s="1" t="s">
        <v>2483</v>
      </c>
      <c r="C151" s="1"/>
      <c r="D151" s="10"/>
      <c r="E151" s="1"/>
      <c r="F151" s="1780"/>
      <c r="G151" s="1781"/>
      <c r="H151" s="1"/>
      <c r="I151" s="1792" t="s">
        <v>3498</v>
      </c>
      <c r="J151" s="1793"/>
      <c r="K151" s="1800">
        <v>5760</v>
      </c>
      <c r="L151" s="1801"/>
      <c r="M151" s="1"/>
      <c r="N151" s="1808" t="s">
        <v>2619</v>
      </c>
      <c r="O151" s="1809"/>
      <c r="P151" s="1809"/>
      <c r="T151" s="1643"/>
      <c r="U151" s="1644"/>
      <c r="V151" s="567"/>
      <c r="W151" s="567"/>
      <c r="X151" s="567"/>
      <c r="Y151" s="569"/>
      <c r="Z151" s="569"/>
      <c r="AA151" s="569"/>
      <c r="AB151" s="569"/>
      <c r="AC151" s="569"/>
      <c r="AD151" s="569"/>
      <c r="AE151" s="569"/>
      <c r="AF151" s="569"/>
      <c r="AG151" s="569"/>
      <c r="AH151" s="569"/>
      <c r="AI151" s="569"/>
      <c r="AJ151" s="569"/>
      <c r="AK151" s="569"/>
      <c r="AL151" s="569"/>
      <c r="AM151" s="569"/>
      <c r="AN151" s="569"/>
      <c r="AO151" s="569"/>
      <c r="AP151" s="569"/>
      <c r="AQ151" s="569"/>
      <c r="AR151" s="569"/>
      <c r="AS151" s="569"/>
      <c r="AT151" s="569"/>
      <c r="AU151" s="569"/>
      <c r="AV151" s="569"/>
      <c r="AW151" s="569"/>
      <c r="AX151" s="569"/>
      <c r="AY151" s="569"/>
      <c r="AZ151" s="569"/>
      <c r="BA151" s="569"/>
      <c r="BB151" s="569"/>
      <c r="BC151" s="569"/>
      <c r="BD151" s="569"/>
      <c r="BE151" s="569"/>
      <c r="BF151" s="569"/>
      <c r="BG151" s="569"/>
      <c r="BH151" s="569"/>
      <c r="BI151" s="569"/>
      <c r="BJ151" s="569"/>
      <c r="BK151" s="569"/>
      <c r="BL151" s="569"/>
      <c r="BM151" s="569"/>
      <c r="BN151" s="569"/>
      <c r="BO151" s="569"/>
      <c r="BP151" s="569"/>
      <c r="BQ151" s="569"/>
      <c r="BR151" s="569"/>
      <c r="BS151" s="569"/>
      <c r="BT151" s="569"/>
      <c r="BU151" s="569"/>
      <c r="BV151" s="569"/>
      <c r="BW151" s="569"/>
      <c r="BX151" s="569"/>
      <c r="BY151" s="569"/>
      <c r="BZ151" s="569"/>
      <c r="CA151" s="569"/>
      <c r="CB151" s="569"/>
      <c r="CC151" s="569"/>
      <c r="CD151" s="569"/>
      <c r="CE151" s="569"/>
      <c r="CF151" s="569"/>
      <c r="CG151" s="569"/>
      <c r="CH151" s="569"/>
      <c r="CI151" s="569"/>
      <c r="CJ151" s="569"/>
      <c r="CK151" s="569"/>
      <c r="CL151" s="569"/>
      <c r="CM151" s="569"/>
      <c r="CN151" s="569"/>
      <c r="CO151" s="569"/>
      <c r="CP151" s="569"/>
      <c r="CQ151" s="569"/>
      <c r="CR151" s="569"/>
      <c r="CS151" s="569"/>
      <c r="CT151" s="569"/>
      <c r="CU151" s="569"/>
      <c r="CV151" s="569"/>
      <c r="CW151" s="569"/>
      <c r="CX151" s="569"/>
      <c r="CY151" s="569"/>
      <c r="CZ151" s="569"/>
      <c r="DA151" s="569"/>
      <c r="DB151" s="569"/>
      <c r="DC151" s="569"/>
      <c r="DD151" s="569"/>
      <c r="DE151" s="569"/>
      <c r="DF151" s="569"/>
      <c r="DG151" s="569"/>
      <c r="DH151" s="569"/>
      <c r="DI151" s="569"/>
      <c r="DJ151" s="569"/>
      <c r="DK151" s="569"/>
      <c r="DL151" s="569"/>
      <c r="DM151" s="569"/>
      <c r="DN151" s="569"/>
      <c r="DO151" s="569"/>
      <c r="DP151" s="569"/>
      <c r="DQ151" s="569"/>
      <c r="DR151" s="569"/>
      <c r="DS151" s="569"/>
      <c r="DT151" s="569"/>
      <c r="DU151" s="569"/>
      <c r="DV151" s="569"/>
      <c r="DW151" s="569"/>
      <c r="DX151" s="569"/>
      <c r="DY151" s="569"/>
      <c r="DZ151" s="569"/>
      <c r="EA151" s="569"/>
      <c r="EB151" s="569"/>
      <c r="EC151" s="569"/>
      <c r="ED151" s="569"/>
      <c r="EE151" s="569"/>
      <c r="EF151" s="569"/>
      <c r="EG151" s="569"/>
      <c r="EH151" s="569"/>
      <c r="EI151" s="569"/>
      <c r="EJ151" s="569"/>
      <c r="EK151" s="569"/>
      <c r="EL151" s="569"/>
      <c r="EM151" s="569"/>
      <c r="EN151" s="569"/>
      <c r="EO151" s="569"/>
      <c r="EP151" s="569"/>
      <c r="EQ151" s="569"/>
      <c r="ER151" s="569"/>
      <c r="ES151" s="569"/>
      <c r="ET151" s="569"/>
      <c r="EU151" s="569"/>
      <c r="EV151" s="569"/>
      <c r="EW151" s="569"/>
      <c r="EX151" s="569"/>
      <c r="EY151" s="569"/>
      <c r="EZ151" s="569"/>
      <c r="FA151" s="569"/>
      <c r="FB151" s="569"/>
      <c r="FC151" s="569"/>
      <c r="FD151" s="569"/>
      <c r="FE151" s="569"/>
      <c r="FF151" s="569"/>
      <c r="FG151" s="569"/>
      <c r="FH151" s="569"/>
      <c r="FI151" s="569"/>
      <c r="FJ151" s="569"/>
      <c r="FK151" s="569"/>
      <c r="FL151" s="569"/>
      <c r="FM151" s="569"/>
      <c r="FN151" s="569"/>
      <c r="FO151" s="569"/>
      <c r="FP151" s="569"/>
      <c r="FQ151" s="569"/>
      <c r="FR151" s="569"/>
      <c r="FS151" s="569"/>
      <c r="FT151" s="569"/>
      <c r="FU151" s="569"/>
      <c r="FV151" s="569"/>
      <c r="FW151" s="569"/>
      <c r="FX151" s="569"/>
      <c r="FY151" s="570"/>
      <c r="FZ151" s="570"/>
      <c r="GA151" s="570"/>
      <c r="GB151" s="570"/>
      <c r="GC151" s="570"/>
      <c r="GD151" s="570"/>
      <c r="GE151" s="570"/>
      <c r="GF151" s="570"/>
      <c r="GG151" s="570"/>
      <c r="GH151" s="570"/>
      <c r="GI151" s="570"/>
      <c r="GJ151" s="570"/>
      <c r="GK151" s="570"/>
      <c r="GL151" s="570"/>
      <c r="GM151" s="570"/>
      <c r="GN151" s="570"/>
      <c r="GO151" s="570"/>
      <c r="GP151" s="569"/>
      <c r="GQ151" s="569"/>
      <c r="GR151" s="569"/>
      <c r="GS151" s="569"/>
      <c r="GT151" s="569"/>
      <c r="GU151" s="569"/>
      <c r="GV151" s="571"/>
      <c r="GW151" s="569"/>
      <c r="GX151" s="569"/>
      <c r="GY151" s="569"/>
      <c r="GZ151" s="569"/>
      <c r="HA151" s="569"/>
      <c r="HB151" s="569"/>
      <c r="HC151" s="569"/>
      <c r="HD151" s="569"/>
      <c r="HE151" s="569"/>
      <c r="HF151" s="569"/>
      <c r="HG151" s="569"/>
      <c r="HH151" s="569"/>
      <c r="HI151" s="569"/>
      <c r="HJ151" s="569"/>
      <c r="HK151" s="569"/>
      <c r="HL151" s="571"/>
      <c r="HM151" s="571"/>
      <c r="HN151" s="569"/>
      <c r="HO151" s="569"/>
      <c r="HP151" s="111"/>
      <c r="HQ151" s="111"/>
      <c r="HR151" s="111"/>
      <c r="HS151" s="111"/>
      <c r="HT151" s="111"/>
      <c r="HU151" s="111"/>
      <c r="HV151" s="111"/>
      <c r="HW151" s="111"/>
      <c r="HX151" s="111"/>
      <c r="HY151" s="111"/>
      <c r="HZ151" s="111"/>
      <c r="IA151" s="111"/>
      <c r="IB151" s="111"/>
      <c r="IC151" s="111"/>
      <c r="ID151" s="111"/>
      <c r="IE151" s="111"/>
      <c r="IF151" s="111"/>
      <c r="IG151" s="111"/>
      <c r="IH151" s="111"/>
      <c r="II151" s="111"/>
      <c r="IJ151" s="111"/>
      <c r="IK151" s="111"/>
      <c r="IL151" s="111"/>
      <c r="IM151" s="111"/>
      <c r="IN151" s="111"/>
      <c r="IO151" s="111"/>
      <c r="IP151" s="111"/>
      <c r="IQ151" s="111"/>
      <c r="IR151" s="111"/>
      <c r="IS151" s="111"/>
      <c r="IT151" s="111"/>
      <c r="IU151" s="111"/>
    </row>
    <row r="152" spans="1:255" s="105" customFormat="1" ht="15.6" customHeight="1" thickTop="1">
      <c r="A152" s="1"/>
      <c r="B152" s="1" t="s">
        <v>1700</v>
      </c>
      <c r="C152" s="1"/>
      <c r="D152" s="10"/>
      <c r="E152" s="1"/>
      <c r="F152" s="1780"/>
      <c r="G152" s="1781"/>
      <c r="H152" s="1"/>
      <c r="I152" s="11"/>
      <c r="J152" s="13" t="s">
        <v>199</v>
      </c>
      <c r="K152" s="1804">
        <f>SUM(K148:K151)</f>
        <v>15360</v>
      </c>
      <c r="L152" s="1805"/>
      <c r="M152" s="1"/>
      <c r="N152" s="1809"/>
      <c r="O152" s="1809"/>
      <c r="P152" s="1809"/>
      <c r="T152" s="1645"/>
      <c r="U152" s="1646"/>
      <c r="V152" s="567"/>
      <c r="W152" s="567"/>
      <c r="X152" s="567"/>
      <c r="Y152" s="569"/>
      <c r="Z152" s="569"/>
      <c r="AA152" s="569"/>
      <c r="AB152" s="569"/>
      <c r="AC152" s="569"/>
      <c r="AD152" s="569"/>
      <c r="AE152" s="569"/>
      <c r="AF152" s="569"/>
      <c r="AG152" s="569"/>
      <c r="AH152" s="569"/>
      <c r="AI152" s="569"/>
      <c r="AJ152" s="569"/>
      <c r="AK152" s="569"/>
      <c r="AL152" s="569"/>
      <c r="AM152" s="569"/>
      <c r="AN152" s="569"/>
      <c r="AO152" s="569"/>
      <c r="AP152" s="569"/>
      <c r="AQ152" s="569"/>
      <c r="AR152" s="569"/>
      <c r="AS152" s="569"/>
      <c r="AT152" s="569"/>
      <c r="AU152" s="569"/>
      <c r="AV152" s="569"/>
      <c r="AW152" s="569"/>
      <c r="AX152" s="569"/>
      <c r="AY152" s="569"/>
      <c r="AZ152" s="569"/>
      <c r="BA152" s="569"/>
      <c r="BB152" s="569"/>
      <c r="BC152" s="569"/>
      <c r="BD152" s="569"/>
      <c r="BE152" s="569"/>
      <c r="BF152" s="569"/>
      <c r="BG152" s="569"/>
      <c r="BH152" s="569"/>
      <c r="BI152" s="569"/>
      <c r="BJ152" s="569"/>
      <c r="BK152" s="569"/>
      <c r="BL152" s="569"/>
      <c r="BM152" s="569"/>
      <c r="BN152" s="569"/>
      <c r="BO152" s="569"/>
      <c r="BP152" s="569"/>
      <c r="BQ152" s="569"/>
      <c r="BR152" s="569"/>
      <c r="BS152" s="569"/>
      <c r="BT152" s="569"/>
      <c r="BU152" s="569"/>
      <c r="BV152" s="569"/>
      <c r="BW152" s="569"/>
      <c r="BX152" s="569"/>
      <c r="BY152" s="569"/>
      <c r="BZ152" s="569"/>
      <c r="CA152" s="569"/>
      <c r="CB152" s="569"/>
      <c r="CC152" s="569"/>
      <c r="CD152" s="569"/>
      <c r="CE152" s="569"/>
      <c r="CF152" s="569"/>
      <c r="CG152" s="569"/>
      <c r="CH152" s="569"/>
      <c r="CI152" s="569"/>
      <c r="CJ152" s="569"/>
      <c r="CK152" s="569"/>
      <c r="CL152" s="569"/>
      <c r="CM152" s="569"/>
      <c r="CN152" s="569"/>
      <c r="CO152" s="569"/>
      <c r="CP152" s="569"/>
      <c r="CQ152" s="569"/>
      <c r="CR152" s="569"/>
      <c r="CS152" s="569"/>
      <c r="CT152" s="569"/>
      <c r="CU152" s="569"/>
      <c r="CV152" s="569"/>
      <c r="CW152" s="569"/>
      <c r="CX152" s="569"/>
      <c r="CY152" s="569"/>
      <c r="CZ152" s="569"/>
      <c r="DA152" s="569"/>
      <c r="DB152" s="569"/>
      <c r="DC152" s="569"/>
      <c r="DD152" s="569"/>
      <c r="DE152" s="569"/>
      <c r="DF152" s="569"/>
      <c r="DG152" s="569"/>
      <c r="DH152" s="569"/>
      <c r="DI152" s="569"/>
      <c r="DJ152" s="569"/>
      <c r="DK152" s="569"/>
      <c r="DL152" s="569"/>
      <c r="DM152" s="569"/>
      <c r="DN152" s="569"/>
      <c r="DO152" s="569"/>
      <c r="DP152" s="569"/>
      <c r="DQ152" s="569"/>
      <c r="DR152" s="569"/>
      <c r="DS152" s="569"/>
      <c r="DT152" s="569"/>
      <c r="DU152" s="569"/>
      <c r="DV152" s="569"/>
      <c r="DW152" s="569"/>
      <c r="DX152" s="569"/>
      <c r="DY152" s="569"/>
      <c r="DZ152" s="569"/>
      <c r="EA152" s="569"/>
      <c r="EB152" s="569"/>
      <c r="EC152" s="569"/>
      <c r="ED152" s="569"/>
      <c r="EE152" s="569"/>
      <c r="EF152" s="569"/>
      <c r="EG152" s="569"/>
      <c r="EH152" s="569"/>
      <c r="EI152" s="569"/>
      <c r="EJ152" s="569"/>
      <c r="EK152" s="569"/>
      <c r="EL152" s="569"/>
      <c r="EM152" s="569"/>
      <c r="EN152" s="569"/>
      <c r="EO152" s="569"/>
      <c r="EP152" s="569"/>
      <c r="EQ152" s="569"/>
      <c r="ER152" s="569"/>
      <c r="ES152" s="569"/>
      <c r="ET152" s="569"/>
      <c r="EU152" s="569"/>
      <c r="EV152" s="569"/>
      <c r="EW152" s="569"/>
      <c r="EX152" s="569"/>
      <c r="EY152" s="569"/>
      <c r="EZ152" s="569"/>
      <c r="FA152" s="569"/>
      <c r="FB152" s="569"/>
      <c r="FC152" s="569"/>
      <c r="FD152" s="569"/>
      <c r="FE152" s="569"/>
      <c r="FF152" s="569"/>
      <c r="FG152" s="569"/>
      <c r="FH152" s="569"/>
      <c r="FI152" s="569"/>
      <c r="FJ152" s="569"/>
      <c r="FK152" s="569"/>
      <c r="FL152" s="569"/>
      <c r="FM152" s="569"/>
      <c r="FN152" s="569"/>
      <c r="FO152" s="569"/>
      <c r="FP152" s="569"/>
      <c r="FQ152" s="569"/>
      <c r="FR152" s="569"/>
      <c r="FS152" s="569"/>
      <c r="FT152" s="569"/>
      <c r="FU152" s="569"/>
      <c r="FV152" s="569"/>
      <c r="FW152" s="569"/>
      <c r="FX152" s="569"/>
      <c r="FY152" s="570"/>
      <c r="FZ152" s="570"/>
      <c r="GA152" s="570"/>
      <c r="GB152" s="570"/>
      <c r="GC152" s="570"/>
      <c r="GD152" s="570"/>
      <c r="GE152" s="570"/>
      <c r="GF152" s="570"/>
      <c r="GG152" s="570"/>
      <c r="GH152" s="570"/>
      <c r="GI152" s="570"/>
      <c r="GJ152" s="570"/>
      <c r="GK152" s="570"/>
      <c r="GL152" s="570"/>
      <c r="GM152" s="570"/>
      <c r="GN152" s="570"/>
      <c r="GO152" s="570"/>
      <c r="GP152" s="569"/>
      <c r="GQ152" s="569"/>
      <c r="GR152" s="569"/>
      <c r="GS152" s="569"/>
      <c r="GT152" s="569"/>
      <c r="GU152" s="569"/>
      <c r="GV152" s="571"/>
      <c r="GW152" s="569"/>
      <c r="GX152" s="569"/>
      <c r="GY152" s="569"/>
      <c r="GZ152" s="569"/>
      <c r="HA152" s="569"/>
      <c r="HB152" s="569"/>
      <c r="HC152" s="569"/>
      <c r="HD152" s="569"/>
      <c r="HE152" s="569"/>
      <c r="HF152" s="569"/>
      <c r="HG152" s="569"/>
      <c r="HH152" s="569"/>
      <c r="HI152" s="569"/>
      <c r="HJ152" s="569"/>
      <c r="HK152" s="569"/>
      <c r="HL152" s="571"/>
      <c r="HM152" s="571"/>
      <c r="HN152" s="569"/>
      <c r="HO152" s="569"/>
      <c r="HP152" s="111"/>
      <c r="HQ152" s="111"/>
      <c r="HR152" s="111"/>
      <c r="HS152" s="111"/>
      <c r="HT152" s="111"/>
      <c r="HU152" s="111"/>
      <c r="HV152" s="111"/>
      <c r="HW152" s="111"/>
      <c r="HX152" s="111"/>
      <c r="HY152" s="111"/>
      <c r="HZ152" s="111"/>
      <c r="IA152" s="111"/>
      <c r="IB152" s="111"/>
      <c r="IC152" s="111"/>
      <c r="ID152" s="111"/>
      <c r="IE152" s="111"/>
      <c r="IF152" s="111"/>
      <c r="IG152" s="111"/>
      <c r="IH152" s="111"/>
      <c r="II152" s="111"/>
      <c r="IJ152" s="111"/>
      <c r="IK152" s="111"/>
      <c r="IL152" s="111"/>
      <c r="IM152" s="111"/>
      <c r="IN152" s="111"/>
      <c r="IO152" s="111"/>
      <c r="IP152" s="111"/>
      <c r="IQ152" s="111"/>
      <c r="IR152" s="111"/>
      <c r="IS152" s="111"/>
      <c r="IT152" s="111"/>
      <c r="IU152" s="111"/>
    </row>
    <row r="153" spans="1:255" s="105" customFormat="1" ht="15.6" customHeight="1" thickBot="1">
      <c r="A153" s="1"/>
      <c r="B153" s="1776" t="s">
        <v>54</v>
      </c>
      <c r="C153" s="1777"/>
      <c r="D153" s="1777"/>
      <c r="E153" s="1778"/>
      <c r="F153" s="1796"/>
      <c r="G153" s="1797"/>
      <c r="H153" s="1"/>
      <c r="I153" s="1"/>
      <c r="J153" s="14"/>
      <c r="K153" s="1"/>
      <c r="L153" s="1"/>
      <c r="M153" s="1"/>
      <c r="N153" s="1"/>
      <c r="O153" s="1"/>
      <c r="P153" s="1"/>
      <c r="T153" s="1641"/>
      <c r="U153" s="1642"/>
      <c r="V153" s="567"/>
      <c r="W153" s="567"/>
      <c r="X153" s="567"/>
      <c r="Y153" s="569"/>
      <c r="Z153" s="569"/>
      <c r="AA153" s="569"/>
      <c r="AB153" s="569"/>
      <c r="AC153" s="569"/>
      <c r="AD153" s="569"/>
      <c r="AE153" s="569"/>
      <c r="AF153" s="569"/>
      <c r="AG153" s="569"/>
      <c r="AH153" s="569"/>
      <c r="AI153" s="569"/>
      <c r="AJ153" s="569"/>
      <c r="AK153" s="569"/>
      <c r="AL153" s="569"/>
      <c r="AM153" s="569"/>
      <c r="AN153" s="569"/>
      <c r="AO153" s="569"/>
      <c r="AP153" s="569"/>
      <c r="AQ153" s="569"/>
      <c r="AR153" s="569"/>
      <c r="AS153" s="569"/>
      <c r="AT153" s="569"/>
      <c r="AU153" s="569"/>
      <c r="AV153" s="569"/>
      <c r="AW153" s="569"/>
      <c r="AX153" s="569"/>
      <c r="AY153" s="569"/>
      <c r="AZ153" s="569"/>
      <c r="BA153" s="569"/>
      <c r="BB153" s="569"/>
      <c r="BC153" s="569"/>
      <c r="BD153" s="569"/>
      <c r="BE153" s="569"/>
      <c r="BF153" s="569"/>
      <c r="BG153" s="569"/>
      <c r="BH153" s="569"/>
      <c r="BI153" s="569"/>
      <c r="BJ153" s="569"/>
      <c r="BK153" s="569"/>
      <c r="BL153" s="569"/>
      <c r="BM153" s="569"/>
      <c r="BN153" s="569"/>
      <c r="BO153" s="569"/>
      <c r="BP153" s="569"/>
      <c r="BQ153" s="569"/>
      <c r="BR153" s="569"/>
      <c r="BS153" s="569"/>
      <c r="BT153" s="569"/>
      <c r="BU153" s="569"/>
      <c r="BV153" s="569"/>
      <c r="BW153" s="569"/>
      <c r="BX153" s="569"/>
      <c r="BY153" s="569"/>
      <c r="BZ153" s="569"/>
      <c r="CA153" s="569"/>
      <c r="CB153" s="569"/>
      <c r="CC153" s="569"/>
      <c r="CD153" s="569"/>
      <c r="CE153" s="569"/>
      <c r="CF153" s="569"/>
      <c r="CG153" s="569"/>
      <c r="CH153" s="569"/>
      <c r="CI153" s="569"/>
      <c r="CJ153" s="569"/>
      <c r="CK153" s="569"/>
      <c r="CL153" s="569"/>
      <c r="CM153" s="569"/>
      <c r="CN153" s="569"/>
      <c r="CO153" s="569"/>
      <c r="CP153" s="569"/>
      <c r="CQ153" s="569"/>
      <c r="CR153" s="569"/>
      <c r="CS153" s="569"/>
      <c r="CT153" s="569"/>
      <c r="CU153" s="569"/>
      <c r="CV153" s="569"/>
      <c r="CW153" s="569"/>
      <c r="CX153" s="569"/>
      <c r="CY153" s="569"/>
      <c r="CZ153" s="569"/>
      <c r="DA153" s="569"/>
      <c r="DB153" s="569"/>
      <c r="DC153" s="569"/>
      <c r="DD153" s="569"/>
      <c r="DE153" s="569"/>
      <c r="DF153" s="569"/>
      <c r="DG153" s="569"/>
      <c r="DH153" s="569"/>
      <c r="DI153" s="569"/>
      <c r="DJ153" s="569"/>
      <c r="DK153" s="569"/>
      <c r="DL153" s="569"/>
      <c r="DM153" s="569"/>
      <c r="DN153" s="569"/>
      <c r="DO153" s="569"/>
      <c r="DP153" s="569"/>
      <c r="DQ153" s="569"/>
      <c r="DR153" s="569"/>
      <c r="DS153" s="569"/>
      <c r="DT153" s="569"/>
      <c r="DU153" s="569"/>
      <c r="DV153" s="569"/>
      <c r="DW153" s="569"/>
      <c r="DX153" s="569"/>
      <c r="DY153" s="569"/>
      <c r="DZ153" s="569"/>
      <c r="EA153" s="569"/>
      <c r="EB153" s="569"/>
      <c r="EC153" s="569"/>
      <c r="ED153" s="569"/>
      <c r="EE153" s="569"/>
      <c r="EF153" s="569"/>
      <c r="EG153" s="569"/>
      <c r="EH153" s="569"/>
      <c r="EI153" s="569"/>
      <c r="EJ153" s="569"/>
      <c r="EK153" s="569"/>
      <c r="EL153" s="569"/>
      <c r="EM153" s="569"/>
      <c r="EN153" s="569"/>
      <c r="EO153" s="569"/>
      <c r="EP153" s="569"/>
      <c r="EQ153" s="569"/>
      <c r="ER153" s="569"/>
      <c r="ES153" s="569"/>
      <c r="ET153" s="569"/>
      <c r="EU153" s="569"/>
      <c r="EV153" s="569"/>
      <c r="EW153" s="569"/>
      <c r="EX153" s="569"/>
      <c r="EY153" s="569"/>
      <c r="EZ153" s="569"/>
      <c r="FA153" s="569"/>
      <c r="FB153" s="569"/>
      <c r="FC153" s="569"/>
      <c r="FD153" s="569"/>
      <c r="FE153" s="569"/>
      <c r="FF153" s="569"/>
      <c r="FG153" s="569"/>
      <c r="FH153" s="569"/>
      <c r="FI153" s="569"/>
      <c r="FJ153" s="569"/>
      <c r="FK153" s="569"/>
      <c r="FL153" s="569"/>
      <c r="FM153" s="569"/>
      <c r="FN153" s="569"/>
      <c r="FO153" s="569"/>
      <c r="FP153" s="569"/>
      <c r="FQ153" s="569"/>
      <c r="FR153" s="569"/>
      <c r="FS153" s="569"/>
      <c r="FT153" s="569"/>
      <c r="FU153" s="569"/>
      <c r="FV153" s="569"/>
      <c r="FW153" s="569"/>
      <c r="FX153" s="569"/>
      <c r="FY153" s="570"/>
      <c r="FZ153" s="570"/>
      <c r="GA153" s="570"/>
      <c r="GB153" s="570"/>
      <c r="GC153" s="570"/>
      <c r="GD153" s="570"/>
      <c r="GE153" s="570"/>
      <c r="GF153" s="570"/>
      <c r="GG153" s="570"/>
      <c r="GH153" s="570"/>
      <c r="GI153" s="570"/>
      <c r="GJ153" s="570"/>
      <c r="GK153" s="570"/>
      <c r="GL153" s="570"/>
      <c r="GM153" s="570"/>
      <c r="GN153" s="570"/>
      <c r="GO153" s="570"/>
      <c r="GP153" s="569"/>
      <c r="GQ153" s="569"/>
      <c r="GR153" s="569"/>
      <c r="GS153" s="569"/>
      <c r="GT153" s="569"/>
      <c r="GU153" s="569"/>
      <c r="GV153" s="571"/>
      <c r="GW153" s="569"/>
      <c r="GX153" s="569"/>
      <c r="GY153" s="569"/>
      <c r="GZ153" s="569"/>
      <c r="HA153" s="569"/>
      <c r="HB153" s="569"/>
      <c r="HC153" s="569"/>
      <c r="HD153" s="569"/>
      <c r="HE153" s="569"/>
      <c r="HF153" s="569"/>
      <c r="HG153" s="569"/>
      <c r="HH153" s="569"/>
      <c r="HI153" s="569"/>
      <c r="HJ153" s="569"/>
      <c r="HK153" s="569"/>
      <c r="HL153" s="571"/>
      <c r="HM153" s="571"/>
      <c r="HN153" s="569"/>
      <c r="HO153" s="569"/>
      <c r="HP153" s="111"/>
      <c r="HQ153" s="111"/>
      <c r="HR153" s="111"/>
      <c r="HS153" s="111"/>
      <c r="HT153" s="111"/>
      <c r="HU153" s="111"/>
      <c r="HV153" s="111"/>
      <c r="HW153" s="111"/>
      <c r="HX153" s="111"/>
      <c r="HY153" s="111"/>
      <c r="HZ153" s="111"/>
      <c r="IA153" s="111"/>
      <c r="IB153" s="111"/>
      <c r="IC153" s="111"/>
      <c r="ID153" s="111"/>
      <c r="IE153" s="111"/>
      <c r="IF153" s="111"/>
      <c r="IG153" s="111"/>
      <c r="IH153" s="111"/>
      <c r="II153" s="111"/>
      <c r="IJ153" s="111"/>
      <c r="IK153" s="111"/>
      <c r="IL153" s="111"/>
      <c r="IM153" s="111"/>
      <c r="IN153" s="111"/>
      <c r="IO153" s="111"/>
      <c r="IP153" s="111"/>
      <c r="IQ153" s="111"/>
      <c r="IR153" s="111"/>
      <c r="IS153" s="111"/>
      <c r="IT153" s="111"/>
      <c r="IU153" s="111"/>
    </row>
    <row r="154" spans="1:255" s="105" customFormat="1" ht="15.6" customHeight="1" thickTop="1">
      <c r="A154" s="1"/>
      <c r="B154" s="1"/>
      <c r="C154" s="13" t="s">
        <v>199</v>
      </c>
      <c r="D154" s="1"/>
      <c r="E154" s="1"/>
      <c r="F154" s="1782">
        <f>SUM(F148:G153)</f>
        <v>9350</v>
      </c>
      <c r="G154" s="1783"/>
      <c r="H154" s="1"/>
      <c r="I154" s="1"/>
      <c r="J154" s="14"/>
      <c r="K154" s="1"/>
      <c r="L154" s="1"/>
      <c r="M154" s="1"/>
      <c r="N154" s="1"/>
      <c r="O154" s="1"/>
      <c r="P154" s="1"/>
      <c r="T154" s="1643"/>
      <c r="U154" s="1644"/>
      <c r="V154" s="567"/>
      <c r="W154" s="567"/>
      <c r="X154" s="567"/>
      <c r="Y154" s="569"/>
      <c r="Z154" s="569"/>
      <c r="AA154" s="569"/>
      <c r="AB154" s="569"/>
      <c r="AC154" s="569"/>
      <c r="AD154" s="569"/>
      <c r="AE154" s="569"/>
      <c r="AF154" s="569"/>
      <c r="AG154" s="569"/>
      <c r="AH154" s="569"/>
      <c r="AI154" s="569"/>
      <c r="AJ154" s="569"/>
      <c r="AK154" s="569"/>
      <c r="AL154" s="569"/>
      <c r="AM154" s="569"/>
      <c r="AN154" s="569"/>
      <c r="AO154" s="569"/>
      <c r="AP154" s="569"/>
      <c r="AQ154" s="569"/>
      <c r="AR154" s="569"/>
      <c r="AS154" s="569"/>
      <c r="AT154" s="569"/>
      <c r="AU154" s="569"/>
      <c r="AV154" s="569"/>
      <c r="AW154" s="569"/>
      <c r="AX154" s="569"/>
      <c r="AY154" s="569"/>
      <c r="AZ154" s="569"/>
      <c r="BA154" s="569"/>
      <c r="BB154" s="569"/>
      <c r="BC154" s="569"/>
      <c r="BD154" s="569"/>
      <c r="BE154" s="569"/>
      <c r="BF154" s="569"/>
      <c r="BG154" s="569"/>
      <c r="BH154" s="569"/>
      <c r="BI154" s="569"/>
      <c r="BJ154" s="569"/>
      <c r="BK154" s="569"/>
      <c r="BL154" s="569"/>
      <c r="BM154" s="569"/>
      <c r="BN154" s="569"/>
      <c r="BO154" s="569"/>
      <c r="BP154" s="569"/>
      <c r="BQ154" s="569"/>
      <c r="BR154" s="569"/>
      <c r="BS154" s="569"/>
      <c r="BT154" s="569"/>
      <c r="BU154" s="569"/>
      <c r="BV154" s="569"/>
      <c r="BW154" s="569"/>
      <c r="BX154" s="569"/>
      <c r="BY154" s="569"/>
      <c r="BZ154" s="569"/>
      <c r="CA154" s="569"/>
      <c r="CB154" s="569"/>
      <c r="CC154" s="569"/>
      <c r="CD154" s="569"/>
      <c r="CE154" s="569"/>
      <c r="CF154" s="569"/>
      <c r="CG154" s="569"/>
      <c r="CH154" s="569"/>
      <c r="CI154" s="569"/>
      <c r="CJ154" s="569"/>
      <c r="CK154" s="569"/>
      <c r="CL154" s="569"/>
      <c r="CM154" s="569"/>
      <c r="CN154" s="569"/>
      <c r="CO154" s="569"/>
      <c r="CP154" s="569"/>
      <c r="CQ154" s="569"/>
      <c r="CR154" s="569"/>
      <c r="CS154" s="569"/>
      <c r="CT154" s="569"/>
      <c r="CU154" s="569"/>
      <c r="CV154" s="569"/>
      <c r="CW154" s="569"/>
      <c r="CX154" s="569"/>
      <c r="CY154" s="569"/>
      <c r="CZ154" s="569"/>
      <c r="DA154" s="569"/>
      <c r="DB154" s="569"/>
      <c r="DC154" s="569"/>
      <c r="DD154" s="569"/>
      <c r="DE154" s="569"/>
      <c r="DF154" s="569"/>
      <c r="DG154" s="569"/>
      <c r="DH154" s="569"/>
      <c r="DI154" s="569"/>
      <c r="DJ154" s="569"/>
      <c r="DK154" s="569"/>
      <c r="DL154" s="569"/>
      <c r="DM154" s="569"/>
      <c r="DN154" s="569"/>
      <c r="DO154" s="569"/>
      <c r="DP154" s="569"/>
      <c r="DQ154" s="569"/>
      <c r="DR154" s="569"/>
      <c r="DS154" s="569"/>
      <c r="DT154" s="569"/>
      <c r="DU154" s="569"/>
      <c r="DV154" s="569"/>
      <c r="DW154" s="569"/>
      <c r="DX154" s="569"/>
      <c r="DY154" s="569"/>
      <c r="DZ154" s="569"/>
      <c r="EA154" s="569"/>
      <c r="EB154" s="569"/>
      <c r="EC154" s="569"/>
      <c r="ED154" s="569"/>
      <c r="EE154" s="569"/>
      <c r="EF154" s="569"/>
      <c r="EG154" s="569"/>
      <c r="EH154" s="569"/>
      <c r="EI154" s="569"/>
      <c r="EJ154" s="569"/>
      <c r="EK154" s="569"/>
      <c r="EL154" s="569"/>
      <c r="EM154" s="569"/>
      <c r="EN154" s="569"/>
      <c r="EO154" s="569"/>
      <c r="EP154" s="569"/>
      <c r="EQ154" s="569"/>
      <c r="ER154" s="569"/>
      <c r="ES154" s="569"/>
      <c r="ET154" s="569"/>
      <c r="EU154" s="569"/>
      <c r="EV154" s="569"/>
      <c r="EW154" s="569"/>
      <c r="EX154" s="569"/>
      <c r="EY154" s="569"/>
      <c r="EZ154" s="569"/>
      <c r="FA154" s="569"/>
      <c r="FB154" s="569"/>
      <c r="FC154" s="569"/>
      <c r="FD154" s="569"/>
      <c r="FE154" s="569"/>
      <c r="FF154" s="569"/>
      <c r="FG154" s="569"/>
      <c r="FH154" s="569"/>
      <c r="FI154" s="569"/>
      <c r="FJ154" s="569"/>
      <c r="FK154" s="569"/>
      <c r="FL154" s="569"/>
      <c r="FM154" s="569"/>
      <c r="FN154" s="569"/>
      <c r="FO154" s="569"/>
      <c r="FP154" s="569"/>
      <c r="FQ154" s="569"/>
      <c r="FR154" s="569"/>
      <c r="FS154" s="569"/>
      <c r="FT154" s="569"/>
      <c r="FU154" s="569"/>
      <c r="FV154" s="569"/>
      <c r="FW154" s="569"/>
      <c r="FX154" s="569"/>
      <c r="FY154" s="570"/>
      <c r="FZ154" s="570"/>
      <c r="GA154" s="570"/>
      <c r="GB154" s="570"/>
      <c r="GC154" s="570"/>
      <c r="GD154" s="570"/>
      <c r="GE154" s="570"/>
      <c r="GF154" s="570"/>
      <c r="GG154" s="570"/>
      <c r="GH154" s="570"/>
      <c r="GI154" s="570"/>
      <c r="GJ154" s="570"/>
      <c r="GK154" s="570"/>
      <c r="GL154" s="570"/>
      <c r="GM154" s="570"/>
      <c r="GN154" s="570"/>
      <c r="GO154" s="570"/>
      <c r="GP154" s="569"/>
      <c r="GQ154" s="569"/>
      <c r="GR154" s="569"/>
      <c r="GS154" s="569"/>
      <c r="GT154" s="569"/>
      <c r="GU154" s="569"/>
      <c r="GV154" s="571"/>
      <c r="GW154" s="569"/>
      <c r="GX154" s="569"/>
      <c r="GY154" s="569"/>
      <c r="GZ154" s="569"/>
      <c r="HA154" s="569"/>
      <c r="HB154" s="569"/>
      <c r="HC154" s="569"/>
      <c r="HD154" s="569"/>
      <c r="HE154" s="569"/>
      <c r="HF154" s="569"/>
      <c r="HG154" s="569"/>
      <c r="HH154" s="569"/>
      <c r="HI154" s="569"/>
      <c r="HJ154" s="569"/>
      <c r="HK154" s="569"/>
      <c r="HL154" s="571"/>
      <c r="HM154" s="571"/>
      <c r="HN154" s="569"/>
      <c r="HO154" s="569"/>
      <c r="HP154" s="111"/>
      <c r="HQ154" s="111"/>
      <c r="HR154" s="111"/>
      <c r="HS154" s="111"/>
      <c r="HT154" s="111"/>
      <c r="HU154" s="111"/>
      <c r="HV154" s="111"/>
      <c r="HW154" s="111"/>
      <c r="HX154" s="111"/>
      <c r="HY154" s="111"/>
      <c r="HZ154" s="111"/>
      <c r="IA154" s="111"/>
      <c r="IB154" s="111"/>
      <c r="IC154" s="111"/>
      <c r="ID154" s="111"/>
      <c r="IE154" s="111"/>
      <c r="IF154" s="111"/>
      <c r="IG154" s="111"/>
      <c r="IH154" s="111"/>
      <c r="II154" s="111"/>
      <c r="IJ154" s="111"/>
      <c r="IK154" s="111"/>
      <c r="IL154" s="111"/>
      <c r="IM154" s="111"/>
      <c r="IN154" s="111"/>
      <c r="IO154" s="111"/>
      <c r="IP154" s="111"/>
      <c r="IQ154" s="111"/>
      <c r="IR154" s="111"/>
      <c r="IS154" s="111"/>
      <c r="IT154" s="111"/>
      <c r="IU154" s="111"/>
    </row>
    <row r="155" spans="1:255" s="105" customFormat="1" ht="6" customHeight="1">
      <c r="A155" s="1"/>
      <c r="B155" s="1"/>
      <c r="C155" s="1"/>
      <c r="D155" s="13"/>
      <c r="E155" s="1"/>
      <c r="F155" s="14"/>
      <c r="G155" s="14"/>
      <c r="H155" s="1"/>
      <c r="I155" s="1"/>
      <c r="J155" s="14"/>
      <c r="K155" s="1"/>
      <c r="L155" s="1"/>
      <c r="M155" s="1"/>
      <c r="N155" s="1"/>
      <c r="O155" s="1"/>
      <c r="P155" s="6"/>
      <c r="T155" s="1643"/>
      <c r="U155" s="1644"/>
      <c r="V155" s="569"/>
      <c r="W155" s="569"/>
      <c r="X155" s="569"/>
      <c r="Y155" s="569"/>
      <c r="Z155" s="569"/>
      <c r="AA155" s="569"/>
      <c r="AB155" s="569"/>
      <c r="AC155" s="569"/>
      <c r="AD155" s="569"/>
      <c r="AE155" s="569"/>
      <c r="AF155" s="569"/>
      <c r="AG155" s="569"/>
      <c r="AH155" s="569"/>
      <c r="AI155" s="569"/>
      <c r="AJ155" s="569"/>
      <c r="AK155" s="569"/>
      <c r="AL155" s="569"/>
      <c r="AM155" s="569"/>
      <c r="AN155" s="569"/>
      <c r="AO155" s="569"/>
      <c r="AP155" s="569"/>
      <c r="AQ155" s="569"/>
      <c r="AR155" s="569"/>
      <c r="AS155" s="569"/>
      <c r="AT155" s="569"/>
      <c r="AU155" s="569"/>
      <c r="AV155" s="569"/>
      <c r="AW155" s="569"/>
      <c r="AX155" s="569"/>
      <c r="AY155" s="569"/>
      <c r="AZ155" s="569"/>
      <c r="BA155" s="569"/>
      <c r="BB155" s="569"/>
      <c r="BC155" s="569"/>
      <c r="BD155" s="569"/>
      <c r="BE155" s="569"/>
      <c r="BF155" s="569"/>
      <c r="BG155" s="569"/>
      <c r="BH155" s="569"/>
      <c r="BI155" s="569"/>
      <c r="BJ155" s="569"/>
      <c r="BK155" s="569"/>
      <c r="BL155" s="569"/>
      <c r="BM155" s="569"/>
      <c r="BN155" s="569"/>
      <c r="BO155" s="569"/>
      <c r="BP155" s="569"/>
      <c r="BQ155" s="569"/>
      <c r="BR155" s="569"/>
      <c r="BS155" s="569"/>
      <c r="BT155" s="569"/>
      <c r="BU155" s="569"/>
      <c r="BV155" s="569"/>
      <c r="BW155" s="569"/>
      <c r="BX155" s="569"/>
      <c r="BY155" s="569"/>
      <c r="BZ155" s="569"/>
      <c r="CA155" s="569"/>
      <c r="CB155" s="569"/>
      <c r="CC155" s="569"/>
      <c r="CD155" s="569"/>
      <c r="CE155" s="569"/>
      <c r="CF155" s="569"/>
      <c r="CG155" s="569"/>
      <c r="CH155" s="569"/>
      <c r="CI155" s="569"/>
      <c r="CJ155" s="569"/>
      <c r="CK155" s="569"/>
      <c r="CL155" s="569"/>
      <c r="CM155" s="569"/>
      <c r="CN155" s="569"/>
      <c r="CO155" s="569"/>
      <c r="CP155" s="569"/>
      <c r="CQ155" s="569"/>
      <c r="CR155" s="569"/>
      <c r="CS155" s="569"/>
      <c r="CT155" s="569"/>
      <c r="CU155" s="569"/>
      <c r="CV155" s="569"/>
      <c r="CW155" s="569"/>
      <c r="CX155" s="569"/>
      <c r="CY155" s="569"/>
      <c r="CZ155" s="569"/>
      <c r="DA155" s="569"/>
      <c r="DB155" s="569"/>
      <c r="DC155" s="569"/>
      <c r="DD155" s="569"/>
      <c r="DE155" s="569"/>
      <c r="DF155" s="569"/>
      <c r="DG155" s="569"/>
      <c r="DH155" s="569"/>
      <c r="DI155" s="569"/>
      <c r="DJ155" s="569"/>
      <c r="DK155" s="569"/>
      <c r="DL155" s="569"/>
      <c r="DM155" s="569"/>
      <c r="DN155" s="569"/>
      <c r="DO155" s="569"/>
      <c r="DP155" s="569"/>
      <c r="DQ155" s="569"/>
      <c r="DR155" s="569"/>
      <c r="DS155" s="569"/>
      <c r="DT155" s="569"/>
      <c r="DU155" s="569"/>
      <c r="DV155" s="569"/>
      <c r="DW155" s="569"/>
      <c r="DX155" s="569"/>
      <c r="DY155" s="569"/>
      <c r="DZ155" s="569"/>
      <c r="EA155" s="569"/>
      <c r="EB155" s="569"/>
      <c r="EC155" s="569"/>
      <c r="ED155" s="569"/>
      <c r="EE155" s="569"/>
      <c r="EF155" s="569"/>
      <c r="EG155" s="569"/>
      <c r="EH155" s="569"/>
      <c r="EI155" s="569"/>
      <c r="EJ155" s="569"/>
      <c r="EK155" s="569"/>
      <c r="EL155" s="569"/>
      <c r="EM155" s="569"/>
      <c r="EN155" s="569"/>
      <c r="EO155" s="569"/>
      <c r="EP155" s="569"/>
      <c r="EQ155" s="569"/>
      <c r="ER155" s="569"/>
      <c r="ES155" s="569"/>
      <c r="ET155" s="569"/>
      <c r="EU155" s="569"/>
      <c r="EV155" s="569"/>
      <c r="EW155" s="569"/>
      <c r="EX155" s="569"/>
      <c r="EY155" s="569"/>
      <c r="EZ155" s="569"/>
      <c r="FA155" s="569"/>
      <c r="FB155" s="569"/>
      <c r="FC155" s="569"/>
      <c r="FD155" s="569"/>
      <c r="FE155" s="569"/>
      <c r="FF155" s="569"/>
      <c r="FG155" s="569"/>
      <c r="FH155" s="569"/>
      <c r="FI155" s="569"/>
      <c r="FJ155" s="569"/>
      <c r="FK155" s="569"/>
      <c r="FL155" s="569"/>
      <c r="FM155" s="569"/>
      <c r="FN155" s="569"/>
      <c r="FO155" s="569"/>
      <c r="FP155" s="569"/>
      <c r="FQ155" s="569"/>
      <c r="FR155" s="569"/>
      <c r="FS155" s="569"/>
      <c r="FT155" s="569"/>
      <c r="FU155" s="569"/>
      <c r="FV155" s="569"/>
      <c r="FW155" s="569"/>
      <c r="FX155" s="569"/>
      <c r="FY155" s="570"/>
      <c r="FZ155" s="570"/>
      <c r="GA155" s="570"/>
      <c r="GB155" s="570"/>
      <c r="GC155" s="570"/>
      <c r="GD155" s="570"/>
      <c r="GE155" s="570"/>
      <c r="GF155" s="570"/>
      <c r="GG155" s="570"/>
      <c r="GH155" s="570"/>
      <c r="GI155" s="570"/>
      <c r="GJ155" s="570"/>
      <c r="GK155" s="570"/>
      <c r="GL155" s="570"/>
      <c r="GM155" s="570"/>
      <c r="GN155" s="570"/>
      <c r="GO155" s="570"/>
      <c r="GP155" s="569"/>
      <c r="GQ155" s="569"/>
      <c r="GR155" s="569"/>
      <c r="GS155" s="569"/>
      <c r="GT155" s="569"/>
      <c r="GU155" s="569"/>
      <c r="GV155" s="571"/>
      <c r="GW155" s="569"/>
      <c r="GX155" s="569"/>
      <c r="GY155" s="569"/>
      <c r="GZ155" s="569"/>
      <c r="HA155" s="569"/>
      <c r="HB155" s="569"/>
      <c r="HC155" s="569"/>
      <c r="HD155" s="569"/>
      <c r="HE155" s="569"/>
      <c r="HF155" s="569"/>
      <c r="HG155" s="569"/>
      <c r="HH155" s="569"/>
      <c r="HI155" s="569"/>
      <c r="HJ155" s="569"/>
      <c r="HK155" s="569"/>
      <c r="HL155" s="571"/>
      <c r="HM155" s="571"/>
      <c r="HN155" s="569"/>
      <c r="HO155" s="569"/>
      <c r="HP155" s="111"/>
      <c r="HQ155" s="111"/>
      <c r="HR155" s="111"/>
      <c r="HS155" s="111"/>
      <c r="HT155" s="111"/>
      <c r="HU155" s="111"/>
      <c r="HV155" s="111"/>
      <c r="HW155" s="111"/>
      <c r="HX155" s="111"/>
      <c r="HY155" s="111"/>
      <c r="HZ155" s="111"/>
      <c r="IA155" s="111"/>
      <c r="IB155" s="111"/>
      <c r="IC155" s="111"/>
      <c r="ID155" s="111"/>
      <c r="IE155" s="111"/>
      <c r="IF155" s="111"/>
      <c r="IG155" s="111"/>
      <c r="IH155" s="111"/>
      <c r="II155" s="111"/>
      <c r="IJ155" s="111"/>
      <c r="IK155" s="111"/>
      <c r="IL155" s="111"/>
      <c r="IM155" s="111"/>
      <c r="IN155" s="111"/>
      <c r="IO155" s="111"/>
      <c r="IP155" s="111"/>
      <c r="IQ155" s="111"/>
      <c r="IR155" s="111"/>
      <c r="IS155" s="111"/>
      <c r="IT155" s="111"/>
      <c r="IU155" s="111"/>
    </row>
    <row r="156" spans="1:255" s="105" customFormat="1" ht="13.15" customHeight="1" thickBot="1">
      <c r="A156" s="1"/>
      <c r="B156" s="11" t="s">
        <v>1373</v>
      </c>
      <c r="C156" s="1"/>
      <c r="D156" s="10"/>
      <c r="E156" s="1"/>
      <c r="F156" s="1"/>
      <c r="G156" s="1"/>
      <c r="H156" s="1"/>
      <c r="I156" s="11" t="s">
        <v>1456</v>
      </c>
      <c r="J156" s="1145" t="s">
        <v>3018</v>
      </c>
      <c r="K156" s="1"/>
      <c r="L156" s="1"/>
      <c r="M156" s="1"/>
      <c r="N156" s="11" t="s">
        <v>2319</v>
      </c>
      <c r="O156" s="6"/>
      <c r="P156" s="6"/>
      <c r="T156" s="1643"/>
      <c r="U156" s="1644"/>
      <c r="V156" s="567"/>
      <c r="W156" s="567"/>
      <c r="X156" s="567"/>
      <c r="Y156" s="569"/>
      <c r="Z156" s="569"/>
      <c r="AA156" s="569"/>
      <c r="AB156" s="569"/>
      <c r="AC156" s="569"/>
      <c r="AD156" s="569"/>
      <c r="AE156" s="569"/>
      <c r="AF156" s="569"/>
      <c r="AG156" s="569"/>
      <c r="AH156" s="569"/>
      <c r="AI156" s="569"/>
      <c r="AJ156" s="569"/>
      <c r="AK156" s="569"/>
      <c r="AL156" s="569"/>
      <c r="AM156" s="569"/>
      <c r="AN156" s="569"/>
      <c r="AO156" s="569"/>
      <c r="AP156" s="569"/>
      <c r="AQ156" s="569"/>
      <c r="AR156" s="569"/>
      <c r="AS156" s="569"/>
      <c r="AT156" s="569"/>
      <c r="AU156" s="569"/>
      <c r="AV156" s="569"/>
      <c r="AW156" s="569"/>
      <c r="AX156" s="569"/>
      <c r="AY156" s="569"/>
      <c r="AZ156" s="569"/>
      <c r="BA156" s="569"/>
      <c r="BB156" s="569"/>
      <c r="BC156" s="569"/>
      <c r="BD156" s="569"/>
      <c r="BE156" s="569"/>
      <c r="BF156" s="569"/>
      <c r="BG156" s="569"/>
      <c r="BH156" s="569"/>
      <c r="BI156" s="569"/>
      <c r="BJ156" s="569"/>
      <c r="BK156" s="569"/>
      <c r="BL156" s="569"/>
      <c r="BM156" s="569"/>
      <c r="BN156" s="569"/>
      <c r="BO156" s="569"/>
      <c r="BP156" s="569"/>
      <c r="BQ156" s="569"/>
      <c r="BR156" s="569"/>
      <c r="BS156" s="569"/>
      <c r="BT156" s="569"/>
      <c r="BU156" s="569"/>
      <c r="BV156" s="569"/>
      <c r="BW156" s="569"/>
      <c r="BX156" s="569"/>
      <c r="BY156" s="569"/>
      <c r="BZ156" s="569"/>
      <c r="CA156" s="569"/>
      <c r="CB156" s="569"/>
      <c r="CC156" s="569"/>
      <c r="CD156" s="569"/>
      <c r="CE156" s="569"/>
      <c r="CF156" s="569"/>
      <c r="CG156" s="569"/>
      <c r="CH156" s="569"/>
      <c r="CI156" s="569"/>
      <c r="CJ156" s="569"/>
      <c r="CK156" s="569"/>
      <c r="CL156" s="569"/>
      <c r="CM156" s="569"/>
      <c r="CN156" s="569"/>
      <c r="CO156" s="569"/>
      <c r="CP156" s="569"/>
      <c r="CQ156" s="569"/>
      <c r="CR156" s="569"/>
      <c r="CS156" s="569"/>
      <c r="CT156" s="569"/>
      <c r="CU156" s="569"/>
      <c r="CV156" s="569"/>
      <c r="CW156" s="569"/>
      <c r="CX156" s="569"/>
      <c r="CY156" s="569"/>
      <c r="CZ156" s="569"/>
      <c r="DA156" s="569"/>
      <c r="DB156" s="569"/>
      <c r="DC156" s="569"/>
      <c r="DD156" s="569"/>
      <c r="DE156" s="569"/>
      <c r="DF156" s="569"/>
      <c r="DG156" s="569"/>
      <c r="DH156" s="569"/>
      <c r="DI156" s="569"/>
      <c r="DJ156" s="569"/>
      <c r="DK156" s="569"/>
      <c r="DL156" s="569"/>
      <c r="DM156" s="569"/>
      <c r="DN156" s="569"/>
      <c r="DO156" s="569"/>
      <c r="DP156" s="569"/>
      <c r="DQ156" s="569"/>
      <c r="DR156" s="569"/>
      <c r="DS156" s="569"/>
      <c r="DT156" s="569"/>
      <c r="DU156" s="569"/>
      <c r="DV156" s="569"/>
      <c r="DW156" s="569"/>
      <c r="DX156" s="569"/>
      <c r="DY156" s="569"/>
      <c r="DZ156" s="569"/>
      <c r="EA156" s="569"/>
      <c r="EB156" s="569"/>
      <c r="EC156" s="569"/>
      <c r="ED156" s="569"/>
      <c r="EE156" s="569"/>
      <c r="EF156" s="569"/>
      <c r="EG156" s="569"/>
      <c r="EH156" s="569"/>
      <c r="EI156" s="569"/>
      <c r="EJ156" s="569"/>
      <c r="EK156" s="569"/>
      <c r="EL156" s="569"/>
      <c r="EM156" s="569"/>
      <c r="EN156" s="569"/>
      <c r="EO156" s="569"/>
      <c r="EP156" s="569"/>
      <c r="EQ156" s="569"/>
      <c r="ER156" s="569"/>
      <c r="ES156" s="569"/>
      <c r="ET156" s="569"/>
      <c r="EU156" s="569"/>
      <c r="EV156" s="569"/>
      <c r="EW156" s="569"/>
      <c r="EX156" s="569"/>
      <c r="EY156" s="569"/>
      <c r="EZ156" s="569"/>
      <c r="FA156" s="569"/>
      <c r="FB156" s="569"/>
      <c r="FC156" s="569"/>
      <c r="FD156" s="569"/>
      <c r="FE156" s="569"/>
      <c r="FF156" s="569"/>
      <c r="FG156" s="569"/>
      <c r="FH156" s="569"/>
      <c r="FI156" s="569"/>
      <c r="FJ156" s="569"/>
      <c r="FK156" s="569"/>
      <c r="FL156" s="569"/>
      <c r="FM156" s="569"/>
      <c r="FN156" s="569"/>
      <c r="FO156" s="569"/>
      <c r="FP156" s="569"/>
      <c r="FQ156" s="569"/>
      <c r="FR156" s="569"/>
      <c r="FS156" s="569"/>
      <c r="FT156" s="569"/>
      <c r="FU156" s="569"/>
      <c r="FV156" s="569"/>
      <c r="FW156" s="569"/>
      <c r="FX156" s="569"/>
      <c r="FY156" s="570"/>
      <c r="FZ156" s="570"/>
      <c r="GA156" s="570"/>
      <c r="GB156" s="570"/>
      <c r="GC156" s="570"/>
      <c r="GD156" s="570"/>
      <c r="GE156" s="570"/>
      <c r="GF156" s="570"/>
      <c r="GG156" s="570"/>
      <c r="GH156" s="570"/>
      <c r="GI156" s="570"/>
      <c r="GJ156" s="570"/>
      <c r="GK156" s="570"/>
      <c r="GL156" s="570"/>
      <c r="GM156" s="570"/>
      <c r="GN156" s="570"/>
      <c r="GO156" s="570"/>
      <c r="GP156" s="569"/>
      <c r="GQ156" s="569"/>
      <c r="GR156" s="569"/>
      <c r="GS156" s="569"/>
      <c r="GT156" s="569"/>
      <c r="GU156" s="569"/>
      <c r="GV156" s="571"/>
      <c r="GW156" s="569"/>
      <c r="GX156" s="569"/>
      <c r="GY156" s="569"/>
      <c r="GZ156" s="569"/>
      <c r="HA156" s="569"/>
      <c r="HB156" s="569"/>
      <c r="HC156" s="569"/>
      <c r="HD156" s="569"/>
      <c r="HE156" s="569"/>
      <c r="HF156" s="569"/>
      <c r="HG156" s="569"/>
      <c r="HH156" s="569"/>
      <c r="HI156" s="569"/>
      <c r="HJ156" s="569"/>
      <c r="HK156" s="569"/>
      <c r="HL156" s="571"/>
      <c r="HM156" s="571"/>
      <c r="HN156" s="569"/>
      <c r="HO156" s="569"/>
      <c r="HP156" s="111"/>
      <c r="HQ156" s="111"/>
      <c r="HR156" s="111"/>
      <c r="HS156" s="111"/>
      <c r="HT156" s="111"/>
      <c r="HU156" s="111"/>
      <c r="HV156" s="111"/>
      <c r="HW156" s="111"/>
      <c r="HX156" s="111"/>
      <c r="HY156" s="111"/>
      <c r="HZ156" s="111"/>
      <c r="IA156" s="111"/>
      <c r="IB156" s="111"/>
      <c r="IC156" s="111"/>
      <c r="ID156" s="111"/>
      <c r="IE156" s="111"/>
      <c r="IF156" s="111"/>
      <c r="IG156" s="111"/>
      <c r="IH156" s="111"/>
      <c r="II156" s="111"/>
      <c r="IJ156" s="111"/>
      <c r="IK156" s="111"/>
      <c r="IL156" s="111"/>
      <c r="IM156" s="111"/>
      <c r="IN156" s="111"/>
      <c r="IO156" s="111"/>
      <c r="IP156" s="111"/>
      <c r="IQ156" s="111"/>
      <c r="IR156" s="111"/>
      <c r="IS156" s="111"/>
      <c r="IT156" s="111"/>
      <c r="IU156" s="111"/>
    </row>
    <row r="157" spans="1:255" s="105" customFormat="1" ht="15.6" customHeight="1" thickBot="1">
      <c r="A157" s="1"/>
      <c r="B157" s="1" t="s">
        <v>1704</v>
      </c>
      <c r="C157" s="1"/>
      <c r="D157" s="10"/>
      <c r="E157" s="1"/>
      <c r="F157" s="1798"/>
      <c r="G157" s="1799"/>
      <c r="H157" s="1"/>
      <c r="I157" s="1" t="s">
        <v>1449</v>
      </c>
      <c r="J157" s="660">
        <f>K157/12/M62</f>
        <v>26.785714285714285</v>
      </c>
      <c r="K157" s="1802">
        <v>27000</v>
      </c>
      <c r="L157" s="1803"/>
      <c r="M157" s="1"/>
      <c r="N157" s="480">
        <f>+P157/M62</f>
        <v>4000</v>
      </c>
      <c r="O157" s="30" t="s">
        <v>3022</v>
      </c>
      <c r="P157" s="495">
        <f>F145+F154+F165+K143+K152+K162+P144+P147</f>
        <v>336000</v>
      </c>
      <c r="T157" s="1643"/>
      <c r="U157" s="1644"/>
      <c r="V157" s="567"/>
      <c r="W157" s="567"/>
      <c r="X157" s="567"/>
      <c r="Y157" s="569"/>
      <c r="Z157" s="569"/>
      <c r="AA157" s="569"/>
      <c r="AB157" s="569"/>
      <c r="AC157" s="569"/>
      <c r="AD157" s="569"/>
      <c r="AE157" s="569"/>
      <c r="AF157" s="569"/>
      <c r="AG157" s="569"/>
      <c r="AH157" s="569"/>
      <c r="AI157" s="569"/>
      <c r="AJ157" s="569"/>
      <c r="AK157" s="569"/>
      <c r="AL157" s="569"/>
      <c r="AM157" s="569"/>
      <c r="AN157" s="569"/>
      <c r="AO157" s="569"/>
      <c r="AP157" s="569"/>
      <c r="AQ157" s="569"/>
      <c r="AR157" s="569"/>
      <c r="AS157" s="569"/>
      <c r="AT157" s="569"/>
      <c r="AU157" s="569"/>
      <c r="AV157" s="569"/>
      <c r="AW157" s="569"/>
      <c r="AX157" s="569"/>
      <c r="AY157" s="569"/>
      <c r="AZ157" s="569"/>
      <c r="BA157" s="569"/>
      <c r="BB157" s="569"/>
      <c r="BC157" s="569"/>
      <c r="BD157" s="569"/>
      <c r="BE157" s="569"/>
      <c r="BF157" s="569"/>
      <c r="BG157" s="569"/>
      <c r="BH157" s="569"/>
      <c r="BI157" s="569"/>
      <c r="BJ157" s="569"/>
      <c r="BK157" s="569"/>
      <c r="BL157" s="569"/>
      <c r="BM157" s="569"/>
      <c r="BN157" s="569"/>
      <c r="BO157" s="569"/>
      <c r="BP157" s="569"/>
      <c r="BQ157" s="569"/>
      <c r="BR157" s="569"/>
      <c r="BS157" s="569"/>
      <c r="BT157" s="569"/>
      <c r="BU157" s="569"/>
      <c r="BV157" s="569"/>
      <c r="BW157" s="569"/>
      <c r="BX157" s="569"/>
      <c r="BY157" s="569"/>
      <c r="BZ157" s="569"/>
      <c r="CA157" s="569"/>
      <c r="CB157" s="569"/>
      <c r="CC157" s="569"/>
      <c r="CD157" s="569"/>
      <c r="CE157" s="569"/>
      <c r="CF157" s="569"/>
      <c r="CG157" s="569"/>
      <c r="CH157" s="569"/>
      <c r="CI157" s="569"/>
      <c r="CJ157" s="569"/>
      <c r="CK157" s="569"/>
      <c r="CL157" s="569"/>
      <c r="CM157" s="569"/>
      <c r="CN157" s="569"/>
      <c r="CO157" s="569"/>
      <c r="CP157" s="569"/>
      <c r="CQ157" s="569"/>
      <c r="CR157" s="569"/>
      <c r="CS157" s="569"/>
      <c r="CT157" s="569"/>
      <c r="CU157" s="569"/>
      <c r="CV157" s="569"/>
      <c r="CW157" s="569"/>
      <c r="CX157" s="569"/>
      <c r="CY157" s="569"/>
      <c r="CZ157" s="569"/>
      <c r="DA157" s="569"/>
      <c r="DB157" s="569"/>
      <c r="DC157" s="569"/>
      <c r="DD157" s="569"/>
      <c r="DE157" s="569"/>
      <c r="DF157" s="569"/>
      <c r="DG157" s="569"/>
      <c r="DH157" s="569"/>
      <c r="DI157" s="569"/>
      <c r="DJ157" s="569"/>
      <c r="DK157" s="569"/>
      <c r="DL157" s="569"/>
      <c r="DM157" s="569"/>
      <c r="DN157" s="569"/>
      <c r="DO157" s="569"/>
      <c r="DP157" s="569"/>
      <c r="DQ157" s="569"/>
      <c r="DR157" s="569"/>
      <c r="DS157" s="569"/>
      <c r="DT157" s="569"/>
      <c r="DU157" s="569"/>
      <c r="DV157" s="569"/>
      <c r="DW157" s="569"/>
      <c r="DX157" s="569"/>
      <c r="DY157" s="569"/>
      <c r="DZ157" s="569"/>
      <c r="EA157" s="569"/>
      <c r="EB157" s="569"/>
      <c r="EC157" s="569"/>
      <c r="ED157" s="569"/>
      <c r="EE157" s="569"/>
      <c r="EF157" s="569"/>
      <c r="EG157" s="569"/>
      <c r="EH157" s="569"/>
      <c r="EI157" s="569"/>
      <c r="EJ157" s="569"/>
      <c r="EK157" s="569"/>
      <c r="EL157" s="569"/>
      <c r="EM157" s="569"/>
      <c r="EN157" s="569"/>
      <c r="EO157" s="569"/>
      <c r="EP157" s="569"/>
      <c r="EQ157" s="569"/>
      <c r="ER157" s="569"/>
      <c r="ES157" s="569"/>
      <c r="ET157" s="569"/>
      <c r="EU157" s="569"/>
      <c r="EV157" s="569"/>
      <c r="EW157" s="569"/>
      <c r="EX157" s="569"/>
      <c r="EY157" s="569"/>
      <c r="EZ157" s="569"/>
      <c r="FA157" s="569"/>
      <c r="FB157" s="569"/>
      <c r="FC157" s="569"/>
      <c r="FD157" s="569"/>
      <c r="FE157" s="569"/>
      <c r="FF157" s="569"/>
      <c r="FG157" s="569"/>
      <c r="FH157" s="569"/>
      <c r="FI157" s="569"/>
      <c r="FJ157" s="569"/>
      <c r="FK157" s="569"/>
      <c r="FL157" s="569"/>
      <c r="FM157" s="569"/>
      <c r="FN157" s="569"/>
      <c r="FO157" s="569"/>
      <c r="FP157" s="569"/>
      <c r="FQ157" s="569"/>
      <c r="FR157" s="569"/>
      <c r="FS157" s="569"/>
      <c r="FT157" s="569"/>
      <c r="FU157" s="569"/>
      <c r="FV157" s="569"/>
      <c r="FW157" s="569"/>
      <c r="FX157" s="569"/>
      <c r="FY157" s="570"/>
      <c r="FZ157" s="570"/>
      <c r="GA157" s="570"/>
      <c r="GB157" s="570"/>
      <c r="GC157" s="570"/>
      <c r="GD157" s="570"/>
      <c r="GE157" s="570"/>
      <c r="GF157" s="570"/>
      <c r="GG157" s="570"/>
      <c r="GH157" s="570"/>
      <c r="GI157" s="570"/>
      <c r="GJ157" s="570"/>
      <c r="GK157" s="570"/>
      <c r="GL157" s="570"/>
      <c r="GM157" s="570"/>
      <c r="GN157" s="570"/>
      <c r="GO157" s="570"/>
      <c r="GP157" s="569"/>
      <c r="GQ157" s="569"/>
      <c r="GR157" s="569"/>
      <c r="GS157" s="569"/>
      <c r="GT157" s="569"/>
      <c r="GU157" s="569"/>
      <c r="GV157" s="571"/>
      <c r="GW157" s="569"/>
      <c r="GX157" s="569"/>
      <c r="GY157" s="569"/>
      <c r="GZ157" s="569"/>
      <c r="HA157" s="569"/>
      <c r="HB157" s="569"/>
      <c r="HC157" s="569"/>
      <c r="HD157" s="569"/>
      <c r="HE157" s="569"/>
      <c r="HF157" s="569"/>
      <c r="HG157" s="569"/>
      <c r="HH157" s="569"/>
      <c r="HI157" s="569"/>
      <c r="HJ157" s="569"/>
      <c r="HK157" s="569"/>
      <c r="HL157" s="571"/>
      <c r="HM157" s="571"/>
      <c r="HN157" s="569"/>
      <c r="HO157" s="569"/>
      <c r="HP157" s="111"/>
      <c r="HQ157" s="111"/>
      <c r="HR157" s="111"/>
      <c r="HS157" s="111"/>
      <c r="HT157" s="111"/>
      <c r="HU157" s="111"/>
      <c r="HV157" s="111"/>
      <c r="HW157" s="111"/>
      <c r="HX157" s="111"/>
      <c r="HY157" s="111"/>
      <c r="HZ157" s="111"/>
      <c r="IA157" s="111"/>
      <c r="IB157" s="111"/>
      <c r="IC157" s="111"/>
      <c r="ID157" s="111"/>
      <c r="IE157" s="111"/>
      <c r="IF157" s="111"/>
      <c r="IG157" s="111"/>
      <c r="IH157" s="111"/>
      <c r="II157" s="111"/>
      <c r="IJ157" s="111"/>
      <c r="IK157" s="111"/>
      <c r="IL157" s="111"/>
      <c r="IM157" s="111"/>
      <c r="IN157" s="111"/>
      <c r="IO157" s="111"/>
      <c r="IP157" s="111"/>
      <c r="IQ157" s="111"/>
      <c r="IR157" s="111"/>
      <c r="IS157" s="111"/>
      <c r="IT157" s="111"/>
      <c r="IU157" s="111"/>
    </row>
    <row r="158" spans="1:255" s="105" customFormat="1" ht="15.6" customHeight="1">
      <c r="A158" s="1"/>
      <c r="B158" s="1" t="s">
        <v>1705</v>
      </c>
      <c r="C158" s="1"/>
      <c r="D158" s="10"/>
      <c r="E158" s="1"/>
      <c r="F158" s="1798">
        <v>8400</v>
      </c>
      <c r="G158" s="1799"/>
      <c r="H158" s="1"/>
      <c r="I158" s="1" t="s">
        <v>1450</v>
      </c>
      <c r="J158" s="660">
        <f>K158/12/M62</f>
        <v>0</v>
      </c>
      <c r="K158" s="1802"/>
      <c r="L158" s="1803"/>
      <c r="M158" s="1"/>
      <c r="N158" s="1"/>
      <c r="O158" s="1"/>
      <c r="P158" s="1"/>
      <c r="T158" s="1643"/>
      <c r="U158" s="1644"/>
      <c r="V158" s="567"/>
      <c r="W158" s="567"/>
      <c r="X158" s="567"/>
      <c r="Y158" s="569"/>
      <c r="Z158" s="569"/>
      <c r="AA158" s="569"/>
      <c r="AB158" s="569"/>
      <c r="AC158" s="569"/>
      <c r="AD158" s="569"/>
      <c r="AE158" s="569"/>
      <c r="AF158" s="569"/>
      <c r="AG158" s="569"/>
      <c r="AH158" s="569"/>
      <c r="AI158" s="569"/>
      <c r="AJ158" s="569"/>
      <c r="AK158" s="569"/>
      <c r="AL158" s="569"/>
      <c r="AM158" s="569"/>
      <c r="AN158" s="569"/>
      <c r="AO158" s="569"/>
      <c r="AP158" s="569"/>
      <c r="AQ158" s="569"/>
      <c r="AR158" s="569"/>
      <c r="AS158" s="569"/>
      <c r="AT158" s="569"/>
      <c r="AU158" s="569"/>
      <c r="AV158" s="569"/>
      <c r="AW158" s="569"/>
      <c r="AX158" s="569"/>
      <c r="AY158" s="569"/>
      <c r="AZ158" s="569"/>
      <c r="BA158" s="569"/>
      <c r="BB158" s="569"/>
      <c r="BC158" s="569"/>
      <c r="BD158" s="569"/>
      <c r="BE158" s="569"/>
      <c r="BF158" s="569"/>
      <c r="BG158" s="569"/>
      <c r="BH158" s="569"/>
      <c r="BI158" s="569"/>
      <c r="BJ158" s="569"/>
      <c r="BK158" s="569"/>
      <c r="BL158" s="569"/>
      <c r="BM158" s="569"/>
      <c r="BN158" s="569"/>
      <c r="BO158" s="569"/>
      <c r="BP158" s="569"/>
      <c r="BQ158" s="569"/>
      <c r="BR158" s="569"/>
      <c r="BS158" s="569"/>
      <c r="BT158" s="569"/>
      <c r="BU158" s="569"/>
      <c r="BV158" s="569"/>
      <c r="BW158" s="569"/>
      <c r="BX158" s="569"/>
      <c r="BY158" s="569"/>
      <c r="BZ158" s="569"/>
      <c r="CA158" s="569"/>
      <c r="CB158" s="569"/>
      <c r="CC158" s="569"/>
      <c r="CD158" s="569"/>
      <c r="CE158" s="569"/>
      <c r="CF158" s="569"/>
      <c r="CG158" s="569"/>
      <c r="CH158" s="569"/>
      <c r="CI158" s="569"/>
      <c r="CJ158" s="569"/>
      <c r="CK158" s="569"/>
      <c r="CL158" s="569"/>
      <c r="CM158" s="569"/>
      <c r="CN158" s="569"/>
      <c r="CO158" s="569"/>
      <c r="CP158" s="569"/>
      <c r="CQ158" s="569"/>
      <c r="CR158" s="569"/>
      <c r="CS158" s="569"/>
      <c r="CT158" s="569"/>
      <c r="CU158" s="569"/>
      <c r="CV158" s="569"/>
      <c r="CW158" s="569"/>
      <c r="CX158" s="569"/>
      <c r="CY158" s="569"/>
      <c r="CZ158" s="569"/>
      <c r="DA158" s="569"/>
      <c r="DB158" s="569"/>
      <c r="DC158" s="569"/>
      <c r="DD158" s="569"/>
      <c r="DE158" s="569"/>
      <c r="DF158" s="569"/>
      <c r="DG158" s="569"/>
      <c r="DH158" s="569"/>
      <c r="DI158" s="569"/>
      <c r="DJ158" s="569"/>
      <c r="DK158" s="569"/>
      <c r="DL158" s="569"/>
      <c r="DM158" s="569"/>
      <c r="DN158" s="569"/>
      <c r="DO158" s="569"/>
      <c r="DP158" s="569"/>
      <c r="DQ158" s="569"/>
      <c r="DR158" s="569"/>
      <c r="DS158" s="569"/>
      <c r="DT158" s="569"/>
      <c r="DU158" s="569"/>
      <c r="DV158" s="569"/>
      <c r="DW158" s="569"/>
      <c r="DX158" s="569"/>
      <c r="DY158" s="569"/>
      <c r="DZ158" s="569"/>
      <c r="EA158" s="569"/>
      <c r="EB158" s="569"/>
      <c r="EC158" s="569"/>
      <c r="ED158" s="569"/>
      <c r="EE158" s="569"/>
      <c r="EF158" s="569"/>
      <c r="EG158" s="569"/>
      <c r="EH158" s="569"/>
      <c r="EI158" s="569"/>
      <c r="EJ158" s="569"/>
      <c r="EK158" s="569"/>
      <c r="EL158" s="569"/>
      <c r="EM158" s="569"/>
      <c r="EN158" s="569"/>
      <c r="EO158" s="569"/>
      <c r="EP158" s="569"/>
      <c r="EQ158" s="569"/>
      <c r="ER158" s="569"/>
      <c r="ES158" s="569"/>
      <c r="ET158" s="569"/>
      <c r="EU158" s="569"/>
      <c r="EV158" s="569"/>
      <c r="EW158" s="569"/>
      <c r="EX158" s="569"/>
      <c r="EY158" s="569"/>
      <c r="EZ158" s="569"/>
      <c r="FA158" s="569"/>
      <c r="FB158" s="569"/>
      <c r="FC158" s="569"/>
      <c r="FD158" s="569"/>
      <c r="FE158" s="569"/>
      <c r="FF158" s="569"/>
      <c r="FG158" s="569"/>
      <c r="FH158" s="569"/>
      <c r="FI158" s="569"/>
      <c r="FJ158" s="569"/>
      <c r="FK158" s="569"/>
      <c r="FL158" s="569"/>
      <c r="FM158" s="569"/>
      <c r="FN158" s="569"/>
      <c r="FO158" s="569"/>
      <c r="FP158" s="569"/>
      <c r="FQ158" s="569"/>
      <c r="FR158" s="569"/>
      <c r="FS158" s="569"/>
      <c r="FT158" s="569"/>
      <c r="FU158" s="569"/>
      <c r="FV158" s="569"/>
      <c r="FW158" s="569"/>
      <c r="FX158" s="569"/>
      <c r="FY158" s="570"/>
      <c r="FZ158" s="570"/>
      <c r="GA158" s="570"/>
      <c r="GB158" s="570"/>
      <c r="GC158" s="570"/>
      <c r="GD158" s="570"/>
      <c r="GE158" s="570"/>
      <c r="GF158" s="570"/>
      <c r="GG158" s="570"/>
      <c r="GH158" s="570"/>
      <c r="GI158" s="570"/>
      <c r="GJ158" s="570"/>
      <c r="GK158" s="570"/>
      <c r="GL158" s="570"/>
      <c r="GM158" s="570"/>
      <c r="GN158" s="570"/>
      <c r="GO158" s="570"/>
      <c r="GP158" s="569"/>
      <c r="GQ158" s="569"/>
      <c r="GR158" s="569"/>
      <c r="GS158" s="569"/>
      <c r="GT158" s="569"/>
      <c r="GU158" s="569"/>
      <c r="GV158" s="571"/>
      <c r="GW158" s="569"/>
      <c r="GX158" s="569"/>
      <c r="GY158" s="569"/>
      <c r="GZ158" s="569"/>
      <c r="HA158" s="569"/>
      <c r="HB158" s="569"/>
      <c r="HC158" s="569"/>
      <c r="HD158" s="569"/>
      <c r="HE158" s="569"/>
      <c r="HF158" s="569"/>
      <c r="HG158" s="569"/>
      <c r="HH158" s="569"/>
      <c r="HI158" s="569"/>
      <c r="HJ158" s="569"/>
      <c r="HK158" s="569"/>
      <c r="HL158" s="571"/>
      <c r="HM158" s="571"/>
      <c r="HN158" s="569"/>
      <c r="HO158" s="569"/>
      <c r="HP158" s="111"/>
      <c r="HQ158" s="111"/>
      <c r="HR158" s="111"/>
      <c r="HS158" s="111"/>
      <c r="HT158" s="111"/>
      <c r="HU158" s="111"/>
      <c r="HV158" s="111"/>
      <c r="HW158" s="111"/>
      <c r="HX158" s="111"/>
      <c r="HY158" s="111"/>
      <c r="HZ158" s="111"/>
      <c r="IA158" s="111"/>
      <c r="IB158" s="111"/>
      <c r="IC158" s="111"/>
      <c r="ID158" s="111"/>
      <c r="IE158" s="111"/>
      <c r="IF158" s="111"/>
      <c r="IG158" s="111"/>
      <c r="IH158" s="111"/>
      <c r="II158" s="111"/>
      <c r="IJ158" s="111"/>
      <c r="IK158" s="111"/>
      <c r="IL158" s="111"/>
      <c r="IM158" s="111"/>
      <c r="IN158" s="111"/>
      <c r="IO158" s="111"/>
      <c r="IP158" s="111"/>
      <c r="IQ158" s="111"/>
      <c r="IR158" s="111"/>
      <c r="IS158" s="111"/>
      <c r="IT158" s="111"/>
      <c r="IU158" s="111"/>
    </row>
    <row r="159" spans="1:255" s="105" customFormat="1" ht="15.6" customHeight="1" thickBot="1">
      <c r="A159" s="1"/>
      <c r="B159" s="1" t="s">
        <v>1706</v>
      </c>
      <c r="C159" s="1"/>
      <c r="D159" s="10"/>
      <c r="E159" s="1"/>
      <c r="F159" s="1798">
        <v>24000</v>
      </c>
      <c r="G159" s="1799"/>
      <c r="H159" s="1"/>
      <c r="I159" s="1" t="s">
        <v>2497</v>
      </c>
      <c r="J159" s="660">
        <f>K159/12/M62</f>
        <v>7.8373015873015879</v>
      </c>
      <c r="K159" s="1802">
        <v>7900</v>
      </c>
      <c r="L159" s="1803"/>
      <c r="M159" s="1"/>
      <c r="N159" s="1"/>
      <c r="O159" s="1"/>
      <c r="P159" s="1"/>
      <c r="T159" s="1643"/>
      <c r="U159" s="1644"/>
      <c r="V159" s="567"/>
      <c r="W159" s="567"/>
      <c r="X159" s="567"/>
      <c r="Y159" s="569"/>
      <c r="Z159" s="569"/>
      <c r="AA159" s="569"/>
      <c r="AB159" s="569"/>
      <c r="AC159" s="569"/>
      <c r="AD159" s="569"/>
      <c r="AE159" s="569"/>
      <c r="AF159" s="569"/>
      <c r="AG159" s="569"/>
      <c r="AH159" s="569"/>
      <c r="AI159" s="569"/>
      <c r="AJ159" s="569"/>
      <c r="AK159" s="569"/>
      <c r="AL159" s="569"/>
      <c r="AM159" s="569"/>
      <c r="AN159" s="569"/>
      <c r="AO159" s="569"/>
      <c r="AP159" s="569"/>
      <c r="AQ159" s="569"/>
      <c r="AR159" s="569"/>
      <c r="AS159" s="569"/>
      <c r="AT159" s="569"/>
      <c r="AU159" s="569"/>
      <c r="AV159" s="569"/>
      <c r="AW159" s="569"/>
      <c r="AX159" s="569"/>
      <c r="AY159" s="569"/>
      <c r="AZ159" s="569"/>
      <c r="BA159" s="569"/>
      <c r="BB159" s="569"/>
      <c r="BC159" s="569"/>
      <c r="BD159" s="569"/>
      <c r="BE159" s="569"/>
      <c r="BF159" s="569"/>
      <c r="BG159" s="569"/>
      <c r="BH159" s="569"/>
      <c r="BI159" s="569"/>
      <c r="BJ159" s="569"/>
      <c r="BK159" s="569"/>
      <c r="BL159" s="569"/>
      <c r="BM159" s="569"/>
      <c r="BN159" s="569"/>
      <c r="BO159" s="569"/>
      <c r="BP159" s="569"/>
      <c r="BQ159" s="569"/>
      <c r="BR159" s="569"/>
      <c r="BS159" s="569"/>
      <c r="BT159" s="569"/>
      <c r="BU159" s="569"/>
      <c r="BV159" s="569"/>
      <c r="BW159" s="569"/>
      <c r="BX159" s="569"/>
      <c r="BY159" s="569"/>
      <c r="BZ159" s="569"/>
      <c r="CA159" s="569"/>
      <c r="CB159" s="569"/>
      <c r="CC159" s="569"/>
      <c r="CD159" s="569"/>
      <c r="CE159" s="569"/>
      <c r="CF159" s="569"/>
      <c r="CG159" s="569"/>
      <c r="CH159" s="569"/>
      <c r="CI159" s="569"/>
      <c r="CJ159" s="569"/>
      <c r="CK159" s="569"/>
      <c r="CL159" s="569"/>
      <c r="CM159" s="569"/>
      <c r="CN159" s="569"/>
      <c r="CO159" s="569"/>
      <c r="CP159" s="569"/>
      <c r="CQ159" s="569"/>
      <c r="CR159" s="569"/>
      <c r="CS159" s="569"/>
      <c r="CT159" s="569"/>
      <c r="CU159" s="569"/>
      <c r="CV159" s="569"/>
      <c r="CW159" s="569"/>
      <c r="CX159" s="569"/>
      <c r="CY159" s="569"/>
      <c r="CZ159" s="569"/>
      <c r="DA159" s="569"/>
      <c r="DB159" s="569"/>
      <c r="DC159" s="569"/>
      <c r="DD159" s="569"/>
      <c r="DE159" s="569"/>
      <c r="DF159" s="569"/>
      <c r="DG159" s="569"/>
      <c r="DH159" s="569"/>
      <c r="DI159" s="569"/>
      <c r="DJ159" s="569"/>
      <c r="DK159" s="569"/>
      <c r="DL159" s="569"/>
      <c r="DM159" s="569"/>
      <c r="DN159" s="569"/>
      <c r="DO159" s="569"/>
      <c r="DP159" s="569"/>
      <c r="DQ159" s="569"/>
      <c r="DR159" s="569"/>
      <c r="DS159" s="569"/>
      <c r="DT159" s="569"/>
      <c r="DU159" s="569"/>
      <c r="DV159" s="569"/>
      <c r="DW159" s="569"/>
      <c r="DX159" s="569"/>
      <c r="DY159" s="569"/>
      <c r="DZ159" s="569"/>
      <c r="EA159" s="569"/>
      <c r="EB159" s="569"/>
      <c r="EC159" s="569"/>
      <c r="ED159" s="569"/>
      <c r="EE159" s="569"/>
      <c r="EF159" s="569"/>
      <c r="EG159" s="569"/>
      <c r="EH159" s="569"/>
      <c r="EI159" s="569"/>
      <c r="EJ159" s="569"/>
      <c r="EK159" s="569"/>
      <c r="EL159" s="569"/>
      <c r="EM159" s="569"/>
      <c r="EN159" s="569"/>
      <c r="EO159" s="569"/>
      <c r="EP159" s="569"/>
      <c r="EQ159" s="569"/>
      <c r="ER159" s="569"/>
      <c r="ES159" s="569"/>
      <c r="ET159" s="569"/>
      <c r="EU159" s="569"/>
      <c r="EV159" s="569"/>
      <c r="EW159" s="569"/>
      <c r="EX159" s="569"/>
      <c r="EY159" s="569"/>
      <c r="EZ159" s="569"/>
      <c r="FA159" s="569"/>
      <c r="FB159" s="569"/>
      <c r="FC159" s="569"/>
      <c r="FD159" s="569"/>
      <c r="FE159" s="569"/>
      <c r="FF159" s="569"/>
      <c r="FG159" s="569"/>
      <c r="FH159" s="569"/>
      <c r="FI159" s="569"/>
      <c r="FJ159" s="569"/>
      <c r="FK159" s="569"/>
      <c r="FL159" s="569"/>
      <c r="FM159" s="569"/>
      <c r="FN159" s="569"/>
      <c r="FO159" s="569"/>
      <c r="FP159" s="569"/>
      <c r="FQ159" s="569"/>
      <c r="FR159" s="569"/>
      <c r="FS159" s="569"/>
      <c r="FT159" s="569"/>
      <c r="FU159" s="569"/>
      <c r="FV159" s="569"/>
      <c r="FW159" s="569"/>
      <c r="FX159" s="569"/>
      <c r="FY159" s="570"/>
      <c r="FZ159" s="570"/>
      <c r="GA159" s="570"/>
      <c r="GB159" s="570"/>
      <c r="GC159" s="570"/>
      <c r="GD159" s="570"/>
      <c r="GE159" s="570"/>
      <c r="GF159" s="570"/>
      <c r="GG159" s="570"/>
      <c r="GH159" s="570"/>
      <c r="GI159" s="570"/>
      <c r="GJ159" s="570"/>
      <c r="GK159" s="570"/>
      <c r="GL159" s="570"/>
      <c r="GM159" s="570"/>
      <c r="GN159" s="570"/>
      <c r="GO159" s="570"/>
      <c r="GP159" s="569"/>
      <c r="GQ159" s="569"/>
      <c r="GR159" s="569"/>
      <c r="GS159" s="569"/>
      <c r="GT159" s="569"/>
      <c r="GU159" s="569"/>
      <c r="GV159" s="571"/>
      <c r="GW159" s="569"/>
      <c r="GX159" s="569"/>
      <c r="GY159" s="569"/>
      <c r="GZ159" s="569"/>
      <c r="HA159" s="569"/>
      <c r="HB159" s="569"/>
      <c r="HC159" s="569"/>
      <c r="HD159" s="569"/>
      <c r="HE159" s="569"/>
      <c r="HF159" s="569"/>
      <c r="HG159" s="569"/>
      <c r="HH159" s="569"/>
      <c r="HI159" s="569"/>
      <c r="HJ159" s="569"/>
      <c r="HK159" s="569"/>
      <c r="HL159" s="571"/>
      <c r="HM159" s="571"/>
      <c r="HN159" s="569"/>
      <c r="HO159" s="569"/>
      <c r="HP159" s="111"/>
      <c r="HQ159" s="111"/>
      <c r="HR159" s="111"/>
      <c r="HS159" s="111"/>
      <c r="HT159" s="111"/>
      <c r="HU159" s="111"/>
      <c r="HV159" s="111"/>
      <c r="HW159" s="111"/>
      <c r="HX159" s="111"/>
      <c r="HY159" s="111"/>
      <c r="HZ159" s="111"/>
      <c r="IA159" s="111"/>
      <c r="IB159" s="111"/>
      <c r="IC159" s="111"/>
      <c r="ID159" s="111"/>
      <c r="IE159" s="111"/>
      <c r="IF159" s="111"/>
      <c r="IG159" s="111"/>
      <c r="IH159" s="111"/>
      <c r="II159" s="111"/>
      <c r="IJ159" s="111"/>
      <c r="IK159" s="111"/>
      <c r="IL159" s="111"/>
      <c r="IM159" s="111"/>
      <c r="IN159" s="111"/>
      <c r="IO159" s="111"/>
      <c r="IP159" s="111"/>
      <c r="IQ159" s="111"/>
      <c r="IR159" s="111"/>
      <c r="IS159" s="111"/>
      <c r="IT159" s="111"/>
      <c r="IU159" s="111"/>
    </row>
    <row r="160" spans="1:255" s="105" customFormat="1" ht="15.6" customHeight="1" thickBot="1">
      <c r="A160" s="1"/>
      <c r="B160" s="1" t="s">
        <v>1057</v>
      </c>
      <c r="C160" s="1"/>
      <c r="D160" s="10"/>
      <c r="E160" s="1"/>
      <c r="F160" s="1780">
        <v>7500</v>
      </c>
      <c r="G160" s="1781"/>
      <c r="H160" s="1"/>
      <c r="I160" s="1" t="s">
        <v>1452</v>
      </c>
      <c r="J160" s="1"/>
      <c r="K160" s="1802">
        <v>3900</v>
      </c>
      <c r="L160" s="1803"/>
      <c r="M160" s="1"/>
      <c r="N160" s="11" t="s">
        <v>1316</v>
      </c>
      <c r="O160" s="11"/>
      <c r="P160" s="496">
        <f>P161*M62</f>
        <v>21000</v>
      </c>
      <c r="T160" s="1643"/>
      <c r="U160" s="1644"/>
      <c r="V160" s="567"/>
      <c r="W160" s="567"/>
      <c r="X160" s="567"/>
      <c r="Y160" s="569"/>
      <c r="Z160" s="569"/>
      <c r="AA160" s="569"/>
      <c r="AB160" s="569"/>
      <c r="AC160" s="569"/>
      <c r="AD160" s="569"/>
      <c r="AE160" s="569"/>
      <c r="AF160" s="569"/>
      <c r="AG160" s="569"/>
      <c r="AH160" s="569"/>
      <c r="AI160" s="569"/>
      <c r="AJ160" s="569"/>
      <c r="AK160" s="569"/>
      <c r="AL160" s="569"/>
      <c r="AM160" s="569"/>
      <c r="AN160" s="569"/>
      <c r="AO160" s="569"/>
      <c r="AP160" s="569"/>
      <c r="AQ160" s="569"/>
      <c r="AR160" s="569"/>
      <c r="AS160" s="569"/>
      <c r="AT160" s="569"/>
      <c r="AU160" s="569"/>
      <c r="AV160" s="569"/>
      <c r="AW160" s="569"/>
      <c r="AX160" s="569"/>
      <c r="AY160" s="569"/>
      <c r="AZ160" s="569"/>
      <c r="BA160" s="569"/>
      <c r="BB160" s="569"/>
      <c r="BC160" s="569"/>
      <c r="BD160" s="569"/>
      <c r="BE160" s="569"/>
      <c r="BF160" s="569"/>
      <c r="BG160" s="569"/>
      <c r="BH160" s="569"/>
      <c r="BI160" s="569"/>
      <c r="BJ160" s="569"/>
      <c r="BK160" s="569"/>
      <c r="BL160" s="569"/>
      <c r="BM160" s="569"/>
      <c r="BN160" s="569"/>
      <c r="BO160" s="569"/>
      <c r="BP160" s="569"/>
      <c r="BQ160" s="569"/>
      <c r="BR160" s="569"/>
      <c r="BS160" s="569"/>
      <c r="BT160" s="569"/>
      <c r="BU160" s="569"/>
      <c r="BV160" s="569"/>
      <c r="BW160" s="569"/>
      <c r="BX160" s="569"/>
      <c r="BY160" s="569"/>
      <c r="BZ160" s="569"/>
      <c r="CA160" s="569"/>
      <c r="CB160" s="569"/>
      <c r="CC160" s="569"/>
      <c r="CD160" s="569"/>
      <c r="CE160" s="569"/>
      <c r="CF160" s="569"/>
      <c r="CG160" s="569"/>
      <c r="CH160" s="569"/>
      <c r="CI160" s="569"/>
      <c r="CJ160" s="569"/>
      <c r="CK160" s="569"/>
      <c r="CL160" s="569"/>
      <c r="CM160" s="569"/>
      <c r="CN160" s="569"/>
      <c r="CO160" s="569"/>
      <c r="CP160" s="569"/>
      <c r="CQ160" s="569"/>
      <c r="CR160" s="569"/>
      <c r="CS160" s="569"/>
      <c r="CT160" s="569"/>
      <c r="CU160" s="569"/>
      <c r="CV160" s="569"/>
      <c r="CW160" s="569"/>
      <c r="CX160" s="569"/>
      <c r="CY160" s="569"/>
      <c r="CZ160" s="569"/>
      <c r="DA160" s="569"/>
      <c r="DB160" s="569"/>
      <c r="DC160" s="569"/>
      <c r="DD160" s="569"/>
      <c r="DE160" s="569"/>
      <c r="DF160" s="569"/>
      <c r="DG160" s="569"/>
      <c r="DH160" s="569"/>
      <c r="DI160" s="569"/>
      <c r="DJ160" s="569"/>
      <c r="DK160" s="569"/>
      <c r="DL160" s="569"/>
      <c r="DM160" s="569"/>
      <c r="DN160" s="569"/>
      <c r="DO160" s="569"/>
      <c r="DP160" s="569"/>
      <c r="DQ160" s="569"/>
      <c r="DR160" s="569"/>
      <c r="DS160" s="569"/>
      <c r="DT160" s="569"/>
      <c r="DU160" s="569"/>
      <c r="DV160" s="569"/>
      <c r="DW160" s="569"/>
      <c r="DX160" s="569"/>
      <c r="DY160" s="569"/>
      <c r="DZ160" s="569"/>
      <c r="EA160" s="569"/>
      <c r="EB160" s="569"/>
      <c r="EC160" s="569"/>
      <c r="ED160" s="569"/>
      <c r="EE160" s="569"/>
      <c r="EF160" s="569"/>
      <c r="EG160" s="569"/>
      <c r="EH160" s="569"/>
      <c r="EI160" s="569"/>
      <c r="EJ160" s="569"/>
      <c r="EK160" s="569"/>
      <c r="EL160" s="569"/>
      <c r="EM160" s="569"/>
      <c r="EN160" s="569"/>
      <c r="EO160" s="569"/>
      <c r="EP160" s="569"/>
      <c r="EQ160" s="569"/>
      <c r="ER160" s="569"/>
      <c r="ES160" s="569"/>
      <c r="ET160" s="569"/>
      <c r="EU160" s="569"/>
      <c r="EV160" s="569"/>
      <c r="EW160" s="569"/>
      <c r="EX160" s="569"/>
      <c r="EY160" s="569"/>
      <c r="EZ160" s="569"/>
      <c r="FA160" s="569"/>
      <c r="FB160" s="569"/>
      <c r="FC160" s="569"/>
      <c r="FD160" s="569"/>
      <c r="FE160" s="569"/>
      <c r="FF160" s="569"/>
      <c r="FG160" s="569"/>
      <c r="FH160" s="569"/>
      <c r="FI160" s="569"/>
      <c r="FJ160" s="569"/>
      <c r="FK160" s="569"/>
      <c r="FL160" s="569"/>
      <c r="FM160" s="569"/>
      <c r="FN160" s="569"/>
      <c r="FO160" s="569"/>
      <c r="FP160" s="569"/>
      <c r="FQ160" s="569"/>
      <c r="FR160" s="569"/>
      <c r="FS160" s="569"/>
      <c r="FT160" s="569"/>
      <c r="FU160" s="569"/>
      <c r="FV160" s="569"/>
      <c r="FW160" s="569"/>
      <c r="FX160" s="569"/>
      <c r="FY160" s="570"/>
      <c r="FZ160" s="570"/>
      <c r="GA160" s="570"/>
      <c r="GB160" s="570"/>
      <c r="GC160" s="570"/>
      <c r="GD160" s="570"/>
      <c r="GE160" s="570"/>
      <c r="GF160" s="570"/>
      <c r="GG160" s="570"/>
      <c r="GH160" s="570"/>
      <c r="GI160" s="570"/>
      <c r="GJ160" s="570"/>
      <c r="GK160" s="570"/>
      <c r="GL160" s="570"/>
      <c r="GM160" s="570"/>
      <c r="GN160" s="570"/>
      <c r="GO160" s="570"/>
      <c r="GP160" s="569"/>
      <c r="GQ160" s="569"/>
      <c r="GR160" s="569"/>
      <c r="GS160" s="569"/>
      <c r="GT160" s="569"/>
      <c r="GU160" s="569"/>
      <c r="GV160" s="571"/>
      <c r="GW160" s="569"/>
      <c r="GX160" s="569"/>
      <c r="GY160" s="569"/>
      <c r="GZ160" s="569"/>
      <c r="HA160" s="569"/>
      <c r="HB160" s="569"/>
      <c r="HC160" s="569"/>
      <c r="HD160" s="569"/>
      <c r="HE160" s="569"/>
      <c r="HF160" s="569"/>
      <c r="HG160" s="569"/>
      <c r="HH160" s="569"/>
      <c r="HI160" s="569"/>
      <c r="HJ160" s="569"/>
      <c r="HK160" s="569"/>
      <c r="HL160" s="571"/>
      <c r="HM160" s="571"/>
      <c r="HN160" s="569"/>
      <c r="HO160" s="569"/>
      <c r="HP160" s="111"/>
      <c r="HQ160" s="111"/>
      <c r="HR160" s="111"/>
      <c r="HS160" s="111"/>
      <c r="HT160" s="111"/>
      <c r="HU160" s="111"/>
      <c r="HV160" s="111"/>
      <c r="HW160" s="111"/>
      <c r="HX160" s="111"/>
      <c r="HY160" s="111"/>
      <c r="HZ160" s="111"/>
      <c r="IA160" s="111"/>
      <c r="IB160" s="111"/>
      <c r="IC160" s="111"/>
      <c r="ID160" s="111"/>
      <c r="IE160" s="111"/>
      <c r="IF160" s="111"/>
      <c r="IG160" s="111"/>
      <c r="IH160" s="111"/>
      <c r="II160" s="111"/>
      <c r="IJ160" s="111"/>
      <c r="IK160" s="111"/>
      <c r="IL160" s="111"/>
      <c r="IM160" s="111"/>
      <c r="IN160" s="111"/>
      <c r="IO160" s="111"/>
      <c r="IP160" s="111"/>
      <c r="IQ160" s="111"/>
      <c r="IR160" s="111"/>
      <c r="IS160" s="111"/>
      <c r="IT160" s="111"/>
      <c r="IU160" s="111"/>
    </row>
    <row r="161" spans="1:255" s="105" customFormat="1" ht="15.6" customHeight="1" thickBot="1">
      <c r="A161" s="1"/>
      <c r="B161" s="1" t="s">
        <v>1058</v>
      </c>
      <c r="C161" s="1"/>
      <c r="D161" s="10"/>
      <c r="E161" s="1"/>
      <c r="F161" s="1780">
        <v>8400</v>
      </c>
      <c r="G161" s="1781"/>
      <c r="H161" s="1"/>
      <c r="I161" s="1792" t="s">
        <v>3500</v>
      </c>
      <c r="J161" s="1793"/>
      <c r="K161" s="1800">
        <v>1200</v>
      </c>
      <c r="L161" s="1801"/>
      <c r="M161" s="1"/>
      <c r="N161" s="30" t="s">
        <v>487</v>
      </c>
      <c r="O161" s="1"/>
      <c r="P161" s="1221">
        <v>250</v>
      </c>
      <c r="T161" s="1643"/>
      <c r="U161" s="1644"/>
      <c r="V161" s="567"/>
      <c r="W161" s="567"/>
      <c r="X161" s="567"/>
      <c r="Y161" s="569"/>
      <c r="Z161" s="569"/>
      <c r="AA161" s="569"/>
      <c r="AB161" s="569"/>
      <c r="AC161" s="569"/>
      <c r="AD161" s="569"/>
      <c r="AE161" s="569"/>
      <c r="AF161" s="569"/>
      <c r="AG161" s="569"/>
      <c r="AH161" s="569"/>
      <c r="AI161" s="569"/>
      <c r="AJ161" s="569"/>
      <c r="AK161" s="569"/>
      <c r="AL161" s="569"/>
      <c r="AM161" s="569"/>
      <c r="AN161" s="569"/>
      <c r="AO161" s="569"/>
      <c r="AP161" s="569"/>
      <c r="AQ161" s="569"/>
      <c r="AR161" s="569"/>
      <c r="AS161" s="569"/>
      <c r="AT161" s="569"/>
      <c r="AU161" s="569"/>
      <c r="AV161" s="569"/>
      <c r="AW161" s="569"/>
      <c r="AX161" s="569"/>
      <c r="AY161" s="569"/>
      <c r="AZ161" s="569"/>
      <c r="BA161" s="569"/>
      <c r="BB161" s="569"/>
      <c r="BC161" s="569"/>
      <c r="BD161" s="569"/>
      <c r="BE161" s="569"/>
      <c r="BF161" s="569"/>
      <c r="BG161" s="569"/>
      <c r="BH161" s="569"/>
      <c r="BI161" s="569"/>
      <c r="BJ161" s="569"/>
      <c r="BK161" s="569"/>
      <c r="BL161" s="569"/>
      <c r="BM161" s="569"/>
      <c r="BN161" s="569"/>
      <c r="BO161" s="569"/>
      <c r="BP161" s="569"/>
      <c r="BQ161" s="569"/>
      <c r="BR161" s="569"/>
      <c r="BS161" s="569"/>
      <c r="BT161" s="569"/>
      <c r="BU161" s="569"/>
      <c r="BV161" s="569"/>
      <c r="BW161" s="569"/>
      <c r="BX161" s="569"/>
      <c r="BY161" s="569"/>
      <c r="BZ161" s="569"/>
      <c r="CA161" s="569"/>
      <c r="CB161" s="569"/>
      <c r="CC161" s="569"/>
      <c r="CD161" s="569"/>
      <c r="CE161" s="569"/>
      <c r="CF161" s="569"/>
      <c r="CG161" s="569"/>
      <c r="CH161" s="569"/>
      <c r="CI161" s="569"/>
      <c r="CJ161" s="569"/>
      <c r="CK161" s="569"/>
      <c r="CL161" s="569"/>
      <c r="CM161" s="569"/>
      <c r="CN161" s="569"/>
      <c r="CO161" s="569"/>
      <c r="CP161" s="569"/>
      <c r="CQ161" s="569"/>
      <c r="CR161" s="569"/>
      <c r="CS161" s="569"/>
      <c r="CT161" s="569"/>
      <c r="CU161" s="569"/>
      <c r="CV161" s="569"/>
      <c r="CW161" s="569"/>
      <c r="CX161" s="569"/>
      <c r="CY161" s="569"/>
      <c r="CZ161" s="569"/>
      <c r="DA161" s="569"/>
      <c r="DB161" s="569"/>
      <c r="DC161" s="569"/>
      <c r="DD161" s="569"/>
      <c r="DE161" s="569"/>
      <c r="DF161" s="569"/>
      <c r="DG161" s="569"/>
      <c r="DH161" s="569"/>
      <c r="DI161" s="569"/>
      <c r="DJ161" s="569"/>
      <c r="DK161" s="569"/>
      <c r="DL161" s="569"/>
      <c r="DM161" s="569"/>
      <c r="DN161" s="569"/>
      <c r="DO161" s="569"/>
      <c r="DP161" s="569"/>
      <c r="DQ161" s="569"/>
      <c r="DR161" s="569"/>
      <c r="DS161" s="569"/>
      <c r="DT161" s="569"/>
      <c r="DU161" s="569"/>
      <c r="DV161" s="569"/>
      <c r="DW161" s="569"/>
      <c r="DX161" s="569"/>
      <c r="DY161" s="569"/>
      <c r="DZ161" s="569"/>
      <c r="EA161" s="569"/>
      <c r="EB161" s="569"/>
      <c r="EC161" s="569"/>
      <c r="ED161" s="569"/>
      <c r="EE161" s="569"/>
      <c r="EF161" s="569"/>
      <c r="EG161" s="569"/>
      <c r="EH161" s="569"/>
      <c r="EI161" s="569"/>
      <c r="EJ161" s="569"/>
      <c r="EK161" s="569"/>
      <c r="EL161" s="569"/>
      <c r="EM161" s="569"/>
      <c r="EN161" s="569"/>
      <c r="EO161" s="569"/>
      <c r="EP161" s="569"/>
      <c r="EQ161" s="569"/>
      <c r="ER161" s="569"/>
      <c r="ES161" s="569"/>
      <c r="ET161" s="569"/>
      <c r="EU161" s="569"/>
      <c r="EV161" s="569"/>
      <c r="EW161" s="569"/>
      <c r="EX161" s="569"/>
      <c r="EY161" s="569"/>
      <c r="EZ161" s="569"/>
      <c r="FA161" s="569"/>
      <c r="FB161" s="569"/>
      <c r="FC161" s="569"/>
      <c r="FD161" s="569"/>
      <c r="FE161" s="569"/>
      <c r="FF161" s="569"/>
      <c r="FG161" s="569"/>
      <c r="FH161" s="569"/>
      <c r="FI161" s="569"/>
      <c r="FJ161" s="569"/>
      <c r="FK161" s="569"/>
      <c r="FL161" s="569"/>
      <c r="FM161" s="569"/>
      <c r="FN161" s="569"/>
      <c r="FO161" s="569"/>
      <c r="FP161" s="569"/>
      <c r="FQ161" s="569"/>
      <c r="FR161" s="569"/>
      <c r="FS161" s="569"/>
      <c r="FT161" s="569"/>
      <c r="FU161" s="569"/>
      <c r="FV161" s="569"/>
      <c r="FW161" s="569"/>
      <c r="FX161" s="569"/>
      <c r="FY161" s="570"/>
      <c r="FZ161" s="570"/>
      <c r="GA161" s="570"/>
      <c r="GB161" s="570"/>
      <c r="GC161" s="570"/>
      <c r="GD161" s="570"/>
      <c r="GE161" s="570"/>
      <c r="GF161" s="570"/>
      <c r="GG161" s="570"/>
      <c r="GH161" s="570"/>
      <c r="GI161" s="570"/>
      <c r="GJ161" s="570"/>
      <c r="GK161" s="570"/>
      <c r="GL161" s="570"/>
      <c r="GM161" s="570"/>
      <c r="GN161" s="570"/>
      <c r="GO161" s="570"/>
      <c r="GP161" s="569"/>
      <c r="GQ161" s="569"/>
      <c r="GR161" s="569"/>
      <c r="GS161" s="569"/>
      <c r="GT161" s="569"/>
      <c r="GU161" s="569"/>
      <c r="GV161" s="571"/>
      <c r="GW161" s="569"/>
      <c r="GX161" s="569"/>
      <c r="GY161" s="569"/>
      <c r="GZ161" s="569"/>
      <c r="HA161" s="569"/>
      <c r="HB161" s="569"/>
      <c r="HC161" s="569"/>
      <c r="HD161" s="569"/>
      <c r="HE161" s="569"/>
      <c r="HF161" s="569"/>
      <c r="HG161" s="569"/>
      <c r="HH161" s="569"/>
      <c r="HI161" s="569"/>
      <c r="HJ161" s="569"/>
      <c r="HK161" s="569"/>
      <c r="HL161" s="571"/>
      <c r="HM161" s="571"/>
      <c r="HN161" s="569"/>
      <c r="HO161" s="569"/>
      <c r="HP161" s="111"/>
      <c r="HQ161" s="111"/>
      <c r="HR161" s="111"/>
      <c r="HS161" s="111"/>
      <c r="HT161" s="111"/>
      <c r="HU161" s="111"/>
      <c r="HV161" s="111"/>
      <c r="HW161" s="111"/>
      <c r="HX161" s="111"/>
      <c r="HY161" s="111"/>
      <c r="HZ161" s="111"/>
      <c r="IA161" s="111"/>
      <c r="IB161" s="111"/>
      <c r="IC161" s="111"/>
      <c r="ID161" s="111"/>
      <c r="IE161" s="111"/>
      <c r="IF161" s="111"/>
      <c r="IG161" s="111"/>
      <c r="IH161" s="111"/>
      <c r="II161" s="111"/>
      <c r="IJ161" s="111"/>
      <c r="IK161" s="111"/>
      <c r="IL161" s="111"/>
      <c r="IM161" s="111"/>
      <c r="IN161" s="111"/>
      <c r="IO161" s="111"/>
      <c r="IP161" s="111"/>
      <c r="IQ161" s="111"/>
      <c r="IR161" s="111"/>
      <c r="IS161" s="111"/>
      <c r="IT161" s="111"/>
      <c r="IU161" s="111"/>
    </row>
    <row r="162" spans="1:255" s="105" customFormat="1" ht="15.6" customHeight="1" thickTop="1">
      <c r="A162" s="1"/>
      <c r="B162" s="1" t="s">
        <v>1059</v>
      </c>
      <c r="C162" s="1"/>
      <c r="D162" s="10"/>
      <c r="E162" s="1"/>
      <c r="F162" s="1780">
        <v>2600</v>
      </c>
      <c r="G162" s="1781"/>
      <c r="H162" s="1"/>
      <c r="I162" s="1"/>
      <c r="J162" s="13" t="s">
        <v>199</v>
      </c>
      <c r="K162" s="1804">
        <f>SUM(K157:K161)</f>
        <v>40000</v>
      </c>
      <c r="L162" s="1805"/>
      <c r="M162" s="1"/>
      <c r="N162" s="1"/>
      <c r="O162" s="1"/>
      <c r="T162" s="1643"/>
      <c r="U162" s="1644"/>
      <c r="V162" s="567"/>
      <c r="W162" s="567"/>
      <c r="X162" s="567"/>
      <c r="Y162" s="569"/>
      <c r="Z162" s="569"/>
      <c r="AA162" s="569"/>
      <c r="AB162" s="569"/>
      <c r="AC162" s="569"/>
      <c r="AD162" s="569"/>
      <c r="AE162" s="569"/>
      <c r="AF162" s="569"/>
      <c r="AG162" s="569"/>
      <c r="AH162" s="569"/>
      <c r="AI162" s="569"/>
      <c r="AJ162" s="569"/>
      <c r="AK162" s="569"/>
      <c r="AL162" s="569"/>
      <c r="AM162" s="569"/>
      <c r="AN162" s="569"/>
      <c r="AO162" s="569"/>
      <c r="AP162" s="569"/>
      <c r="AQ162" s="569"/>
      <c r="AR162" s="569"/>
      <c r="AS162" s="569"/>
      <c r="AT162" s="569"/>
      <c r="AU162" s="569"/>
      <c r="AV162" s="569"/>
      <c r="AW162" s="569"/>
      <c r="AX162" s="569"/>
      <c r="AY162" s="569"/>
      <c r="AZ162" s="569"/>
      <c r="BA162" s="569"/>
      <c r="BB162" s="569"/>
      <c r="BC162" s="569"/>
      <c r="BD162" s="569"/>
      <c r="BE162" s="569"/>
      <c r="BF162" s="569"/>
      <c r="BG162" s="569"/>
      <c r="BH162" s="569"/>
      <c r="BI162" s="569"/>
      <c r="BJ162" s="569"/>
      <c r="BK162" s="569"/>
      <c r="BL162" s="569"/>
      <c r="BM162" s="569"/>
      <c r="BN162" s="569"/>
      <c r="BO162" s="569"/>
      <c r="BP162" s="569"/>
      <c r="BQ162" s="569"/>
      <c r="BR162" s="569"/>
      <c r="BS162" s="569"/>
      <c r="BT162" s="569"/>
      <c r="BU162" s="569"/>
      <c r="BV162" s="569"/>
      <c r="BW162" s="569"/>
      <c r="BX162" s="569"/>
      <c r="BY162" s="569"/>
      <c r="BZ162" s="569"/>
      <c r="CA162" s="569"/>
      <c r="CB162" s="569"/>
      <c r="CC162" s="569"/>
      <c r="CD162" s="569"/>
      <c r="CE162" s="569"/>
      <c r="CF162" s="569"/>
      <c r="CG162" s="569"/>
      <c r="CH162" s="569"/>
      <c r="CI162" s="569"/>
      <c r="CJ162" s="569"/>
      <c r="CK162" s="569"/>
      <c r="CL162" s="569"/>
      <c r="CM162" s="569"/>
      <c r="CN162" s="569"/>
      <c r="CO162" s="569"/>
      <c r="CP162" s="569"/>
      <c r="CQ162" s="569"/>
      <c r="CR162" s="569"/>
      <c r="CS162" s="569"/>
      <c r="CT162" s="569"/>
      <c r="CU162" s="569"/>
      <c r="CV162" s="569"/>
      <c r="CW162" s="569"/>
      <c r="CX162" s="569"/>
      <c r="CY162" s="569"/>
      <c r="CZ162" s="569"/>
      <c r="DA162" s="569"/>
      <c r="DB162" s="569"/>
      <c r="DC162" s="569"/>
      <c r="DD162" s="569"/>
      <c r="DE162" s="569"/>
      <c r="DF162" s="569"/>
      <c r="DG162" s="569"/>
      <c r="DH162" s="569"/>
      <c r="DI162" s="569"/>
      <c r="DJ162" s="569"/>
      <c r="DK162" s="569"/>
      <c r="DL162" s="569"/>
      <c r="DM162" s="569"/>
      <c r="DN162" s="569"/>
      <c r="DO162" s="569"/>
      <c r="DP162" s="569"/>
      <c r="DQ162" s="569"/>
      <c r="DR162" s="569"/>
      <c r="DS162" s="569"/>
      <c r="DT162" s="569"/>
      <c r="DU162" s="569"/>
      <c r="DV162" s="569"/>
      <c r="DW162" s="569"/>
      <c r="DX162" s="569"/>
      <c r="DY162" s="569"/>
      <c r="DZ162" s="569"/>
      <c r="EA162" s="569"/>
      <c r="EB162" s="569"/>
      <c r="EC162" s="569"/>
      <c r="ED162" s="569"/>
      <c r="EE162" s="569"/>
      <c r="EF162" s="569"/>
      <c r="EG162" s="569"/>
      <c r="EH162" s="569"/>
      <c r="EI162" s="569"/>
      <c r="EJ162" s="569"/>
      <c r="EK162" s="569"/>
      <c r="EL162" s="569"/>
      <c r="EM162" s="569"/>
      <c r="EN162" s="569"/>
      <c r="EO162" s="569"/>
      <c r="EP162" s="569"/>
      <c r="EQ162" s="569"/>
      <c r="ER162" s="569"/>
      <c r="ES162" s="569"/>
      <c r="ET162" s="569"/>
      <c r="EU162" s="569"/>
      <c r="EV162" s="569"/>
      <c r="EW162" s="569"/>
      <c r="EX162" s="569"/>
      <c r="EY162" s="569"/>
      <c r="EZ162" s="569"/>
      <c r="FA162" s="569"/>
      <c r="FB162" s="569"/>
      <c r="FC162" s="569"/>
      <c r="FD162" s="569"/>
      <c r="FE162" s="569"/>
      <c r="FF162" s="569"/>
      <c r="FG162" s="569"/>
      <c r="FH162" s="569"/>
      <c r="FI162" s="569"/>
      <c r="FJ162" s="569"/>
      <c r="FK162" s="569"/>
      <c r="FL162" s="569"/>
      <c r="FM162" s="569"/>
      <c r="FN162" s="569"/>
      <c r="FO162" s="569"/>
      <c r="FP162" s="569"/>
      <c r="FQ162" s="569"/>
      <c r="FR162" s="569"/>
      <c r="FS162" s="569"/>
      <c r="FT162" s="569"/>
      <c r="FU162" s="569"/>
      <c r="FV162" s="569"/>
      <c r="FW162" s="569"/>
      <c r="FX162" s="569"/>
      <c r="FY162" s="570"/>
      <c r="FZ162" s="570"/>
      <c r="GA162" s="570"/>
      <c r="GB162" s="570"/>
      <c r="GC162" s="570"/>
      <c r="GD162" s="570"/>
      <c r="GE162" s="570"/>
      <c r="GF162" s="570"/>
      <c r="GG162" s="570"/>
      <c r="GH162" s="570"/>
      <c r="GI162" s="570"/>
      <c r="GJ162" s="570"/>
      <c r="GK162" s="570"/>
      <c r="GL162" s="570"/>
      <c r="GM162" s="570"/>
      <c r="GN162" s="570"/>
      <c r="GO162" s="570"/>
      <c r="GP162" s="569"/>
      <c r="GQ162" s="569"/>
      <c r="GR162" s="569"/>
      <c r="GS162" s="569"/>
      <c r="GT162" s="569"/>
      <c r="GU162" s="569"/>
      <c r="GV162" s="571"/>
      <c r="GW162" s="569"/>
      <c r="GX162" s="569"/>
      <c r="GY162" s="569"/>
      <c r="GZ162" s="569"/>
      <c r="HA162" s="569"/>
      <c r="HB162" s="569"/>
      <c r="HC162" s="569"/>
      <c r="HD162" s="569"/>
      <c r="HE162" s="569"/>
      <c r="HF162" s="569"/>
      <c r="HG162" s="569"/>
      <c r="HH162" s="569"/>
      <c r="HI162" s="569"/>
      <c r="HJ162" s="569"/>
      <c r="HK162" s="569"/>
      <c r="HL162" s="571"/>
      <c r="HM162" s="571"/>
      <c r="HN162" s="569"/>
      <c r="HO162" s="569"/>
      <c r="HP162" s="111"/>
      <c r="HQ162" s="111"/>
      <c r="HR162" s="111"/>
      <c r="HS162" s="111"/>
      <c r="HT162" s="111"/>
      <c r="HU162" s="111"/>
      <c r="HV162" s="111"/>
      <c r="HW162" s="111"/>
      <c r="HX162" s="111"/>
      <c r="HY162" s="111"/>
      <c r="HZ162" s="111"/>
      <c r="IA162" s="111"/>
      <c r="IB162" s="111"/>
      <c r="IC162" s="111"/>
      <c r="ID162" s="111"/>
      <c r="IE162" s="111"/>
      <c r="IF162" s="111"/>
      <c r="IG162" s="111"/>
      <c r="IH162" s="111"/>
      <c r="II162" s="111"/>
      <c r="IJ162" s="111"/>
      <c r="IK162" s="111"/>
      <c r="IL162" s="111"/>
      <c r="IM162" s="111"/>
      <c r="IN162" s="111"/>
      <c r="IO162" s="111"/>
      <c r="IP162" s="111"/>
      <c r="IQ162" s="111"/>
      <c r="IR162" s="111"/>
      <c r="IS162" s="111"/>
      <c r="IT162" s="111"/>
      <c r="IU162" s="111"/>
    </row>
    <row r="163" spans="1:255" s="105" customFormat="1" ht="15.6" customHeight="1">
      <c r="A163" s="1"/>
      <c r="B163" s="1" t="s">
        <v>916</v>
      </c>
      <c r="C163" s="1"/>
      <c r="D163" s="10"/>
      <c r="E163" s="1"/>
      <c r="F163" s="1780">
        <v>500</v>
      </c>
      <c r="G163" s="1781"/>
      <c r="H163" s="1"/>
      <c r="I163" s="1"/>
      <c r="J163" s="14"/>
      <c r="K163" s="1"/>
      <c r="L163" s="1"/>
      <c r="M163" s="1"/>
      <c r="N163" s="1"/>
      <c r="O163" s="1"/>
      <c r="T163" s="1643"/>
      <c r="U163" s="1644"/>
      <c r="V163" s="567"/>
      <c r="W163" s="567"/>
      <c r="X163" s="567"/>
      <c r="Y163" s="569"/>
      <c r="Z163" s="569"/>
      <c r="AA163" s="569"/>
      <c r="AB163" s="569"/>
      <c r="AC163" s="569"/>
      <c r="AD163" s="569"/>
      <c r="AE163" s="569"/>
      <c r="AF163" s="569"/>
      <c r="AG163" s="569"/>
      <c r="AH163" s="569"/>
      <c r="AI163" s="569"/>
      <c r="AJ163" s="569"/>
      <c r="AK163" s="569"/>
      <c r="AL163" s="569"/>
      <c r="AM163" s="569"/>
      <c r="AN163" s="569"/>
      <c r="AO163" s="569"/>
      <c r="AP163" s="569"/>
      <c r="AQ163" s="569"/>
      <c r="AR163" s="569"/>
      <c r="AS163" s="569"/>
      <c r="AT163" s="569"/>
      <c r="AU163" s="569"/>
      <c r="AV163" s="569"/>
      <c r="AW163" s="569"/>
      <c r="AX163" s="569"/>
      <c r="AY163" s="569"/>
      <c r="AZ163" s="569"/>
      <c r="BA163" s="569"/>
      <c r="BB163" s="569"/>
      <c r="BC163" s="569"/>
      <c r="BD163" s="569"/>
      <c r="BE163" s="569"/>
      <c r="BF163" s="569"/>
      <c r="BG163" s="569"/>
      <c r="BH163" s="569"/>
      <c r="BI163" s="569"/>
      <c r="BJ163" s="569"/>
      <c r="BK163" s="569"/>
      <c r="BL163" s="569"/>
      <c r="BM163" s="569"/>
      <c r="BN163" s="569"/>
      <c r="BO163" s="569"/>
      <c r="BP163" s="569"/>
      <c r="BQ163" s="569"/>
      <c r="BR163" s="569"/>
      <c r="BS163" s="569"/>
      <c r="BT163" s="569"/>
      <c r="BU163" s="569"/>
      <c r="BV163" s="569"/>
      <c r="BW163" s="569"/>
      <c r="BX163" s="569"/>
      <c r="BY163" s="569"/>
      <c r="BZ163" s="569"/>
      <c r="CA163" s="569"/>
      <c r="CB163" s="569"/>
      <c r="CC163" s="569"/>
      <c r="CD163" s="569"/>
      <c r="CE163" s="569"/>
      <c r="CF163" s="569"/>
      <c r="CG163" s="569"/>
      <c r="CH163" s="569"/>
      <c r="CI163" s="569"/>
      <c r="CJ163" s="569"/>
      <c r="CK163" s="569"/>
      <c r="CL163" s="569"/>
      <c r="CM163" s="569"/>
      <c r="CN163" s="569"/>
      <c r="CO163" s="569"/>
      <c r="CP163" s="569"/>
      <c r="CQ163" s="569"/>
      <c r="CR163" s="569"/>
      <c r="CS163" s="569"/>
      <c r="CT163" s="569"/>
      <c r="CU163" s="569"/>
      <c r="CV163" s="569"/>
      <c r="CW163" s="569"/>
      <c r="CX163" s="569"/>
      <c r="CY163" s="569"/>
      <c r="CZ163" s="569"/>
      <c r="DA163" s="569"/>
      <c r="DB163" s="569"/>
      <c r="DC163" s="569"/>
      <c r="DD163" s="569"/>
      <c r="DE163" s="569"/>
      <c r="DF163" s="569"/>
      <c r="DG163" s="569"/>
      <c r="DH163" s="569"/>
      <c r="DI163" s="569"/>
      <c r="DJ163" s="569"/>
      <c r="DK163" s="569"/>
      <c r="DL163" s="569"/>
      <c r="DM163" s="569"/>
      <c r="DN163" s="569"/>
      <c r="DO163" s="569"/>
      <c r="DP163" s="569"/>
      <c r="DQ163" s="569"/>
      <c r="DR163" s="569"/>
      <c r="DS163" s="569"/>
      <c r="DT163" s="569"/>
      <c r="DU163" s="569"/>
      <c r="DV163" s="569"/>
      <c r="DW163" s="569"/>
      <c r="DX163" s="569"/>
      <c r="DY163" s="569"/>
      <c r="DZ163" s="569"/>
      <c r="EA163" s="569"/>
      <c r="EB163" s="569"/>
      <c r="EC163" s="569"/>
      <c r="ED163" s="569"/>
      <c r="EE163" s="569"/>
      <c r="EF163" s="569"/>
      <c r="EG163" s="569"/>
      <c r="EH163" s="569"/>
      <c r="EI163" s="569"/>
      <c r="EJ163" s="569"/>
      <c r="EK163" s="569"/>
      <c r="EL163" s="569"/>
      <c r="EM163" s="569"/>
      <c r="EN163" s="569"/>
      <c r="EO163" s="569"/>
      <c r="EP163" s="569"/>
      <c r="EQ163" s="569"/>
      <c r="ER163" s="569"/>
      <c r="ES163" s="569"/>
      <c r="ET163" s="569"/>
      <c r="EU163" s="569"/>
      <c r="EV163" s="569"/>
      <c r="EW163" s="569"/>
      <c r="EX163" s="569"/>
      <c r="EY163" s="569"/>
      <c r="EZ163" s="569"/>
      <c r="FA163" s="569"/>
      <c r="FB163" s="569"/>
      <c r="FC163" s="569"/>
      <c r="FD163" s="569"/>
      <c r="FE163" s="569"/>
      <c r="FF163" s="569"/>
      <c r="FG163" s="569"/>
      <c r="FH163" s="569"/>
      <c r="FI163" s="569"/>
      <c r="FJ163" s="569"/>
      <c r="FK163" s="569"/>
      <c r="FL163" s="569"/>
      <c r="FM163" s="569"/>
      <c r="FN163" s="569"/>
      <c r="FO163" s="569"/>
      <c r="FP163" s="569"/>
      <c r="FQ163" s="569"/>
      <c r="FR163" s="569"/>
      <c r="FS163" s="569"/>
      <c r="FT163" s="569"/>
      <c r="FU163" s="569"/>
      <c r="FV163" s="569"/>
      <c r="FW163" s="569"/>
      <c r="FX163" s="569"/>
      <c r="FY163" s="570"/>
      <c r="FZ163" s="570"/>
      <c r="GA163" s="570"/>
      <c r="GB163" s="570"/>
      <c r="GC163" s="570"/>
      <c r="GD163" s="570"/>
      <c r="GE163" s="570"/>
      <c r="GF163" s="570"/>
      <c r="GG163" s="570"/>
      <c r="GH163" s="570"/>
      <c r="GI163" s="570"/>
      <c r="GJ163" s="570"/>
      <c r="GK163" s="570"/>
      <c r="GL163" s="570"/>
      <c r="GM163" s="570"/>
      <c r="GN163" s="570"/>
      <c r="GO163" s="570"/>
      <c r="GP163" s="569"/>
      <c r="GQ163" s="569"/>
      <c r="GR163" s="569"/>
      <c r="GS163" s="569"/>
      <c r="GT163" s="569"/>
      <c r="GU163" s="569"/>
      <c r="GV163" s="571"/>
      <c r="GW163" s="569"/>
      <c r="GX163" s="569"/>
      <c r="GY163" s="569"/>
      <c r="GZ163" s="569"/>
      <c r="HA163" s="569"/>
      <c r="HB163" s="569"/>
      <c r="HC163" s="569"/>
      <c r="HD163" s="569"/>
      <c r="HE163" s="569"/>
      <c r="HF163" s="569"/>
      <c r="HG163" s="569"/>
      <c r="HH163" s="569"/>
      <c r="HI163" s="569"/>
      <c r="HJ163" s="569"/>
      <c r="HK163" s="569"/>
      <c r="HL163" s="571"/>
      <c r="HM163" s="571"/>
      <c r="HN163" s="569"/>
      <c r="HO163" s="569"/>
      <c r="HP163" s="111"/>
      <c r="HQ163" s="111"/>
      <c r="HR163" s="111"/>
      <c r="HS163" s="111"/>
      <c r="HT163" s="111"/>
      <c r="HU163" s="111"/>
      <c r="HV163" s="111"/>
      <c r="HW163" s="111"/>
      <c r="HX163" s="111"/>
      <c r="HY163" s="111"/>
      <c r="HZ163" s="111"/>
      <c r="IA163" s="111"/>
      <c r="IB163" s="111"/>
      <c r="IC163" s="111"/>
      <c r="ID163" s="111"/>
      <c r="IE163" s="111"/>
      <c r="IF163" s="111"/>
      <c r="IG163" s="111"/>
      <c r="IH163" s="111"/>
      <c r="II163" s="111"/>
      <c r="IJ163" s="111"/>
      <c r="IK163" s="111"/>
      <c r="IL163" s="111"/>
      <c r="IM163" s="111"/>
      <c r="IN163" s="111"/>
      <c r="IO163" s="111"/>
      <c r="IP163" s="111"/>
      <c r="IQ163" s="111"/>
      <c r="IR163" s="111"/>
      <c r="IS163" s="111"/>
      <c r="IT163" s="111"/>
      <c r="IU163" s="111"/>
    </row>
    <row r="164" spans="1:255" s="105" customFormat="1" ht="15.6" customHeight="1" thickBot="1">
      <c r="A164" s="1"/>
      <c r="B164" s="1776" t="s">
        <v>54</v>
      </c>
      <c r="C164" s="1777"/>
      <c r="D164" s="1777"/>
      <c r="E164" s="1778"/>
      <c r="F164" s="1796"/>
      <c r="G164" s="1797"/>
      <c r="H164" s="1"/>
      <c r="I164" s="1"/>
      <c r="J164" s="14"/>
      <c r="K164" s="1"/>
      <c r="L164" s="1"/>
      <c r="M164" s="1"/>
      <c r="N164" s="11" t="s">
        <v>2320</v>
      </c>
      <c r="O164" s="11"/>
      <c r="P164" s="11"/>
      <c r="T164" s="1643"/>
      <c r="U164" s="1644"/>
      <c r="V164" s="567"/>
      <c r="W164" s="567"/>
      <c r="X164" s="567"/>
      <c r="Y164" s="569"/>
      <c r="Z164" s="569"/>
      <c r="AA164" s="569"/>
      <c r="AB164" s="569"/>
      <c r="AC164" s="569"/>
      <c r="AD164" s="569"/>
      <c r="AE164" s="569"/>
      <c r="AF164" s="569"/>
      <c r="AG164" s="569"/>
      <c r="AH164" s="569"/>
      <c r="AI164" s="569"/>
      <c r="AJ164" s="569"/>
      <c r="AK164" s="569"/>
      <c r="AL164" s="569"/>
      <c r="AM164" s="569"/>
      <c r="AN164" s="569"/>
      <c r="AO164" s="569"/>
      <c r="AP164" s="569"/>
      <c r="AQ164" s="569"/>
      <c r="AR164" s="569"/>
      <c r="AS164" s="569"/>
      <c r="AT164" s="569"/>
      <c r="AU164" s="569"/>
      <c r="AV164" s="569"/>
      <c r="AW164" s="569"/>
      <c r="AX164" s="569"/>
      <c r="AY164" s="569"/>
      <c r="AZ164" s="569"/>
      <c r="BA164" s="569"/>
      <c r="BB164" s="569"/>
      <c r="BC164" s="569"/>
      <c r="BD164" s="569"/>
      <c r="BE164" s="569"/>
      <c r="BF164" s="569"/>
      <c r="BG164" s="569"/>
      <c r="BH164" s="569"/>
      <c r="BI164" s="569"/>
      <c r="BJ164" s="569"/>
      <c r="BK164" s="569"/>
      <c r="BL164" s="569"/>
      <c r="BM164" s="569"/>
      <c r="BN164" s="569"/>
      <c r="BO164" s="569"/>
      <c r="BP164" s="569"/>
      <c r="BQ164" s="569"/>
      <c r="BR164" s="569"/>
      <c r="BS164" s="569"/>
      <c r="BT164" s="569"/>
      <c r="BU164" s="569"/>
      <c r="BV164" s="569"/>
      <c r="BW164" s="569"/>
      <c r="BX164" s="569"/>
      <c r="BY164" s="569"/>
      <c r="BZ164" s="569"/>
      <c r="CA164" s="569"/>
      <c r="CB164" s="569"/>
      <c r="CC164" s="569"/>
      <c r="CD164" s="569"/>
      <c r="CE164" s="569"/>
      <c r="CF164" s="569"/>
      <c r="CG164" s="569"/>
      <c r="CH164" s="569"/>
      <c r="CI164" s="569"/>
      <c r="CJ164" s="569"/>
      <c r="CK164" s="569"/>
      <c r="CL164" s="569"/>
      <c r="CM164" s="569"/>
      <c r="CN164" s="569"/>
      <c r="CO164" s="569"/>
      <c r="CP164" s="569"/>
      <c r="CQ164" s="569"/>
      <c r="CR164" s="569"/>
      <c r="CS164" s="569"/>
      <c r="CT164" s="569"/>
      <c r="CU164" s="569"/>
      <c r="CV164" s="569"/>
      <c r="CW164" s="569"/>
      <c r="CX164" s="569"/>
      <c r="CY164" s="569"/>
      <c r="CZ164" s="569"/>
      <c r="DA164" s="569"/>
      <c r="DB164" s="569"/>
      <c r="DC164" s="569"/>
      <c r="DD164" s="569"/>
      <c r="DE164" s="569"/>
      <c r="DF164" s="569"/>
      <c r="DG164" s="569"/>
      <c r="DH164" s="569"/>
      <c r="DI164" s="569"/>
      <c r="DJ164" s="569"/>
      <c r="DK164" s="569"/>
      <c r="DL164" s="569"/>
      <c r="DM164" s="569"/>
      <c r="DN164" s="569"/>
      <c r="DO164" s="569"/>
      <c r="DP164" s="569"/>
      <c r="DQ164" s="569"/>
      <c r="DR164" s="569"/>
      <c r="DS164" s="569"/>
      <c r="DT164" s="569"/>
      <c r="DU164" s="569"/>
      <c r="DV164" s="569"/>
      <c r="DW164" s="569"/>
      <c r="DX164" s="569"/>
      <c r="DY164" s="569"/>
      <c r="DZ164" s="569"/>
      <c r="EA164" s="569"/>
      <c r="EB164" s="569"/>
      <c r="EC164" s="569"/>
      <c r="ED164" s="569"/>
      <c r="EE164" s="569"/>
      <c r="EF164" s="569"/>
      <c r="EG164" s="569"/>
      <c r="EH164" s="569"/>
      <c r="EI164" s="569"/>
      <c r="EJ164" s="569"/>
      <c r="EK164" s="569"/>
      <c r="EL164" s="569"/>
      <c r="EM164" s="569"/>
      <c r="EN164" s="569"/>
      <c r="EO164" s="569"/>
      <c r="EP164" s="569"/>
      <c r="EQ164" s="569"/>
      <c r="ER164" s="569"/>
      <c r="ES164" s="569"/>
      <c r="ET164" s="569"/>
      <c r="EU164" s="569"/>
      <c r="EV164" s="569"/>
      <c r="EW164" s="569"/>
      <c r="EX164" s="569"/>
      <c r="EY164" s="569"/>
      <c r="EZ164" s="569"/>
      <c r="FA164" s="569"/>
      <c r="FB164" s="569"/>
      <c r="FC164" s="569"/>
      <c r="FD164" s="569"/>
      <c r="FE164" s="569"/>
      <c r="FF164" s="569"/>
      <c r="FG164" s="569"/>
      <c r="FH164" s="569"/>
      <c r="FI164" s="569"/>
      <c r="FJ164" s="569"/>
      <c r="FK164" s="569"/>
      <c r="FL164" s="569"/>
      <c r="FM164" s="569"/>
      <c r="FN164" s="569"/>
      <c r="FO164" s="569"/>
      <c r="FP164" s="569"/>
      <c r="FQ164" s="569"/>
      <c r="FR164" s="569"/>
      <c r="FS164" s="569"/>
      <c r="FT164" s="569"/>
      <c r="FU164" s="569"/>
      <c r="FV164" s="569"/>
      <c r="FW164" s="569"/>
      <c r="FX164" s="569"/>
      <c r="FY164" s="570"/>
      <c r="FZ164" s="570"/>
      <c r="GA164" s="570"/>
      <c r="GB164" s="570"/>
      <c r="GC164" s="570"/>
      <c r="GD164" s="570"/>
      <c r="GE164" s="570"/>
      <c r="GF164" s="570"/>
      <c r="GG164" s="570"/>
      <c r="GH164" s="570"/>
      <c r="GI164" s="570"/>
      <c r="GJ164" s="570"/>
      <c r="GK164" s="570"/>
      <c r="GL164" s="570"/>
      <c r="GM164" s="570"/>
      <c r="GN164" s="570"/>
      <c r="GO164" s="570"/>
      <c r="GP164" s="569"/>
      <c r="GQ164" s="569"/>
      <c r="GR164" s="569"/>
      <c r="GS164" s="569"/>
      <c r="GT164" s="569"/>
      <c r="GU164" s="569"/>
      <c r="GV164" s="571"/>
      <c r="GW164" s="569"/>
      <c r="GX164" s="569"/>
      <c r="GY164" s="569"/>
      <c r="GZ164" s="569"/>
      <c r="HA164" s="569"/>
      <c r="HB164" s="569"/>
      <c r="HC164" s="569"/>
      <c r="HD164" s="569"/>
      <c r="HE164" s="569"/>
      <c r="HF164" s="569"/>
      <c r="HG164" s="569"/>
      <c r="HH164" s="569"/>
      <c r="HI164" s="569"/>
      <c r="HJ164" s="569"/>
      <c r="HK164" s="569"/>
      <c r="HL164" s="571"/>
      <c r="HM164" s="571"/>
      <c r="HN164" s="569"/>
      <c r="HO164" s="569"/>
      <c r="HP164" s="111"/>
      <c r="HQ164" s="111"/>
      <c r="HR164" s="111"/>
      <c r="HS164" s="111"/>
      <c r="HT164" s="111"/>
      <c r="HU164" s="111"/>
      <c r="HV164" s="111"/>
      <c r="HW164" s="111"/>
      <c r="HX164" s="111"/>
      <c r="HY164" s="111"/>
      <c r="HZ164" s="111"/>
      <c r="IA164" s="111"/>
      <c r="IB164" s="111"/>
      <c r="IC164" s="111"/>
      <c r="ID164" s="111"/>
      <c r="IE164" s="111"/>
      <c r="IF164" s="111"/>
      <c r="IG164" s="111"/>
      <c r="IH164" s="111"/>
      <c r="II164" s="111"/>
      <c r="IJ164" s="111"/>
      <c r="IK164" s="111"/>
      <c r="IL164" s="111"/>
      <c r="IM164" s="111"/>
      <c r="IN164" s="111"/>
      <c r="IO164" s="111"/>
      <c r="IP164" s="111"/>
      <c r="IQ164" s="111"/>
      <c r="IR164" s="111"/>
      <c r="IS164" s="111"/>
      <c r="IT164" s="111"/>
      <c r="IU164" s="111"/>
    </row>
    <row r="165" spans="1:255" s="105" customFormat="1" ht="15.6" customHeight="1" thickTop="1" thickBot="1">
      <c r="A165" s="1"/>
      <c r="B165" s="11"/>
      <c r="C165" s="13" t="s">
        <v>199</v>
      </c>
      <c r="D165" s="1"/>
      <c r="E165" s="1"/>
      <c r="F165" s="1806">
        <f>SUM(F157:G164)</f>
        <v>51400</v>
      </c>
      <c r="G165" s="1807"/>
      <c r="H165" s="1"/>
      <c r="I165" s="1"/>
      <c r="J165" s="14"/>
      <c r="K165" s="1"/>
      <c r="L165" s="1"/>
      <c r="M165" s="1"/>
      <c r="N165" s="1"/>
      <c r="O165" s="1"/>
      <c r="P165" s="495">
        <f>P157+P160</f>
        <v>357000</v>
      </c>
      <c r="T165" s="1645"/>
      <c r="U165" s="1646"/>
      <c r="V165" s="567"/>
      <c r="W165" s="567"/>
      <c r="X165" s="567"/>
      <c r="Y165" s="569"/>
      <c r="Z165" s="569"/>
      <c r="AA165" s="569"/>
      <c r="AB165" s="569"/>
      <c r="AC165" s="569"/>
      <c r="AD165" s="569"/>
      <c r="AE165" s="569"/>
      <c r="AF165" s="569"/>
      <c r="AG165" s="569"/>
      <c r="AH165" s="569"/>
      <c r="AI165" s="569"/>
      <c r="AJ165" s="569"/>
      <c r="AK165" s="569"/>
      <c r="AL165" s="569"/>
      <c r="AM165" s="569"/>
      <c r="AN165" s="569"/>
      <c r="AO165" s="569"/>
      <c r="AP165" s="569"/>
      <c r="AQ165" s="569"/>
      <c r="AR165" s="569"/>
      <c r="AS165" s="569"/>
      <c r="AT165" s="569"/>
      <c r="AU165" s="569"/>
      <c r="AV165" s="569"/>
      <c r="AW165" s="569"/>
      <c r="AX165" s="569"/>
      <c r="AY165" s="569"/>
      <c r="AZ165" s="569"/>
      <c r="BA165" s="569"/>
      <c r="BB165" s="569"/>
      <c r="BC165" s="569"/>
      <c r="BD165" s="569"/>
      <c r="BE165" s="569"/>
      <c r="BF165" s="569"/>
      <c r="BG165" s="569"/>
      <c r="BH165" s="569"/>
      <c r="BI165" s="569"/>
      <c r="BJ165" s="569"/>
      <c r="BK165" s="569"/>
      <c r="BL165" s="569"/>
      <c r="BM165" s="569"/>
      <c r="BN165" s="569"/>
      <c r="BO165" s="569"/>
      <c r="BP165" s="569"/>
      <c r="BQ165" s="569"/>
      <c r="BR165" s="569"/>
      <c r="BS165" s="569"/>
      <c r="BT165" s="569"/>
      <c r="BU165" s="569"/>
      <c r="BV165" s="569"/>
      <c r="BW165" s="569"/>
      <c r="BX165" s="569"/>
      <c r="BY165" s="569"/>
      <c r="BZ165" s="569"/>
      <c r="CA165" s="569"/>
      <c r="CB165" s="569"/>
      <c r="CC165" s="569"/>
      <c r="CD165" s="569"/>
      <c r="CE165" s="569"/>
      <c r="CF165" s="569"/>
      <c r="CG165" s="569"/>
      <c r="CH165" s="569"/>
      <c r="CI165" s="569"/>
      <c r="CJ165" s="569"/>
      <c r="CK165" s="569"/>
      <c r="CL165" s="569"/>
      <c r="CM165" s="569"/>
      <c r="CN165" s="569"/>
      <c r="CO165" s="569"/>
      <c r="CP165" s="569"/>
      <c r="CQ165" s="569"/>
      <c r="CR165" s="569"/>
      <c r="CS165" s="569"/>
      <c r="CT165" s="569"/>
      <c r="CU165" s="569"/>
      <c r="CV165" s="569"/>
      <c r="CW165" s="569"/>
      <c r="CX165" s="569"/>
      <c r="CY165" s="569"/>
      <c r="CZ165" s="569"/>
      <c r="DA165" s="569"/>
      <c r="DB165" s="569"/>
      <c r="DC165" s="569"/>
      <c r="DD165" s="569"/>
      <c r="DE165" s="569"/>
      <c r="DF165" s="569"/>
      <c r="DG165" s="569"/>
      <c r="DH165" s="569"/>
      <c r="DI165" s="569"/>
      <c r="DJ165" s="569"/>
      <c r="DK165" s="569"/>
      <c r="DL165" s="569"/>
      <c r="DM165" s="569"/>
      <c r="DN165" s="569"/>
      <c r="DO165" s="569"/>
      <c r="DP165" s="569"/>
      <c r="DQ165" s="569"/>
      <c r="DR165" s="569"/>
      <c r="DS165" s="569"/>
      <c r="DT165" s="569"/>
      <c r="DU165" s="569"/>
      <c r="DV165" s="569"/>
      <c r="DW165" s="569"/>
      <c r="DX165" s="569"/>
      <c r="DY165" s="569"/>
      <c r="DZ165" s="569"/>
      <c r="EA165" s="569"/>
      <c r="EB165" s="569"/>
      <c r="EC165" s="569"/>
      <c r="ED165" s="569"/>
      <c r="EE165" s="569"/>
      <c r="EF165" s="569"/>
      <c r="EG165" s="569"/>
      <c r="EH165" s="569"/>
      <c r="EI165" s="569"/>
      <c r="EJ165" s="569"/>
      <c r="EK165" s="569"/>
      <c r="EL165" s="569"/>
      <c r="EM165" s="569"/>
      <c r="EN165" s="569"/>
      <c r="EO165" s="569"/>
      <c r="EP165" s="569"/>
      <c r="EQ165" s="569"/>
      <c r="ER165" s="569"/>
      <c r="ES165" s="569"/>
      <c r="ET165" s="569"/>
      <c r="EU165" s="569"/>
      <c r="EV165" s="569"/>
      <c r="EW165" s="569"/>
      <c r="EX165" s="569"/>
      <c r="EY165" s="569"/>
      <c r="EZ165" s="569"/>
      <c r="FA165" s="569"/>
      <c r="FB165" s="569"/>
      <c r="FC165" s="569"/>
      <c r="FD165" s="569"/>
      <c r="FE165" s="569"/>
      <c r="FF165" s="569"/>
      <c r="FG165" s="569"/>
      <c r="FH165" s="569"/>
      <c r="FI165" s="569"/>
      <c r="FJ165" s="569"/>
      <c r="FK165" s="569"/>
      <c r="FL165" s="569"/>
      <c r="FM165" s="569"/>
      <c r="FN165" s="569"/>
      <c r="FO165" s="569"/>
      <c r="FP165" s="569"/>
      <c r="FQ165" s="569"/>
      <c r="FR165" s="569"/>
      <c r="FS165" s="569"/>
      <c r="FT165" s="569"/>
      <c r="FU165" s="569"/>
      <c r="FV165" s="569"/>
      <c r="FW165" s="569"/>
      <c r="FX165" s="569"/>
      <c r="FY165" s="570"/>
      <c r="FZ165" s="570"/>
      <c r="GA165" s="570"/>
      <c r="GB165" s="570"/>
      <c r="GC165" s="570"/>
      <c r="GD165" s="570"/>
      <c r="GE165" s="570"/>
      <c r="GF165" s="570"/>
      <c r="GG165" s="570"/>
      <c r="GH165" s="570"/>
      <c r="GI165" s="570"/>
      <c r="GJ165" s="570"/>
      <c r="GK165" s="570"/>
      <c r="GL165" s="570"/>
      <c r="GM165" s="570"/>
      <c r="GN165" s="570"/>
      <c r="GO165" s="570"/>
      <c r="GP165" s="569"/>
      <c r="GQ165" s="569"/>
      <c r="GR165" s="569"/>
      <c r="GS165" s="569"/>
      <c r="GT165" s="569"/>
      <c r="GU165" s="569"/>
      <c r="GV165" s="571"/>
      <c r="GW165" s="569"/>
      <c r="GX165" s="569"/>
      <c r="GY165" s="569"/>
      <c r="GZ165" s="569"/>
      <c r="HA165" s="569"/>
      <c r="HB165" s="569"/>
      <c r="HC165" s="569"/>
      <c r="HD165" s="569"/>
      <c r="HE165" s="569"/>
      <c r="HF165" s="569"/>
      <c r="HG165" s="569"/>
      <c r="HH165" s="569"/>
      <c r="HI165" s="569"/>
      <c r="HJ165" s="569"/>
      <c r="HK165" s="569"/>
      <c r="HL165" s="571"/>
      <c r="HM165" s="571"/>
      <c r="HN165" s="569"/>
      <c r="HO165" s="569"/>
      <c r="HP165" s="111"/>
      <c r="HQ165" s="111"/>
      <c r="HR165" s="111"/>
      <c r="HS165" s="111"/>
      <c r="HT165" s="111"/>
      <c r="HU165" s="111"/>
      <c r="HV165" s="111"/>
      <c r="HW165" s="111"/>
      <c r="HX165" s="111"/>
      <c r="HY165" s="111"/>
      <c r="HZ165" s="111"/>
      <c r="IA165" s="111"/>
      <c r="IB165" s="111"/>
      <c r="IC165" s="111"/>
      <c r="ID165" s="111"/>
      <c r="IE165" s="111"/>
      <c r="IF165" s="111"/>
      <c r="IG165" s="111"/>
      <c r="IH165" s="111"/>
      <c r="II165" s="111"/>
      <c r="IJ165" s="111"/>
      <c r="IK165" s="111"/>
      <c r="IL165" s="111"/>
      <c r="IM165" s="111"/>
      <c r="IN165" s="111"/>
      <c r="IO165" s="111"/>
      <c r="IP165" s="111"/>
      <c r="IQ165" s="111"/>
      <c r="IR165" s="111"/>
      <c r="IS165" s="111"/>
      <c r="IT165" s="111"/>
      <c r="IU165" s="111"/>
    </row>
    <row r="166" spans="1:255" s="105" customFormat="1" ht="10.9" customHeight="1">
      <c r="A166" s="1"/>
      <c r="B166" s="11"/>
      <c r="C166" s="1"/>
      <c r="D166" s="13"/>
      <c r="E166" s="1"/>
      <c r="F166" s="14"/>
      <c r="G166" s="14"/>
      <c r="H166" s="1"/>
      <c r="I166" s="1"/>
      <c r="J166" s="6"/>
      <c r="K166" s="1"/>
      <c r="L166" s="1"/>
      <c r="M166" s="1"/>
      <c r="N166" s="1"/>
      <c r="O166" s="1"/>
      <c r="V166" s="569"/>
      <c r="W166" s="569"/>
      <c r="X166" s="569"/>
      <c r="Y166" s="569"/>
      <c r="Z166" s="569"/>
      <c r="AA166" s="569"/>
      <c r="AB166" s="569"/>
      <c r="AC166" s="569"/>
      <c r="AD166" s="569"/>
      <c r="AE166" s="569"/>
      <c r="AF166" s="569"/>
      <c r="AG166" s="569"/>
      <c r="AH166" s="569"/>
      <c r="AI166" s="569"/>
      <c r="AJ166" s="569"/>
      <c r="AK166" s="569"/>
      <c r="AL166" s="569"/>
      <c r="AM166" s="569"/>
      <c r="AN166" s="569"/>
      <c r="AO166" s="569"/>
      <c r="AP166" s="569"/>
      <c r="AQ166" s="569"/>
      <c r="AR166" s="569"/>
      <c r="AS166" s="569"/>
      <c r="AT166" s="569"/>
      <c r="AU166" s="569"/>
      <c r="AV166" s="569"/>
      <c r="AW166" s="569"/>
      <c r="AX166" s="569"/>
      <c r="AY166" s="569"/>
      <c r="AZ166" s="569"/>
      <c r="BA166" s="569"/>
      <c r="BB166" s="569"/>
      <c r="BC166" s="569"/>
      <c r="BD166" s="569"/>
      <c r="BE166" s="569"/>
      <c r="BF166" s="569"/>
      <c r="BG166" s="569"/>
      <c r="BH166" s="569"/>
      <c r="BI166" s="569"/>
      <c r="BJ166" s="569"/>
      <c r="BK166" s="569"/>
      <c r="BL166" s="569"/>
      <c r="BM166" s="569"/>
      <c r="BN166" s="569"/>
      <c r="BO166" s="569"/>
      <c r="BP166" s="569"/>
      <c r="BQ166" s="569"/>
      <c r="BR166" s="569"/>
      <c r="BS166" s="569"/>
      <c r="BT166" s="569"/>
      <c r="BU166" s="569"/>
      <c r="BV166" s="569"/>
      <c r="BW166" s="569"/>
      <c r="BX166" s="569"/>
      <c r="BY166" s="569"/>
      <c r="BZ166" s="569"/>
      <c r="CA166" s="569"/>
      <c r="CB166" s="569"/>
      <c r="CC166" s="569"/>
      <c r="CD166" s="569"/>
      <c r="CE166" s="569"/>
      <c r="CF166" s="569"/>
      <c r="CG166" s="569"/>
      <c r="CH166" s="569"/>
      <c r="CI166" s="569"/>
      <c r="CJ166" s="569"/>
      <c r="CK166" s="569"/>
      <c r="CL166" s="569"/>
      <c r="CM166" s="569"/>
      <c r="CN166" s="569"/>
      <c r="CO166" s="569"/>
      <c r="CP166" s="569"/>
      <c r="CQ166" s="569"/>
      <c r="CR166" s="569"/>
      <c r="CS166" s="569"/>
      <c r="CT166" s="569"/>
      <c r="CU166" s="569"/>
      <c r="CV166" s="569"/>
      <c r="CW166" s="569"/>
      <c r="CX166" s="569"/>
      <c r="CY166" s="569"/>
      <c r="CZ166" s="569"/>
      <c r="DA166" s="569"/>
      <c r="DB166" s="569"/>
      <c r="DC166" s="569"/>
      <c r="DD166" s="569"/>
      <c r="DE166" s="569"/>
      <c r="DF166" s="569"/>
      <c r="DG166" s="569"/>
      <c r="DH166" s="569"/>
      <c r="DI166" s="569"/>
      <c r="DJ166" s="569"/>
      <c r="DK166" s="569"/>
      <c r="DL166" s="569"/>
      <c r="DM166" s="569"/>
      <c r="DN166" s="569"/>
      <c r="DO166" s="569"/>
      <c r="DP166" s="569"/>
      <c r="DQ166" s="569"/>
      <c r="DR166" s="569"/>
      <c r="DS166" s="569"/>
      <c r="DT166" s="569"/>
      <c r="DU166" s="569"/>
      <c r="DV166" s="569"/>
      <c r="DW166" s="569"/>
      <c r="DX166" s="569"/>
      <c r="DY166" s="569"/>
      <c r="DZ166" s="569"/>
      <c r="EA166" s="569"/>
      <c r="EB166" s="569"/>
      <c r="EC166" s="569"/>
      <c r="ED166" s="569"/>
      <c r="EE166" s="569"/>
      <c r="EF166" s="569"/>
      <c r="EG166" s="569"/>
      <c r="EH166" s="569"/>
      <c r="EI166" s="569"/>
      <c r="EJ166" s="569"/>
      <c r="EK166" s="569"/>
      <c r="EL166" s="569"/>
      <c r="EM166" s="569"/>
      <c r="EN166" s="569"/>
      <c r="EO166" s="569"/>
      <c r="EP166" s="569"/>
      <c r="EQ166" s="569"/>
      <c r="ER166" s="569"/>
      <c r="ES166" s="569"/>
      <c r="ET166" s="569"/>
      <c r="EU166" s="569"/>
      <c r="EV166" s="569"/>
      <c r="EW166" s="569"/>
      <c r="EX166" s="569"/>
      <c r="EY166" s="569"/>
      <c r="EZ166" s="569"/>
      <c r="FA166" s="569"/>
      <c r="FB166" s="569"/>
      <c r="FC166" s="569"/>
      <c r="FD166" s="569"/>
      <c r="FE166" s="569"/>
      <c r="FF166" s="569"/>
      <c r="FG166" s="569"/>
      <c r="FH166" s="569"/>
      <c r="FI166" s="569"/>
      <c r="FJ166" s="569"/>
      <c r="FK166" s="569"/>
      <c r="FL166" s="569"/>
      <c r="FM166" s="569"/>
      <c r="FN166" s="569"/>
      <c r="FO166" s="569"/>
      <c r="FP166" s="569"/>
      <c r="FQ166" s="569"/>
      <c r="FR166" s="569"/>
      <c r="FS166" s="569"/>
      <c r="FT166" s="569"/>
      <c r="FU166" s="569"/>
      <c r="FV166" s="569"/>
      <c r="FW166" s="569"/>
      <c r="FX166" s="569"/>
      <c r="FY166" s="570"/>
      <c r="FZ166" s="570"/>
      <c r="GA166" s="570"/>
      <c r="GB166" s="570"/>
      <c r="GC166" s="570"/>
      <c r="GD166" s="570"/>
      <c r="GE166" s="570"/>
      <c r="GF166" s="570"/>
      <c r="GG166" s="570"/>
      <c r="GH166" s="570"/>
      <c r="GI166" s="570"/>
      <c r="GJ166" s="570"/>
      <c r="GK166" s="570"/>
      <c r="GL166" s="570"/>
      <c r="GM166" s="570"/>
      <c r="GN166" s="570"/>
      <c r="GO166" s="570"/>
      <c r="GP166" s="569"/>
      <c r="GQ166" s="569"/>
      <c r="GR166" s="569"/>
      <c r="GS166" s="569"/>
      <c r="GT166" s="569"/>
      <c r="GU166" s="569"/>
      <c r="GV166" s="571"/>
      <c r="GW166" s="569"/>
      <c r="GX166" s="569"/>
      <c r="GY166" s="569"/>
      <c r="GZ166" s="569"/>
      <c r="HA166" s="569"/>
      <c r="HB166" s="569"/>
      <c r="HC166" s="569"/>
      <c r="HD166" s="569"/>
      <c r="HE166" s="569"/>
      <c r="HF166" s="569"/>
      <c r="HG166" s="569"/>
      <c r="HH166" s="569"/>
      <c r="HI166" s="569"/>
      <c r="HJ166" s="569"/>
      <c r="HK166" s="569"/>
      <c r="HL166" s="571"/>
      <c r="HM166" s="571"/>
      <c r="HN166" s="569"/>
      <c r="HO166" s="569"/>
      <c r="HP166" s="111"/>
      <c r="HQ166" s="111"/>
      <c r="HR166" s="111"/>
      <c r="HS166" s="111"/>
      <c r="HT166" s="111"/>
      <c r="HU166" s="111"/>
      <c r="HV166" s="111"/>
      <c r="HW166" s="111"/>
      <c r="HX166" s="111"/>
      <c r="HY166" s="111"/>
      <c r="HZ166" s="111"/>
      <c r="IA166" s="111"/>
      <c r="IB166" s="111"/>
      <c r="IC166" s="111"/>
      <c r="ID166" s="111"/>
      <c r="IE166" s="111"/>
      <c r="IF166" s="111"/>
      <c r="IG166" s="111"/>
      <c r="IH166" s="111"/>
      <c r="II166" s="111"/>
      <c r="IJ166" s="111"/>
      <c r="IK166" s="111"/>
      <c r="IL166" s="111"/>
      <c r="IM166" s="111"/>
      <c r="IN166" s="111"/>
      <c r="IO166" s="111"/>
      <c r="IP166" s="111"/>
      <c r="IQ166" s="111"/>
      <c r="IR166" s="111"/>
      <c r="IS166" s="111"/>
      <c r="IT166" s="111"/>
      <c r="IU166" s="111"/>
    </row>
    <row r="167" spans="1:255" ht="12" customHeight="1">
      <c r="A167" s="16" t="s">
        <v>1909</v>
      </c>
      <c r="B167" s="16" t="s">
        <v>603</v>
      </c>
      <c r="K167" s="16" t="s">
        <v>558</v>
      </c>
      <c r="L167" s="16" t="s">
        <v>1966</v>
      </c>
    </row>
    <row r="168" spans="1:255" ht="145.5" customHeight="1">
      <c r="A168" s="1439" t="s">
        <v>3501</v>
      </c>
      <c r="B168" s="1440"/>
      <c r="C168" s="1440"/>
      <c r="D168" s="1440"/>
      <c r="E168" s="1440"/>
      <c r="F168" s="1440"/>
      <c r="G168" s="1440"/>
      <c r="H168" s="1440"/>
      <c r="I168" s="1440"/>
      <c r="J168" s="1441"/>
      <c r="K168" s="1442"/>
      <c r="L168" s="1443"/>
      <c r="M168" s="1443"/>
      <c r="N168" s="1443"/>
      <c r="O168" s="1443"/>
      <c r="P168" s="1444"/>
      <c r="T168" s="1544" t="s">
        <v>2914</v>
      </c>
      <c r="U168" s="1544"/>
    </row>
    <row r="169" spans="1:255" ht="11.25" customHeight="1"/>
    <row r="170" spans="1:255" ht="12" customHeight="1"/>
    <row r="171" spans="1:255" ht="12" customHeight="1"/>
    <row r="172" spans="1:255" ht="13.9" customHeight="1"/>
    <row r="173" spans="1:255" s="105" customFormat="1" ht="13.9" customHeight="1">
      <c r="A173" s="1"/>
      <c r="B173" s="1"/>
      <c r="C173" s="1"/>
      <c r="D173" s="1"/>
      <c r="E173" s="1"/>
      <c r="F173" s="1"/>
      <c r="G173" s="1"/>
      <c r="H173" s="1"/>
      <c r="I173" s="1"/>
      <c r="J173" s="1"/>
      <c r="K173" s="1"/>
      <c r="L173" s="1"/>
      <c r="M173" s="1"/>
      <c r="N173" s="1"/>
      <c r="O173" s="1"/>
      <c r="V173" s="569"/>
      <c r="W173" s="569"/>
      <c r="X173" s="569"/>
      <c r="Y173" s="569"/>
      <c r="Z173" s="569"/>
      <c r="AA173" s="569"/>
      <c r="AB173" s="569"/>
      <c r="AC173" s="569"/>
      <c r="AD173" s="569"/>
      <c r="AE173" s="569"/>
      <c r="AF173" s="569"/>
      <c r="AG173" s="569"/>
      <c r="AH173" s="569"/>
      <c r="AI173" s="569"/>
      <c r="AJ173" s="569"/>
      <c r="AK173" s="569"/>
      <c r="AL173" s="569"/>
      <c r="AM173" s="569"/>
      <c r="AN173" s="569"/>
      <c r="AO173" s="569"/>
      <c r="AP173" s="569"/>
      <c r="AQ173" s="569"/>
      <c r="AR173" s="569"/>
      <c r="AS173" s="569"/>
      <c r="AT173" s="569"/>
      <c r="AU173" s="569"/>
      <c r="AV173" s="569"/>
      <c r="AW173" s="569"/>
      <c r="AX173" s="569"/>
      <c r="AY173" s="569"/>
      <c r="AZ173" s="569"/>
      <c r="BA173" s="569"/>
      <c r="BB173" s="569"/>
      <c r="BC173" s="569"/>
      <c r="BD173" s="569"/>
      <c r="BE173" s="569"/>
      <c r="BF173" s="569"/>
      <c r="BG173" s="569"/>
      <c r="BH173" s="569"/>
      <c r="BI173" s="569"/>
      <c r="BJ173" s="569"/>
      <c r="BK173" s="569"/>
      <c r="BL173" s="569"/>
      <c r="BM173" s="569"/>
      <c r="BN173" s="569"/>
      <c r="BO173" s="569"/>
      <c r="BP173" s="569"/>
      <c r="BQ173" s="569"/>
      <c r="BR173" s="569"/>
      <c r="BS173" s="569"/>
      <c r="BT173" s="569"/>
      <c r="BU173" s="569"/>
      <c r="BV173" s="569"/>
      <c r="BW173" s="569"/>
      <c r="BX173" s="569"/>
      <c r="BY173" s="569"/>
      <c r="BZ173" s="569"/>
      <c r="CA173" s="569"/>
      <c r="CB173" s="569"/>
      <c r="CC173" s="569"/>
      <c r="CD173" s="569"/>
      <c r="CE173" s="569"/>
      <c r="CF173" s="569"/>
      <c r="CG173" s="569"/>
      <c r="CH173" s="569"/>
      <c r="CI173" s="569"/>
      <c r="CJ173" s="569"/>
      <c r="CK173" s="569"/>
      <c r="CL173" s="569"/>
      <c r="CM173" s="569"/>
      <c r="CN173" s="569"/>
      <c r="CO173" s="569"/>
      <c r="CP173" s="569"/>
      <c r="CQ173" s="569"/>
      <c r="CR173" s="569"/>
      <c r="CS173" s="569"/>
      <c r="CT173" s="569"/>
      <c r="CU173" s="569"/>
      <c r="CV173" s="569"/>
      <c r="CW173" s="569"/>
      <c r="CX173" s="569"/>
      <c r="CY173" s="569"/>
      <c r="CZ173" s="569"/>
      <c r="DA173" s="569"/>
      <c r="DB173" s="569"/>
      <c r="DC173" s="569"/>
      <c r="DD173" s="569"/>
      <c r="DE173" s="569"/>
      <c r="DF173" s="569"/>
      <c r="DG173" s="569"/>
      <c r="DH173" s="569"/>
      <c r="DI173" s="569"/>
      <c r="DJ173" s="569"/>
      <c r="DK173" s="569"/>
      <c r="DL173" s="569"/>
      <c r="DM173" s="569"/>
      <c r="DN173" s="569"/>
      <c r="DO173" s="569"/>
      <c r="DP173" s="569"/>
      <c r="DQ173" s="569"/>
      <c r="DR173" s="569"/>
      <c r="DS173" s="569"/>
      <c r="DT173" s="569"/>
      <c r="DU173" s="569"/>
      <c r="DV173" s="569"/>
      <c r="DW173" s="569"/>
      <c r="DX173" s="569"/>
      <c r="DY173" s="569"/>
      <c r="DZ173" s="569"/>
      <c r="EA173" s="569"/>
      <c r="EB173" s="569"/>
      <c r="EC173" s="569"/>
      <c r="ED173" s="569"/>
      <c r="EE173" s="569"/>
      <c r="EF173" s="569"/>
      <c r="EG173" s="569"/>
      <c r="EH173" s="569"/>
      <c r="EI173" s="569"/>
      <c r="EJ173" s="569"/>
      <c r="EK173" s="569"/>
      <c r="EL173" s="569"/>
      <c r="EM173" s="569"/>
      <c r="EN173" s="569"/>
      <c r="EO173" s="569"/>
      <c r="EP173" s="569"/>
      <c r="EQ173" s="569"/>
      <c r="ER173" s="569"/>
      <c r="ES173" s="569"/>
      <c r="ET173" s="569"/>
      <c r="EU173" s="569"/>
      <c r="EV173" s="569"/>
      <c r="EW173" s="569"/>
      <c r="EX173" s="569"/>
      <c r="EY173" s="569"/>
      <c r="EZ173" s="569"/>
      <c r="FA173" s="569"/>
      <c r="FB173" s="569"/>
      <c r="FC173" s="569"/>
      <c r="FD173" s="569"/>
      <c r="FE173" s="569"/>
      <c r="FF173" s="569"/>
      <c r="FG173" s="569"/>
      <c r="FH173" s="569"/>
      <c r="FI173" s="569"/>
      <c r="FJ173" s="569"/>
      <c r="FK173" s="569"/>
      <c r="FL173" s="569"/>
      <c r="FM173" s="569"/>
      <c r="FN173" s="569"/>
      <c r="FO173" s="569"/>
      <c r="FP173" s="569"/>
      <c r="FQ173" s="569"/>
      <c r="FR173" s="569"/>
      <c r="FS173" s="569"/>
      <c r="FT173" s="569"/>
      <c r="FU173" s="569"/>
      <c r="FV173" s="569"/>
      <c r="FW173" s="569"/>
      <c r="FX173" s="569"/>
      <c r="FY173" s="570"/>
      <c r="FZ173" s="570"/>
      <c r="GA173" s="570"/>
      <c r="GB173" s="570"/>
      <c r="GC173" s="570"/>
      <c r="GD173" s="570"/>
      <c r="GE173" s="570"/>
      <c r="GF173" s="570"/>
      <c r="GG173" s="570"/>
      <c r="GH173" s="570"/>
      <c r="GI173" s="570"/>
      <c r="GJ173" s="570"/>
      <c r="GK173" s="570"/>
      <c r="GL173" s="570"/>
      <c r="GM173" s="570"/>
      <c r="GN173" s="570"/>
      <c r="GO173" s="570"/>
      <c r="GP173" s="569"/>
      <c r="GQ173" s="569"/>
      <c r="GR173" s="569"/>
      <c r="GS173" s="569"/>
      <c r="GT173" s="569"/>
      <c r="GU173" s="569"/>
      <c r="GV173" s="571"/>
      <c r="GW173" s="569"/>
      <c r="GX173" s="569"/>
      <c r="GY173" s="569"/>
      <c r="GZ173" s="569"/>
      <c r="HA173" s="569"/>
      <c r="HB173" s="569"/>
      <c r="HC173" s="569"/>
      <c r="HD173" s="569"/>
      <c r="HE173" s="569"/>
      <c r="HF173" s="569"/>
      <c r="HG173" s="569"/>
      <c r="HH173" s="569"/>
      <c r="HI173" s="569"/>
      <c r="HJ173" s="569"/>
      <c r="HK173" s="569"/>
      <c r="HL173" s="571"/>
      <c r="HM173" s="571"/>
      <c r="HN173" s="569"/>
      <c r="HO173" s="569"/>
      <c r="HP173" s="111"/>
      <c r="HQ173" s="111"/>
      <c r="HR173" s="111"/>
      <c r="HS173" s="111"/>
      <c r="HT173" s="111"/>
      <c r="HU173" s="111"/>
      <c r="HV173" s="111"/>
      <c r="HW173" s="111"/>
      <c r="HX173" s="111"/>
      <c r="HY173" s="111"/>
      <c r="HZ173" s="111"/>
      <c r="IA173" s="111"/>
      <c r="IB173" s="111"/>
      <c r="IC173" s="111"/>
      <c r="ID173" s="111"/>
      <c r="IE173" s="111"/>
      <c r="IF173" s="111"/>
      <c r="IG173" s="111"/>
      <c r="IH173" s="111"/>
      <c r="II173" s="111"/>
      <c r="IJ173" s="111"/>
      <c r="IK173" s="111"/>
      <c r="IL173" s="111"/>
      <c r="IM173" s="111"/>
      <c r="IN173" s="111"/>
      <c r="IO173" s="111"/>
      <c r="IP173" s="111"/>
      <c r="IQ173" s="111"/>
      <c r="IR173" s="111"/>
      <c r="IS173" s="111"/>
      <c r="IT173" s="111"/>
      <c r="IU173" s="111"/>
    </row>
    <row r="174" spans="1:255" s="105" customFormat="1" ht="13.9" customHeight="1">
      <c r="A174" s="1"/>
      <c r="B174" s="1"/>
      <c r="C174" s="1"/>
      <c r="D174" s="1"/>
      <c r="E174" s="1"/>
      <c r="F174" s="1"/>
      <c r="G174" s="1"/>
      <c r="H174" s="1"/>
      <c r="I174" s="1"/>
      <c r="J174" s="1"/>
      <c r="K174" s="1"/>
      <c r="L174" s="1"/>
      <c r="M174" s="1"/>
      <c r="N174" s="1"/>
      <c r="O174" s="1"/>
      <c r="V174" s="569"/>
      <c r="W174" s="569"/>
      <c r="X174" s="569"/>
      <c r="Y174" s="569"/>
      <c r="Z174" s="569"/>
      <c r="AA174" s="569"/>
      <c r="AB174" s="569"/>
      <c r="AC174" s="569"/>
      <c r="AD174" s="569"/>
      <c r="AE174" s="569"/>
      <c r="AF174" s="569"/>
      <c r="AG174" s="569"/>
      <c r="AH174" s="569"/>
      <c r="AI174" s="569"/>
      <c r="AJ174" s="569"/>
      <c r="AK174" s="569"/>
      <c r="AL174" s="569"/>
      <c r="AM174" s="569"/>
      <c r="AN174" s="569"/>
      <c r="AO174" s="569"/>
      <c r="AP174" s="569"/>
      <c r="AQ174" s="569"/>
      <c r="AR174" s="569"/>
      <c r="AS174" s="569"/>
      <c r="AT174" s="569"/>
      <c r="AU174" s="569"/>
      <c r="AV174" s="569"/>
      <c r="AW174" s="569"/>
      <c r="AX174" s="569"/>
      <c r="AY174" s="569"/>
      <c r="AZ174" s="569"/>
      <c r="BA174" s="569"/>
      <c r="BB174" s="569"/>
      <c r="BC174" s="569"/>
      <c r="BD174" s="569"/>
      <c r="BE174" s="569"/>
      <c r="BF174" s="569"/>
      <c r="BG174" s="569"/>
      <c r="BH174" s="569"/>
      <c r="BI174" s="569"/>
      <c r="BJ174" s="569"/>
      <c r="BK174" s="569"/>
      <c r="BL174" s="569"/>
      <c r="BM174" s="569"/>
      <c r="BN174" s="569"/>
      <c r="BO174" s="569"/>
      <c r="BP174" s="569"/>
      <c r="BQ174" s="569"/>
      <c r="BR174" s="569"/>
      <c r="BS174" s="569"/>
      <c r="BT174" s="569"/>
      <c r="BU174" s="569"/>
      <c r="BV174" s="569"/>
      <c r="BW174" s="569"/>
      <c r="BX174" s="569"/>
      <c r="BY174" s="569"/>
      <c r="BZ174" s="569"/>
      <c r="CA174" s="569"/>
      <c r="CB174" s="569"/>
      <c r="CC174" s="569"/>
      <c r="CD174" s="569"/>
      <c r="CE174" s="569"/>
      <c r="CF174" s="569"/>
      <c r="CG174" s="569"/>
      <c r="CH174" s="569"/>
      <c r="CI174" s="569"/>
      <c r="CJ174" s="569"/>
      <c r="CK174" s="569"/>
      <c r="CL174" s="569"/>
      <c r="CM174" s="569"/>
      <c r="CN174" s="569"/>
      <c r="CO174" s="569"/>
      <c r="CP174" s="569"/>
      <c r="CQ174" s="569"/>
      <c r="CR174" s="569"/>
      <c r="CS174" s="569"/>
      <c r="CT174" s="569"/>
      <c r="CU174" s="569"/>
      <c r="CV174" s="569"/>
      <c r="CW174" s="569"/>
      <c r="CX174" s="569"/>
      <c r="CY174" s="569"/>
      <c r="CZ174" s="569"/>
      <c r="DA174" s="569"/>
      <c r="DB174" s="569"/>
      <c r="DC174" s="569"/>
      <c r="DD174" s="569"/>
      <c r="DE174" s="569"/>
      <c r="DF174" s="569"/>
      <c r="DG174" s="569"/>
      <c r="DH174" s="569"/>
      <c r="DI174" s="569"/>
      <c r="DJ174" s="569"/>
      <c r="DK174" s="569"/>
      <c r="DL174" s="569"/>
      <c r="DM174" s="569"/>
      <c r="DN174" s="569"/>
      <c r="DO174" s="569"/>
      <c r="DP174" s="569"/>
      <c r="DQ174" s="569"/>
      <c r="DR174" s="569"/>
      <c r="DS174" s="569"/>
      <c r="DT174" s="569"/>
      <c r="DU174" s="569"/>
      <c r="DV174" s="569"/>
      <c r="DW174" s="569"/>
      <c r="DX174" s="569"/>
      <c r="DY174" s="569"/>
      <c r="DZ174" s="569"/>
      <c r="EA174" s="569"/>
      <c r="EB174" s="569"/>
      <c r="EC174" s="569"/>
      <c r="ED174" s="569"/>
      <c r="EE174" s="569"/>
      <c r="EF174" s="569"/>
      <c r="EG174" s="569"/>
      <c r="EH174" s="569"/>
      <c r="EI174" s="569"/>
      <c r="EJ174" s="569"/>
      <c r="EK174" s="569"/>
      <c r="EL174" s="569"/>
      <c r="EM174" s="569"/>
      <c r="EN174" s="569"/>
      <c r="EO174" s="569"/>
      <c r="EP174" s="569"/>
      <c r="EQ174" s="569"/>
      <c r="ER174" s="569"/>
      <c r="ES174" s="569"/>
      <c r="ET174" s="569"/>
      <c r="EU174" s="569"/>
      <c r="EV174" s="569"/>
      <c r="EW174" s="569"/>
      <c r="EX174" s="569"/>
      <c r="EY174" s="569"/>
      <c r="EZ174" s="569"/>
      <c r="FA174" s="569"/>
      <c r="FB174" s="569"/>
      <c r="FC174" s="569"/>
      <c r="FD174" s="569"/>
      <c r="FE174" s="569"/>
      <c r="FF174" s="569"/>
      <c r="FG174" s="569"/>
      <c r="FH174" s="569"/>
      <c r="FI174" s="569"/>
      <c r="FJ174" s="569"/>
      <c r="FK174" s="569"/>
      <c r="FL174" s="569"/>
      <c r="FM174" s="569"/>
      <c r="FN174" s="569"/>
      <c r="FO174" s="569"/>
      <c r="FP174" s="569"/>
      <c r="FQ174" s="569"/>
      <c r="FR174" s="569"/>
      <c r="FS174" s="569"/>
      <c r="FT174" s="569"/>
      <c r="FU174" s="569"/>
      <c r="FV174" s="569"/>
      <c r="FW174" s="569"/>
      <c r="FX174" s="569"/>
      <c r="FY174" s="570"/>
      <c r="FZ174" s="570"/>
      <c r="GA174" s="570"/>
      <c r="GB174" s="570"/>
      <c r="GC174" s="570"/>
      <c r="GD174" s="570"/>
      <c r="GE174" s="570"/>
      <c r="GF174" s="570"/>
      <c r="GG174" s="570"/>
      <c r="GH174" s="570"/>
      <c r="GI174" s="570"/>
      <c r="GJ174" s="570"/>
      <c r="GK174" s="570"/>
      <c r="GL174" s="570"/>
      <c r="GM174" s="570"/>
      <c r="GN174" s="570"/>
      <c r="GO174" s="570"/>
      <c r="GP174" s="569"/>
      <c r="GQ174" s="569"/>
      <c r="GR174" s="569"/>
      <c r="GS174" s="569"/>
      <c r="GT174" s="569"/>
      <c r="GU174" s="569"/>
      <c r="GV174" s="571"/>
      <c r="GW174" s="569"/>
      <c r="GX174" s="569"/>
      <c r="GY174" s="569"/>
      <c r="GZ174" s="569"/>
      <c r="HA174" s="569"/>
      <c r="HB174" s="569"/>
      <c r="HC174" s="569"/>
      <c r="HD174" s="569"/>
      <c r="HE174" s="569"/>
      <c r="HF174" s="569"/>
      <c r="HG174" s="569"/>
      <c r="HH174" s="569"/>
      <c r="HI174" s="569"/>
      <c r="HJ174" s="569"/>
      <c r="HK174" s="569"/>
      <c r="HL174" s="571"/>
      <c r="HM174" s="571"/>
      <c r="HN174" s="569"/>
      <c r="HO174" s="569"/>
      <c r="HP174" s="111"/>
      <c r="HQ174" s="111"/>
      <c r="HR174" s="111"/>
      <c r="HS174" s="111"/>
      <c r="HT174" s="111"/>
      <c r="HU174" s="111"/>
      <c r="HV174" s="111"/>
      <c r="HW174" s="111"/>
      <c r="HX174" s="111"/>
      <c r="HY174" s="111"/>
      <c r="HZ174" s="111"/>
      <c r="IA174" s="111"/>
      <c r="IB174" s="111"/>
      <c r="IC174" s="111"/>
      <c r="ID174" s="111"/>
      <c r="IE174" s="111"/>
      <c r="IF174" s="111"/>
      <c r="IG174" s="111"/>
      <c r="IH174" s="111"/>
      <c r="II174" s="111"/>
      <c r="IJ174" s="111"/>
      <c r="IK174" s="111"/>
      <c r="IL174" s="111"/>
      <c r="IM174" s="111"/>
      <c r="IN174" s="111"/>
      <c r="IO174" s="111"/>
      <c r="IP174" s="111"/>
      <c r="IQ174" s="111"/>
      <c r="IR174" s="111"/>
      <c r="IS174" s="111"/>
      <c r="IT174" s="111"/>
      <c r="IU174" s="111"/>
    </row>
    <row r="175" spans="1:255" s="105" customFormat="1" ht="13.9" customHeight="1">
      <c r="A175" s="1"/>
      <c r="B175" s="1"/>
      <c r="C175" s="1"/>
      <c r="D175" s="1"/>
      <c r="E175" s="1"/>
      <c r="F175" s="1"/>
      <c r="G175" s="1"/>
      <c r="H175" s="1"/>
      <c r="I175" s="1"/>
      <c r="J175" s="1"/>
      <c r="K175" s="1"/>
      <c r="L175" s="1"/>
      <c r="M175" s="1"/>
      <c r="N175" s="1"/>
      <c r="O175" s="1"/>
      <c r="V175" s="569"/>
      <c r="W175" s="569"/>
      <c r="X175" s="569"/>
      <c r="Y175" s="569"/>
      <c r="Z175" s="569"/>
      <c r="AA175" s="569"/>
      <c r="AB175" s="569"/>
      <c r="AC175" s="569"/>
      <c r="AD175" s="569"/>
      <c r="AE175" s="569"/>
      <c r="AF175" s="569"/>
      <c r="AG175" s="569"/>
      <c r="AH175" s="569"/>
      <c r="AI175" s="569"/>
      <c r="AJ175" s="569"/>
      <c r="AK175" s="569"/>
      <c r="AL175" s="569"/>
      <c r="AM175" s="569"/>
      <c r="AN175" s="569"/>
      <c r="AO175" s="569"/>
      <c r="AP175" s="569"/>
      <c r="AQ175" s="569"/>
      <c r="AR175" s="569"/>
      <c r="AS175" s="569"/>
      <c r="AT175" s="569"/>
      <c r="AU175" s="569"/>
      <c r="AV175" s="569"/>
      <c r="AW175" s="569"/>
      <c r="AX175" s="569"/>
      <c r="AY175" s="569"/>
      <c r="AZ175" s="569"/>
      <c r="BA175" s="569"/>
      <c r="BB175" s="569"/>
      <c r="BC175" s="569"/>
      <c r="BD175" s="569"/>
      <c r="BE175" s="569"/>
      <c r="BF175" s="569"/>
      <c r="BG175" s="569"/>
      <c r="BH175" s="569"/>
      <c r="BI175" s="569"/>
      <c r="BJ175" s="569"/>
      <c r="BK175" s="569"/>
      <c r="BL175" s="569"/>
      <c r="BM175" s="569"/>
      <c r="BN175" s="569"/>
      <c r="BO175" s="569"/>
      <c r="BP175" s="569"/>
      <c r="BQ175" s="569"/>
      <c r="BR175" s="569"/>
      <c r="BS175" s="569"/>
      <c r="BT175" s="569"/>
      <c r="BU175" s="569"/>
      <c r="BV175" s="569"/>
      <c r="BW175" s="569"/>
      <c r="BX175" s="569"/>
      <c r="BY175" s="569"/>
      <c r="BZ175" s="569"/>
      <c r="CA175" s="569"/>
      <c r="CB175" s="569"/>
      <c r="CC175" s="569"/>
      <c r="CD175" s="569"/>
      <c r="CE175" s="569"/>
      <c r="CF175" s="569"/>
      <c r="CG175" s="569"/>
      <c r="CH175" s="569"/>
      <c r="CI175" s="569"/>
      <c r="CJ175" s="569"/>
      <c r="CK175" s="569"/>
      <c r="CL175" s="569"/>
      <c r="CM175" s="569"/>
      <c r="CN175" s="569"/>
      <c r="CO175" s="569"/>
      <c r="CP175" s="569"/>
      <c r="CQ175" s="569"/>
      <c r="CR175" s="569"/>
      <c r="CS175" s="569"/>
      <c r="CT175" s="569"/>
      <c r="CU175" s="569"/>
      <c r="CV175" s="569"/>
      <c r="CW175" s="569"/>
      <c r="CX175" s="569"/>
      <c r="CY175" s="569"/>
      <c r="CZ175" s="569"/>
      <c r="DA175" s="569"/>
      <c r="DB175" s="569"/>
      <c r="DC175" s="569"/>
      <c r="DD175" s="569"/>
      <c r="DE175" s="569"/>
      <c r="DF175" s="569"/>
      <c r="DG175" s="569"/>
      <c r="DH175" s="569"/>
      <c r="DI175" s="569"/>
      <c r="DJ175" s="569"/>
      <c r="DK175" s="569"/>
      <c r="DL175" s="569"/>
      <c r="DM175" s="569"/>
      <c r="DN175" s="569"/>
      <c r="DO175" s="569"/>
      <c r="DP175" s="569"/>
      <c r="DQ175" s="569"/>
      <c r="DR175" s="569"/>
      <c r="DS175" s="569"/>
      <c r="DT175" s="569"/>
      <c r="DU175" s="569"/>
      <c r="DV175" s="569"/>
      <c r="DW175" s="569"/>
      <c r="DX175" s="569"/>
      <c r="DY175" s="569"/>
      <c r="DZ175" s="569"/>
      <c r="EA175" s="569"/>
      <c r="EB175" s="569"/>
      <c r="EC175" s="569"/>
      <c r="ED175" s="569"/>
      <c r="EE175" s="569"/>
      <c r="EF175" s="569"/>
      <c r="EG175" s="569"/>
      <c r="EH175" s="569"/>
      <c r="EI175" s="569"/>
      <c r="EJ175" s="569"/>
      <c r="EK175" s="569"/>
      <c r="EL175" s="569"/>
      <c r="EM175" s="569"/>
      <c r="EN175" s="569"/>
      <c r="EO175" s="569"/>
      <c r="EP175" s="569"/>
      <c r="EQ175" s="569"/>
      <c r="ER175" s="569"/>
      <c r="ES175" s="569"/>
      <c r="ET175" s="569"/>
      <c r="EU175" s="569"/>
      <c r="EV175" s="569"/>
      <c r="EW175" s="569"/>
      <c r="EX175" s="569"/>
      <c r="EY175" s="569"/>
      <c r="EZ175" s="569"/>
      <c r="FA175" s="569"/>
      <c r="FB175" s="569"/>
      <c r="FC175" s="569"/>
      <c r="FD175" s="569"/>
      <c r="FE175" s="569"/>
      <c r="FF175" s="569"/>
      <c r="FG175" s="569"/>
      <c r="FH175" s="569"/>
      <c r="FI175" s="569"/>
      <c r="FJ175" s="569"/>
      <c r="FK175" s="569"/>
      <c r="FL175" s="569"/>
      <c r="FM175" s="569"/>
      <c r="FN175" s="569"/>
      <c r="FO175" s="569"/>
      <c r="FP175" s="569"/>
      <c r="FQ175" s="569"/>
      <c r="FR175" s="569"/>
      <c r="FS175" s="569"/>
      <c r="FT175" s="569"/>
      <c r="FU175" s="569"/>
      <c r="FV175" s="569"/>
      <c r="FW175" s="569"/>
      <c r="FX175" s="569"/>
      <c r="FY175" s="570"/>
      <c r="FZ175" s="570"/>
      <c r="GA175" s="570"/>
      <c r="GB175" s="570"/>
      <c r="GC175" s="570"/>
      <c r="GD175" s="570"/>
      <c r="GE175" s="570"/>
      <c r="GF175" s="570"/>
      <c r="GG175" s="570"/>
      <c r="GH175" s="570"/>
      <c r="GI175" s="570"/>
      <c r="GJ175" s="570"/>
      <c r="GK175" s="570"/>
      <c r="GL175" s="570"/>
      <c r="GM175" s="570"/>
      <c r="GN175" s="570"/>
      <c r="GO175" s="570"/>
      <c r="GP175" s="569"/>
      <c r="GQ175" s="569"/>
      <c r="GR175" s="569"/>
      <c r="GS175" s="569"/>
      <c r="GT175" s="569"/>
      <c r="GU175" s="569"/>
      <c r="GV175" s="571"/>
      <c r="GW175" s="569"/>
      <c r="GX175" s="569"/>
      <c r="GY175" s="569"/>
      <c r="GZ175" s="569"/>
      <c r="HA175" s="569"/>
      <c r="HB175" s="569"/>
      <c r="HC175" s="569"/>
      <c r="HD175" s="569"/>
      <c r="HE175" s="569"/>
      <c r="HF175" s="569"/>
      <c r="HG175" s="569"/>
      <c r="HH175" s="569"/>
      <c r="HI175" s="569"/>
      <c r="HJ175" s="569"/>
      <c r="HK175" s="569"/>
      <c r="HL175" s="571"/>
      <c r="HM175" s="571"/>
      <c r="HN175" s="569"/>
      <c r="HO175" s="569"/>
      <c r="HP175" s="111"/>
      <c r="HQ175" s="111"/>
      <c r="HR175" s="111"/>
      <c r="HS175" s="111"/>
      <c r="HT175" s="111"/>
      <c r="HU175" s="111"/>
      <c r="HV175" s="111"/>
      <c r="HW175" s="111"/>
      <c r="HX175" s="111"/>
      <c r="HY175" s="111"/>
      <c r="HZ175" s="111"/>
      <c r="IA175" s="111"/>
      <c r="IB175" s="111"/>
      <c r="IC175" s="111"/>
      <c r="ID175" s="111"/>
      <c r="IE175" s="111"/>
      <c r="IF175" s="111"/>
      <c r="IG175" s="111"/>
      <c r="IH175" s="111"/>
      <c r="II175" s="111"/>
      <c r="IJ175" s="111"/>
      <c r="IK175" s="111"/>
      <c r="IL175" s="111"/>
      <c r="IM175" s="111"/>
      <c r="IN175" s="111"/>
      <c r="IO175" s="111"/>
      <c r="IP175" s="111"/>
      <c r="IQ175" s="111"/>
      <c r="IR175" s="111"/>
      <c r="IS175" s="111"/>
      <c r="IT175" s="111"/>
      <c r="IU175" s="111"/>
    </row>
    <row r="176" spans="1:255" s="105" customFormat="1" ht="13.9" customHeight="1">
      <c r="A176" s="36"/>
      <c r="B176" s="1"/>
      <c r="C176" s="1"/>
      <c r="D176" s="1"/>
      <c r="E176" s="1"/>
      <c r="F176" s="1"/>
      <c r="G176" s="1"/>
      <c r="H176" s="1"/>
      <c r="I176" s="1"/>
      <c r="J176" s="1"/>
      <c r="K176" s="1"/>
      <c r="L176" s="1"/>
      <c r="M176" s="1"/>
      <c r="N176" s="1"/>
      <c r="O176" s="1"/>
      <c r="V176" s="569"/>
      <c r="W176" s="569"/>
      <c r="X176" s="569"/>
      <c r="Y176" s="569"/>
      <c r="Z176" s="569"/>
      <c r="AA176" s="569"/>
      <c r="AB176" s="569"/>
      <c r="AC176" s="569"/>
      <c r="AD176" s="569"/>
      <c r="AE176" s="569"/>
      <c r="AF176" s="569"/>
      <c r="AG176" s="569"/>
      <c r="AH176" s="569"/>
      <c r="AI176" s="569"/>
      <c r="AJ176" s="569"/>
      <c r="AK176" s="569"/>
      <c r="AL176" s="569"/>
      <c r="AM176" s="569"/>
      <c r="AN176" s="569"/>
      <c r="AO176" s="569"/>
      <c r="AP176" s="569"/>
      <c r="AQ176" s="569"/>
      <c r="AR176" s="569"/>
      <c r="AS176" s="569"/>
      <c r="AT176" s="569"/>
      <c r="AU176" s="569"/>
      <c r="AV176" s="569"/>
      <c r="AW176" s="569"/>
      <c r="AX176" s="569"/>
      <c r="AY176" s="569"/>
      <c r="AZ176" s="569"/>
      <c r="BA176" s="569"/>
      <c r="BB176" s="569"/>
      <c r="BC176" s="569"/>
      <c r="BD176" s="569"/>
      <c r="BE176" s="569"/>
      <c r="BF176" s="569"/>
      <c r="BG176" s="569"/>
      <c r="BH176" s="569"/>
      <c r="BI176" s="569"/>
      <c r="BJ176" s="569"/>
      <c r="BK176" s="569"/>
      <c r="BL176" s="569"/>
      <c r="BM176" s="569"/>
      <c r="BN176" s="569"/>
      <c r="BO176" s="569"/>
      <c r="BP176" s="569"/>
      <c r="BQ176" s="569"/>
      <c r="BR176" s="569"/>
      <c r="BS176" s="569"/>
      <c r="BT176" s="569"/>
      <c r="BU176" s="569"/>
      <c r="BV176" s="569"/>
      <c r="BW176" s="569"/>
      <c r="BX176" s="569"/>
      <c r="BY176" s="569"/>
      <c r="BZ176" s="569"/>
      <c r="CA176" s="569"/>
      <c r="CB176" s="569"/>
      <c r="CC176" s="569"/>
      <c r="CD176" s="569"/>
      <c r="CE176" s="569"/>
      <c r="CF176" s="569"/>
      <c r="CG176" s="569"/>
      <c r="CH176" s="569"/>
      <c r="CI176" s="569"/>
      <c r="CJ176" s="569"/>
      <c r="CK176" s="569"/>
      <c r="CL176" s="569"/>
      <c r="CM176" s="569"/>
      <c r="CN176" s="569"/>
      <c r="CO176" s="569"/>
      <c r="CP176" s="569"/>
      <c r="CQ176" s="569"/>
      <c r="CR176" s="569"/>
      <c r="CS176" s="569"/>
      <c r="CT176" s="569"/>
      <c r="CU176" s="569"/>
      <c r="CV176" s="569"/>
      <c r="CW176" s="569"/>
      <c r="CX176" s="569"/>
      <c r="CY176" s="569"/>
      <c r="CZ176" s="569"/>
      <c r="DA176" s="569"/>
      <c r="DB176" s="569"/>
      <c r="DC176" s="569"/>
      <c r="DD176" s="569"/>
      <c r="DE176" s="569"/>
      <c r="DF176" s="569"/>
      <c r="DG176" s="569"/>
      <c r="DH176" s="569"/>
      <c r="DI176" s="569"/>
      <c r="DJ176" s="569"/>
      <c r="DK176" s="569"/>
      <c r="DL176" s="569"/>
      <c r="DM176" s="569"/>
      <c r="DN176" s="569"/>
      <c r="DO176" s="569"/>
      <c r="DP176" s="569"/>
      <c r="DQ176" s="569"/>
      <c r="DR176" s="569"/>
      <c r="DS176" s="569"/>
      <c r="DT176" s="569"/>
      <c r="DU176" s="569"/>
      <c r="DV176" s="569"/>
      <c r="DW176" s="569"/>
      <c r="DX176" s="569"/>
      <c r="DY176" s="569"/>
      <c r="DZ176" s="569"/>
      <c r="EA176" s="569"/>
      <c r="EB176" s="569"/>
      <c r="EC176" s="569"/>
      <c r="ED176" s="569"/>
      <c r="EE176" s="569"/>
      <c r="EF176" s="569"/>
      <c r="EG176" s="569"/>
      <c r="EH176" s="569"/>
      <c r="EI176" s="569"/>
      <c r="EJ176" s="569"/>
      <c r="EK176" s="569"/>
      <c r="EL176" s="569"/>
      <c r="EM176" s="569"/>
      <c r="EN176" s="569"/>
      <c r="EO176" s="569"/>
      <c r="EP176" s="569"/>
      <c r="EQ176" s="569"/>
      <c r="ER176" s="569"/>
      <c r="ES176" s="569"/>
      <c r="ET176" s="569"/>
      <c r="EU176" s="569"/>
      <c r="EV176" s="569"/>
      <c r="EW176" s="569"/>
      <c r="EX176" s="569"/>
      <c r="EY176" s="569"/>
      <c r="EZ176" s="569"/>
      <c r="FA176" s="569"/>
      <c r="FB176" s="569"/>
      <c r="FC176" s="569"/>
      <c r="FD176" s="569"/>
      <c r="FE176" s="569"/>
      <c r="FF176" s="569"/>
      <c r="FG176" s="569"/>
      <c r="FH176" s="569"/>
      <c r="FI176" s="569"/>
      <c r="FJ176" s="569"/>
      <c r="FK176" s="569"/>
      <c r="FL176" s="569"/>
      <c r="FM176" s="569"/>
      <c r="FN176" s="569"/>
      <c r="FO176" s="569"/>
      <c r="FP176" s="569"/>
      <c r="FQ176" s="569"/>
      <c r="FR176" s="569"/>
      <c r="FS176" s="569"/>
      <c r="FT176" s="569"/>
      <c r="FU176" s="569"/>
      <c r="FV176" s="569"/>
      <c r="FW176" s="569"/>
      <c r="FX176" s="569"/>
      <c r="FY176" s="570"/>
      <c r="FZ176" s="570"/>
      <c r="GA176" s="570"/>
      <c r="GB176" s="570"/>
      <c r="GC176" s="570"/>
      <c r="GD176" s="570"/>
      <c r="GE176" s="570"/>
      <c r="GF176" s="570"/>
      <c r="GG176" s="570"/>
      <c r="GH176" s="570"/>
      <c r="GI176" s="570"/>
      <c r="GJ176" s="570"/>
      <c r="GK176" s="570"/>
      <c r="GL176" s="570"/>
      <c r="GM176" s="570"/>
      <c r="GN176" s="570"/>
      <c r="GO176" s="570"/>
      <c r="GP176" s="569"/>
      <c r="GQ176" s="569"/>
      <c r="GR176" s="569"/>
      <c r="GS176" s="569"/>
      <c r="GT176" s="569"/>
      <c r="GU176" s="569"/>
      <c r="GV176" s="571"/>
      <c r="GW176" s="569"/>
      <c r="GX176" s="569"/>
      <c r="GY176" s="569"/>
      <c r="GZ176" s="569"/>
      <c r="HA176" s="569"/>
      <c r="HB176" s="569"/>
      <c r="HC176" s="569"/>
      <c r="HD176" s="569"/>
      <c r="HE176" s="569"/>
      <c r="HF176" s="569"/>
      <c r="HG176" s="569"/>
      <c r="HH176" s="569"/>
      <c r="HI176" s="569"/>
      <c r="HJ176" s="569"/>
      <c r="HK176" s="569"/>
      <c r="HL176" s="571"/>
      <c r="HM176" s="571"/>
      <c r="HN176" s="569"/>
      <c r="HO176" s="569"/>
      <c r="HP176" s="111"/>
      <c r="HQ176" s="111"/>
      <c r="HR176" s="111"/>
      <c r="HS176" s="111"/>
      <c r="HT176" s="111"/>
      <c r="HU176" s="111"/>
      <c r="HV176" s="111"/>
      <c r="HW176" s="111"/>
      <c r="HX176" s="111"/>
      <c r="HY176" s="111"/>
      <c r="HZ176" s="111"/>
      <c r="IA176" s="111"/>
      <c r="IB176" s="111"/>
      <c r="IC176" s="111"/>
      <c r="ID176" s="111"/>
      <c r="IE176" s="111"/>
      <c r="IF176" s="111"/>
      <c r="IG176" s="111"/>
      <c r="IH176" s="111"/>
      <c r="II176" s="111"/>
      <c r="IJ176" s="111"/>
      <c r="IK176" s="111"/>
      <c r="IL176" s="111"/>
      <c r="IM176" s="111"/>
      <c r="IN176" s="111"/>
      <c r="IO176" s="111"/>
      <c r="IP176" s="111"/>
      <c r="IQ176" s="111"/>
      <c r="IR176" s="111"/>
      <c r="IS176" s="111"/>
      <c r="IT176" s="111"/>
      <c r="IU176" s="111"/>
    </row>
    <row r="177" spans="1:255" s="105" customFormat="1" ht="13.9" customHeight="1">
      <c r="A177" s="36"/>
      <c r="B177" s="1"/>
      <c r="C177" s="1"/>
      <c r="D177" s="1"/>
      <c r="E177" s="1"/>
      <c r="F177" s="1"/>
      <c r="G177" s="1"/>
      <c r="H177" s="1"/>
      <c r="I177" s="1"/>
      <c r="J177" s="1"/>
      <c r="K177" s="1"/>
      <c r="L177" s="1"/>
      <c r="M177" s="1"/>
      <c r="N177" s="1"/>
      <c r="O177" s="1"/>
      <c r="V177" s="569"/>
      <c r="W177" s="569"/>
      <c r="X177" s="569"/>
      <c r="Y177" s="569"/>
      <c r="Z177" s="569"/>
      <c r="AA177" s="569"/>
      <c r="AB177" s="569"/>
      <c r="AC177" s="569"/>
      <c r="AD177" s="569"/>
      <c r="AE177" s="569"/>
      <c r="AF177" s="569"/>
      <c r="AG177" s="569"/>
      <c r="AH177" s="569"/>
      <c r="AI177" s="569"/>
      <c r="AJ177" s="569"/>
      <c r="AK177" s="569"/>
      <c r="AL177" s="569"/>
      <c r="AM177" s="569"/>
      <c r="AN177" s="569"/>
      <c r="AO177" s="569"/>
      <c r="AP177" s="569"/>
      <c r="AQ177" s="569"/>
      <c r="AR177" s="569"/>
      <c r="AS177" s="569"/>
      <c r="AT177" s="569"/>
      <c r="AU177" s="569"/>
      <c r="AV177" s="569"/>
      <c r="AW177" s="569"/>
      <c r="AX177" s="569"/>
      <c r="AY177" s="569"/>
      <c r="AZ177" s="569"/>
      <c r="BA177" s="569"/>
      <c r="BB177" s="569"/>
      <c r="BC177" s="569"/>
      <c r="BD177" s="569"/>
      <c r="BE177" s="569"/>
      <c r="BF177" s="569"/>
      <c r="BG177" s="569"/>
      <c r="BH177" s="569"/>
      <c r="BI177" s="569"/>
      <c r="BJ177" s="569"/>
      <c r="BK177" s="569"/>
      <c r="BL177" s="569"/>
      <c r="BM177" s="569"/>
      <c r="BN177" s="569"/>
      <c r="BO177" s="569"/>
      <c r="BP177" s="569"/>
      <c r="BQ177" s="569"/>
      <c r="BR177" s="569"/>
      <c r="BS177" s="569"/>
      <c r="BT177" s="569"/>
      <c r="BU177" s="569"/>
      <c r="BV177" s="569"/>
      <c r="BW177" s="569"/>
      <c r="BX177" s="569"/>
      <c r="BY177" s="569"/>
      <c r="BZ177" s="569"/>
      <c r="CA177" s="569"/>
      <c r="CB177" s="569"/>
      <c r="CC177" s="569"/>
      <c r="CD177" s="569"/>
      <c r="CE177" s="569"/>
      <c r="CF177" s="569"/>
      <c r="CG177" s="569"/>
      <c r="CH177" s="569"/>
      <c r="CI177" s="569"/>
      <c r="CJ177" s="569"/>
      <c r="CK177" s="569"/>
      <c r="CL177" s="569"/>
      <c r="CM177" s="569"/>
      <c r="CN177" s="569"/>
      <c r="CO177" s="569"/>
      <c r="CP177" s="569"/>
      <c r="CQ177" s="569"/>
      <c r="CR177" s="569"/>
      <c r="CS177" s="569"/>
      <c r="CT177" s="569"/>
      <c r="CU177" s="569"/>
      <c r="CV177" s="569"/>
      <c r="CW177" s="569"/>
      <c r="CX177" s="569"/>
      <c r="CY177" s="569"/>
      <c r="CZ177" s="569"/>
      <c r="DA177" s="569"/>
      <c r="DB177" s="569"/>
      <c r="DC177" s="569"/>
      <c r="DD177" s="569"/>
      <c r="DE177" s="569"/>
      <c r="DF177" s="569"/>
      <c r="DG177" s="569"/>
      <c r="DH177" s="569"/>
      <c r="DI177" s="569"/>
      <c r="DJ177" s="569"/>
      <c r="DK177" s="569"/>
      <c r="DL177" s="569"/>
      <c r="DM177" s="569"/>
      <c r="DN177" s="569"/>
      <c r="DO177" s="569"/>
      <c r="DP177" s="569"/>
      <c r="DQ177" s="569"/>
      <c r="DR177" s="569"/>
      <c r="DS177" s="569"/>
      <c r="DT177" s="569"/>
      <c r="DU177" s="569"/>
      <c r="DV177" s="569"/>
      <c r="DW177" s="569"/>
      <c r="DX177" s="569"/>
      <c r="DY177" s="569"/>
      <c r="DZ177" s="569"/>
      <c r="EA177" s="569"/>
      <c r="EB177" s="569"/>
      <c r="EC177" s="569"/>
      <c r="ED177" s="569"/>
      <c r="EE177" s="569"/>
      <c r="EF177" s="569"/>
      <c r="EG177" s="569"/>
      <c r="EH177" s="569"/>
      <c r="EI177" s="569"/>
      <c r="EJ177" s="569"/>
      <c r="EK177" s="569"/>
      <c r="EL177" s="569"/>
      <c r="EM177" s="569"/>
      <c r="EN177" s="569"/>
      <c r="EO177" s="569"/>
      <c r="EP177" s="569"/>
      <c r="EQ177" s="569"/>
      <c r="ER177" s="569"/>
      <c r="ES177" s="569"/>
      <c r="ET177" s="569"/>
      <c r="EU177" s="569"/>
      <c r="EV177" s="569"/>
      <c r="EW177" s="569"/>
      <c r="EX177" s="569"/>
      <c r="EY177" s="569"/>
      <c r="EZ177" s="569"/>
      <c r="FA177" s="569"/>
      <c r="FB177" s="569"/>
      <c r="FC177" s="569"/>
      <c r="FD177" s="569"/>
      <c r="FE177" s="569"/>
      <c r="FF177" s="569"/>
      <c r="FG177" s="569"/>
      <c r="FH177" s="569"/>
      <c r="FI177" s="569"/>
      <c r="FJ177" s="569"/>
      <c r="FK177" s="569"/>
      <c r="FL177" s="569"/>
      <c r="FM177" s="569"/>
      <c r="FN177" s="569"/>
      <c r="FO177" s="569"/>
      <c r="FP177" s="569"/>
      <c r="FQ177" s="569"/>
      <c r="FR177" s="569"/>
      <c r="FS177" s="569"/>
      <c r="FT177" s="569"/>
      <c r="FU177" s="569"/>
      <c r="FV177" s="569"/>
      <c r="FW177" s="569"/>
      <c r="FX177" s="569"/>
      <c r="FY177" s="570"/>
      <c r="FZ177" s="570"/>
      <c r="GA177" s="570"/>
      <c r="GB177" s="570"/>
      <c r="GC177" s="570"/>
      <c r="GD177" s="570"/>
      <c r="GE177" s="570"/>
      <c r="GF177" s="570"/>
      <c r="GG177" s="570"/>
      <c r="GH177" s="570"/>
      <c r="GI177" s="570"/>
      <c r="GJ177" s="570"/>
      <c r="GK177" s="570"/>
      <c r="GL177" s="570"/>
      <c r="GM177" s="570"/>
      <c r="GN177" s="570"/>
      <c r="GO177" s="570"/>
      <c r="GP177" s="569"/>
      <c r="GQ177" s="569"/>
      <c r="GR177" s="569"/>
      <c r="GS177" s="569"/>
      <c r="GT177" s="569"/>
      <c r="GU177" s="569"/>
      <c r="GV177" s="571"/>
      <c r="GW177" s="569"/>
      <c r="GX177" s="569"/>
      <c r="GY177" s="569"/>
      <c r="GZ177" s="569"/>
      <c r="HA177" s="569"/>
      <c r="HB177" s="569"/>
      <c r="HC177" s="569"/>
      <c r="HD177" s="569"/>
      <c r="HE177" s="569"/>
      <c r="HF177" s="569"/>
      <c r="HG177" s="569"/>
      <c r="HH177" s="569"/>
      <c r="HI177" s="569"/>
      <c r="HJ177" s="569"/>
      <c r="HK177" s="569"/>
      <c r="HL177" s="571"/>
      <c r="HM177" s="571"/>
      <c r="HN177" s="569"/>
      <c r="HO177" s="569"/>
      <c r="HP177" s="111"/>
      <c r="HQ177" s="111"/>
      <c r="HR177" s="111"/>
      <c r="HS177" s="111"/>
      <c r="HT177" s="111"/>
      <c r="HU177" s="111"/>
      <c r="HV177" s="111"/>
      <c r="HW177" s="111"/>
      <c r="HX177" s="111"/>
      <c r="HY177" s="111"/>
      <c r="HZ177" s="111"/>
      <c r="IA177" s="111"/>
      <c r="IB177" s="111"/>
      <c r="IC177" s="111"/>
      <c r="ID177" s="111"/>
      <c r="IE177" s="111"/>
      <c r="IF177" s="111"/>
      <c r="IG177" s="111"/>
      <c r="IH177" s="111"/>
      <c r="II177" s="111"/>
      <c r="IJ177" s="111"/>
      <c r="IK177" s="111"/>
      <c r="IL177" s="111"/>
      <c r="IM177" s="111"/>
      <c r="IN177" s="111"/>
      <c r="IO177" s="111"/>
      <c r="IP177" s="111"/>
      <c r="IQ177" s="111"/>
      <c r="IR177" s="111"/>
      <c r="IS177" s="111"/>
      <c r="IT177" s="111"/>
      <c r="IU177" s="111"/>
    </row>
    <row r="178" spans="1:255" s="105" customFormat="1" ht="13.9" customHeight="1">
      <c r="A178" s="2"/>
      <c r="B178" s="1"/>
      <c r="C178" s="1"/>
      <c r="D178" s="1"/>
      <c r="E178" s="1"/>
      <c r="F178" s="1"/>
      <c r="G178" s="1"/>
      <c r="H178" s="1"/>
      <c r="I178" s="1"/>
      <c r="J178" s="1"/>
      <c r="K178" s="1"/>
      <c r="L178" s="1"/>
      <c r="M178" s="1"/>
      <c r="N178" s="1"/>
      <c r="O178" s="1"/>
      <c r="V178" s="569"/>
      <c r="W178" s="569"/>
      <c r="X178" s="569"/>
      <c r="Y178" s="569"/>
      <c r="Z178" s="569"/>
      <c r="AA178" s="569"/>
      <c r="AB178" s="569"/>
      <c r="AC178" s="569"/>
      <c r="AD178" s="569"/>
      <c r="AE178" s="569"/>
      <c r="AF178" s="569"/>
      <c r="AG178" s="569"/>
      <c r="AH178" s="569"/>
      <c r="AI178" s="569"/>
      <c r="AJ178" s="569"/>
      <c r="AK178" s="569"/>
      <c r="AL178" s="569"/>
      <c r="AM178" s="569"/>
      <c r="AN178" s="569"/>
      <c r="AO178" s="569"/>
      <c r="AP178" s="569"/>
      <c r="AQ178" s="569"/>
      <c r="AR178" s="569"/>
      <c r="AS178" s="569"/>
      <c r="AT178" s="569"/>
      <c r="AU178" s="569"/>
      <c r="AV178" s="569"/>
      <c r="AW178" s="569"/>
      <c r="AX178" s="569"/>
      <c r="AY178" s="569"/>
      <c r="AZ178" s="569"/>
      <c r="BA178" s="569"/>
      <c r="BB178" s="569"/>
      <c r="BC178" s="569"/>
      <c r="BD178" s="569"/>
      <c r="BE178" s="569"/>
      <c r="BF178" s="569"/>
      <c r="BG178" s="569"/>
      <c r="BH178" s="569"/>
      <c r="BI178" s="569"/>
      <c r="BJ178" s="569"/>
      <c r="BK178" s="569"/>
      <c r="BL178" s="569"/>
      <c r="BM178" s="569"/>
      <c r="BN178" s="569"/>
      <c r="BO178" s="569"/>
      <c r="BP178" s="569"/>
      <c r="BQ178" s="569"/>
      <c r="BR178" s="569"/>
      <c r="BS178" s="569"/>
      <c r="BT178" s="569"/>
      <c r="BU178" s="569"/>
      <c r="BV178" s="569"/>
      <c r="BW178" s="569"/>
      <c r="BX178" s="569"/>
      <c r="BY178" s="569"/>
      <c r="BZ178" s="569"/>
      <c r="CA178" s="569"/>
      <c r="CB178" s="569"/>
      <c r="CC178" s="569"/>
      <c r="CD178" s="569"/>
      <c r="CE178" s="569"/>
      <c r="CF178" s="569"/>
      <c r="CG178" s="569"/>
      <c r="CH178" s="569"/>
      <c r="CI178" s="569"/>
      <c r="CJ178" s="569"/>
      <c r="CK178" s="569"/>
      <c r="CL178" s="569"/>
      <c r="CM178" s="569"/>
      <c r="CN178" s="569"/>
      <c r="CO178" s="569"/>
      <c r="CP178" s="569"/>
      <c r="CQ178" s="569"/>
      <c r="CR178" s="569"/>
      <c r="CS178" s="569"/>
      <c r="CT178" s="569"/>
      <c r="CU178" s="569"/>
      <c r="CV178" s="569"/>
      <c r="CW178" s="569"/>
      <c r="CX178" s="569"/>
      <c r="CY178" s="569"/>
      <c r="CZ178" s="569"/>
      <c r="DA178" s="569"/>
      <c r="DB178" s="569"/>
      <c r="DC178" s="569"/>
      <c r="DD178" s="569"/>
      <c r="DE178" s="569"/>
      <c r="DF178" s="569"/>
      <c r="DG178" s="569"/>
      <c r="DH178" s="569"/>
      <c r="DI178" s="569"/>
      <c r="DJ178" s="569"/>
      <c r="DK178" s="569"/>
      <c r="DL178" s="569"/>
      <c r="DM178" s="569"/>
      <c r="DN178" s="569"/>
      <c r="DO178" s="569"/>
      <c r="DP178" s="569"/>
      <c r="DQ178" s="569"/>
      <c r="DR178" s="569"/>
      <c r="DS178" s="569"/>
      <c r="DT178" s="569"/>
      <c r="DU178" s="569"/>
      <c r="DV178" s="569"/>
      <c r="DW178" s="569"/>
      <c r="DX178" s="569"/>
      <c r="DY178" s="569"/>
      <c r="DZ178" s="569"/>
      <c r="EA178" s="569"/>
      <c r="EB178" s="569"/>
      <c r="EC178" s="569"/>
      <c r="ED178" s="569"/>
      <c r="EE178" s="569"/>
      <c r="EF178" s="569"/>
      <c r="EG178" s="569"/>
      <c r="EH178" s="569"/>
      <c r="EI178" s="569"/>
      <c r="EJ178" s="569"/>
      <c r="EK178" s="569"/>
      <c r="EL178" s="569"/>
      <c r="EM178" s="569"/>
      <c r="EN178" s="569"/>
      <c r="EO178" s="569"/>
      <c r="EP178" s="569"/>
      <c r="EQ178" s="569"/>
      <c r="ER178" s="569"/>
      <c r="ES178" s="569"/>
      <c r="ET178" s="569"/>
      <c r="EU178" s="569"/>
      <c r="EV178" s="569"/>
      <c r="EW178" s="569"/>
      <c r="EX178" s="569"/>
      <c r="EY178" s="569"/>
      <c r="EZ178" s="569"/>
      <c r="FA178" s="569"/>
      <c r="FB178" s="569"/>
      <c r="FC178" s="569"/>
      <c r="FD178" s="569"/>
      <c r="FE178" s="569"/>
      <c r="FF178" s="569"/>
      <c r="FG178" s="569"/>
      <c r="FH178" s="569"/>
      <c r="FI178" s="569"/>
      <c r="FJ178" s="569"/>
      <c r="FK178" s="569"/>
      <c r="FL178" s="569"/>
      <c r="FM178" s="569"/>
      <c r="FN178" s="569"/>
      <c r="FO178" s="569"/>
      <c r="FP178" s="569"/>
      <c r="FQ178" s="569"/>
      <c r="FR178" s="569"/>
      <c r="FS178" s="569"/>
      <c r="FT178" s="569"/>
      <c r="FU178" s="569"/>
      <c r="FV178" s="569"/>
      <c r="FW178" s="569"/>
      <c r="FX178" s="569"/>
      <c r="FY178" s="570"/>
      <c r="FZ178" s="570"/>
      <c r="GA178" s="570"/>
      <c r="GB178" s="570"/>
      <c r="GC178" s="570"/>
      <c r="GD178" s="570"/>
      <c r="GE178" s="570"/>
      <c r="GF178" s="570"/>
      <c r="GG178" s="570"/>
      <c r="GH178" s="570"/>
      <c r="GI178" s="570"/>
      <c r="GJ178" s="570"/>
      <c r="GK178" s="570"/>
      <c r="GL178" s="570"/>
      <c r="GM178" s="570"/>
      <c r="GN178" s="570"/>
      <c r="GO178" s="570"/>
      <c r="GP178" s="569"/>
      <c r="GQ178" s="569"/>
      <c r="GR178" s="569"/>
      <c r="GS178" s="569"/>
      <c r="GT178" s="569"/>
      <c r="GU178" s="569"/>
      <c r="GV178" s="571"/>
      <c r="GW178" s="569"/>
      <c r="GX178" s="569"/>
      <c r="GY178" s="569"/>
      <c r="GZ178" s="569"/>
      <c r="HA178" s="569"/>
      <c r="HB178" s="569"/>
      <c r="HC178" s="569"/>
      <c r="HD178" s="569"/>
      <c r="HE178" s="569"/>
      <c r="HF178" s="569"/>
      <c r="HG178" s="569"/>
      <c r="HH178" s="569"/>
      <c r="HI178" s="569"/>
      <c r="HJ178" s="569"/>
      <c r="HK178" s="569"/>
      <c r="HL178" s="571"/>
      <c r="HM178" s="571"/>
      <c r="HN178" s="569"/>
      <c r="HO178" s="569"/>
      <c r="HP178" s="111"/>
      <c r="HQ178" s="111"/>
      <c r="HR178" s="111"/>
      <c r="HS178" s="111"/>
      <c r="HT178" s="111"/>
      <c r="HU178" s="111"/>
      <c r="HV178" s="111"/>
      <c r="HW178" s="111"/>
      <c r="HX178" s="111"/>
      <c r="HY178" s="111"/>
      <c r="HZ178" s="111"/>
      <c r="IA178" s="111"/>
      <c r="IB178" s="111"/>
      <c r="IC178" s="111"/>
      <c r="ID178" s="111"/>
      <c r="IE178" s="111"/>
      <c r="IF178" s="111"/>
      <c r="IG178" s="111"/>
      <c r="IH178" s="111"/>
      <c r="II178" s="111"/>
      <c r="IJ178" s="111"/>
      <c r="IK178" s="111"/>
      <c r="IL178" s="111"/>
      <c r="IM178" s="111"/>
      <c r="IN178" s="111"/>
      <c r="IO178" s="111"/>
      <c r="IP178" s="111"/>
      <c r="IQ178" s="111"/>
      <c r="IR178" s="111"/>
      <c r="IS178" s="111"/>
      <c r="IT178" s="111"/>
      <c r="IU178" s="111"/>
    </row>
    <row r="179" spans="1:255" s="105" customFormat="1" ht="13.9" customHeight="1">
      <c r="A179" s="1"/>
      <c r="B179" s="1"/>
      <c r="C179" s="1"/>
      <c r="D179" s="1"/>
      <c r="E179" s="1"/>
      <c r="F179" s="1"/>
      <c r="G179" s="1"/>
      <c r="H179" s="1"/>
      <c r="I179" s="1"/>
      <c r="J179" s="1"/>
      <c r="K179" s="1"/>
      <c r="L179" s="1"/>
      <c r="M179" s="1"/>
      <c r="N179" s="1"/>
      <c r="O179" s="1"/>
      <c r="V179" s="569"/>
      <c r="W179" s="569"/>
      <c r="X179" s="569"/>
      <c r="Y179" s="569"/>
      <c r="Z179" s="569"/>
      <c r="AA179" s="569"/>
      <c r="AB179" s="569"/>
      <c r="AC179" s="569"/>
      <c r="AD179" s="569"/>
      <c r="AE179" s="569"/>
      <c r="AF179" s="569"/>
      <c r="AG179" s="569"/>
      <c r="AH179" s="569"/>
      <c r="AI179" s="569"/>
      <c r="AJ179" s="569"/>
      <c r="AK179" s="569"/>
      <c r="AL179" s="569"/>
      <c r="AM179" s="569"/>
      <c r="AN179" s="569"/>
      <c r="AO179" s="569"/>
      <c r="AP179" s="569"/>
      <c r="AQ179" s="569"/>
      <c r="AR179" s="569"/>
      <c r="AS179" s="569"/>
      <c r="AT179" s="569"/>
      <c r="AU179" s="569"/>
      <c r="AV179" s="569"/>
      <c r="AW179" s="569"/>
      <c r="AX179" s="569"/>
      <c r="AY179" s="569"/>
      <c r="AZ179" s="569"/>
      <c r="BA179" s="569"/>
      <c r="BB179" s="569"/>
      <c r="BC179" s="569"/>
      <c r="BD179" s="569"/>
      <c r="BE179" s="569"/>
      <c r="BF179" s="569"/>
      <c r="BG179" s="569"/>
      <c r="BH179" s="569"/>
      <c r="BI179" s="569"/>
      <c r="BJ179" s="569"/>
      <c r="BK179" s="569"/>
      <c r="BL179" s="569"/>
      <c r="BM179" s="569"/>
      <c r="BN179" s="569"/>
      <c r="BO179" s="569"/>
      <c r="BP179" s="569"/>
      <c r="BQ179" s="569"/>
      <c r="BR179" s="569"/>
      <c r="BS179" s="569"/>
      <c r="BT179" s="569"/>
      <c r="BU179" s="569"/>
      <c r="BV179" s="569"/>
      <c r="BW179" s="569"/>
      <c r="BX179" s="569"/>
      <c r="BY179" s="569"/>
      <c r="BZ179" s="569"/>
      <c r="CA179" s="569"/>
      <c r="CB179" s="569"/>
      <c r="CC179" s="569"/>
      <c r="CD179" s="569"/>
      <c r="CE179" s="569"/>
      <c r="CF179" s="569"/>
      <c r="CG179" s="569"/>
      <c r="CH179" s="569"/>
      <c r="CI179" s="569"/>
      <c r="CJ179" s="569"/>
      <c r="CK179" s="569"/>
      <c r="CL179" s="569"/>
      <c r="CM179" s="569"/>
      <c r="CN179" s="569"/>
      <c r="CO179" s="569"/>
      <c r="CP179" s="569"/>
      <c r="CQ179" s="569"/>
      <c r="CR179" s="569"/>
      <c r="CS179" s="569"/>
      <c r="CT179" s="569"/>
      <c r="CU179" s="569"/>
      <c r="CV179" s="569"/>
      <c r="CW179" s="569"/>
      <c r="CX179" s="569"/>
      <c r="CY179" s="569"/>
      <c r="CZ179" s="569"/>
      <c r="DA179" s="569"/>
      <c r="DB179" s="569"/>
      <c r="DC179" s="569"/>
      <c r="DD179" s="569"/>
      <c r="DE179" s="569"/>
      <c r="DF179" s="569"/>
      <c r="DG179" s="569"/>
      <c r="DH179" s="569"/>
      <c r="DI179" s="569"/>
      <c r="DJ179" s="569"/>
      <c r="DK179" s="569"/>
      <c r="DL179" s="569"/>
      <c r="DM179" s="569"/>
      <c r="DN179" s="569"/>
      <c r="DO179" s="569"/>
      <c r="DP179" s="569"/>
      <c r="DQ179" s="569"/>
      <c r="DR179" s="569"/>
      <c r="DS179" s="569"/>
      <c r="DT179" s="569"/>
      <c r="DU179" s="569"/>
      <c r="DV179" s="569"/>
      <c r="DW179" s="569"/>
      <c r="DX179" s="569"/>
      <c r="DY179" s="569"/>
      <c r="DZ179" s="569"/>
      <c r="EA179" s="569"/>
      <c r="EB179" s="569"/>
      <c r="EC179" s="569"/>
      <c r="ED179" s="569"/>
      <c r="EE179" s="569"/>
      <c r="EF179" s="569"/>
      <c r="EG179" s="569"/>
      <c r="EH179" s="569"/>
      <c r="EI179" s="569"/>
      <c r="EJ179" s="569"/>
      <c r="EK179" s="569"/>
      <c r="EL179" s="569"/>
      <c r="EM179" s="569"/>
      <c r="EN179" s="569"/>
      <c r="EO179" s="569"/>
      <c r="EP179" s="569"/>
      <c r="EQ179" s="569"/>
      <c r="ER179" s="569"/>
      <c r="ES179" s="569"/>
      <c r="ET179" s="569"/>
      <c r="EU179" s="569"/>
      <c r="EV179" s="569"/>
      <c r="EW179" s="569"/>
      <c r="EX179" s="569"/>
      <c r="EY179" s="569"/>
      <c r="EZ179" s="569"/>
      <c r="FA179" s="569"/>
      <c r="FB179" s="569"/>
      <c r="FC179" s="569"/>
      <c r="FD179" s="569"/>
      <c r="FE179" s="569"/>
      <c r="FF179" s="569"/>
      <c r="FG179" s="569"/>
      <c r="FH179" s="569"/>
      <c r="FI179" s="569"/>
      <c r="FJ179" s="569"/>
      <c r="FK179" s="569"/>
      <c r="FL179" s="569"/>
      <c r="FM179" s="569"/>
      <c r="FN179" s="569"/>
      <c r="FO179" s="569"/>
      <c r="FP179" s="569"/>
      <c r="FQ179" s="569"/>
      <c r="FR179" s="569"/>
      <c r="FS179" s="569"/>
      <c r="FT179" s="569"/>
      <c r="FU179" s="569"/>
      <c r="FV179" s="569"/>
      <c r="FW179" s="569"/>
      <c r="FX179" s="569"/>
      <c r="FY179" s="570"/>
      <c r="FZ179" s="570"/>
      <c r="GA179" s="570"/>
      <c r="GB179" s="570"/>
      <c r="GC179" s="570"/>
      <c r="GD179" s="570"/>
      <c r="GE179" s="570"/>
      <c r="GF179" s="570"/>
      <c r="GG179" s="570"/>
      <c r="GH179" s="570"/>
      <c r="GI179" s="570"/>
      <c r="GJ179" s="570"/>
      <c r="GK179" s="570"/>
      <c r="GL179" s="570"/>
      <c r="GM179" s="570"/>
      <c r="GN179" s="570"/>
      <c r="GO179" s="570"/>
      <c r="GP179" s="569"/>
      <c r="GQ179" s="569"/>
      <c r="GR179" s="569"/>
      <c r="GS179" s="569"/>
      <c r="GT179" s="569"/>
      <c r="GU179" s="569"/>
      <c r="GV179" s="571"/>
      <c r="GW179" s="569"/>
      <c r="GX179" s="569"/>
      <c r="GY179" s="569"/>
      <c r="GZ179" s="569"/>
      <c r="HA179" s="569"/>
      <c r="HB179" s="569"/>
      <c r="HC179" s="569"/>
      <c r="HD179" s="569"/>
      <c r="HE179" s="569"/>
      <c r="HF179" s="569"/>
      <c r="HG179" s="569"/>
      <c r="HH179" s="569"/>
      <c r="HI179" s="569"/>
      <c r="HJ179" s="569"/>
      <c r="HK179" s="569"/>
      <c r="HL179" s="571"/>
      <c r="HM179" s="571"/>
      <c r="HN179" s="569"/>
      <c r="HO179" s="569"/>
      <c r="HP179" s="111"/>
      <c r="HQ179" s="111"/>
      <c r="HR179" s="111"/>
      <c r="HS179" s="111"/>
      <c r="HT179" s="111"/>
      <c r="HU179" s="111"/>
      <c r="HV179" s="111"/>
      <c r="HW179" s="111"/>
      <c r="HX179" s="111"/>
      <c r="HY179" s="111"/>
      <c r="HZ179" s="111"/>
      <c r="IA179" s="111"/>
      <c r="IB179" s="111"/>
      <c r="IC179" s="111"/>
      <c r="ID179" s="111"/>
      <c r="IE179" s="111"/>
      <c r="IF179" s="111"/>
      <c r="IG179" s="111"/>
      <c r="IH179" s="111"/>
      <c r="II179" s="111"/>
      <c r="IJ179" s="111"/>
      <c r="IK179" s="111"/>
      <c r="IL179" s="111"/>
      <c r="IM179" s="111"/>
      <c r="IN179" s="111"/>
      <c r="IO179" s="111"/>
      <c r="IP179" s="111"/>
      <c r="IQ179" s="111"/>
      <c r="IR179" s="111"/>
      <c r="IS179" s="111"/>
      <c r="IT179" s="111"/>
      <c r="IU179" s="111"/>
    </row>
    <row r="180" spans="1:255" ht="13.9" customHeight="1"/>
    <row r="181" spans="1:255" ht="13.9" customHeight="1"/>
    <row r="182" spans="1:255" ht="13.9" customHeight="1"/>
    <row r="183" spans="1:255" ht="13.9" customHeight="1"/>
    <row r="184" spans="1:255" s="105" customFormat="1" ht="13.9" customHeight="1">
      <c r="A184" s="36"/>
      <c r="B184" s="1"/>
      <c r="C184" s="1"/>
      <c r="D184" s="1"/>
      <c r="E184" s="1"/>
      <c r="F184" s="1"/>
      <c r="G184" s="1"/>
      <c r="H184" s="1"/>
      <c r="I184" s="1"/>
      <c r="J184" s="1"/>
      <c r="K184" s="1"/>
      <c r="L184" s="1"/>
      <c r="M184" s="1"/>
      <c r="N184" s="1"/>
      <c r="O184" s="1"/>
      <c r="V184" s="569"/>
      <c r="W184" s="569"/>
      <c r="X184" s="569"/>
      <c r="Y184" s="569"/>
      <c r="Z184" s="569"/>
      <c r="AA184" s="569"/>
      <c r="AB184" s="569"/>
      <c r="AC184" s="569"/>
      <c r="AD184" s="569"/>
      <c r="AE184" s="569"/>
      <c r="AF184" s="569"/>
      <c r="AG184" s="569"/>
      <c r="AH184" s="569"/>
      <c r="AI184" s="569"/>
      <c r="AJ184" s="569"/>
      <c r="AK184" s="569"/>
      <c r="AL184" s="569"/>
      <c r="AM184" s="569"/>
      <c r="AN184" s="569"/>
      <c r="AO184" s="569"/>
      <c r="AP184" s="569"/>
      <c r="AQ184" s="569"/>
      <c r="AR184" s="569"/>
      <c r="AS184" s="569"/>
      <c r="AT184" s="569"/>
      <c r="AU184" s="569"/>
      <c r="AV184" s="569"/>
      <c r="AW184" s="569"/>
      <c r="AX184" s="569"/>
      <c r="AY184" s="569"/>
      <c r="AZ184" s="569"/>
      <c r="BA184" s="569"/>
      <c r="BB184" s="569"/>
      <c r="BC184" s="569"/>
      <c r="BD184" s="569"/>
      <c r="BE184" s="569"/>
      <c r="BF184" s="569"/>
      <c r="BG184" s="569"/>
      <c r="BH184" s="569"/>
      <c r="BI184" s="569"/>
      <c r="BJ184" s="569"/>
      <c r="BK184" s="569"/>
      <c r="BL184" s="569"/>
      <c r="BM184" s="569"/>
      <c r="BN184" s="569"/>
      <c r="BO184" s="569"/>
      <c r="BP184" s="569"/>
      <c r="BQ184" s="569"/>
      <c r="BR184" s="569"/>
      <c r="BS184" s="569"/>
      <c r="BT184" s="569"/>
      <c r="BU184" s="569"/>
      <c r="BV184" s="569"/>
      <c r="BW184" s="569"/>
      <c r="BX184" s="569"/>
      <c r="BY184" s="569"/>
      <c r="BZ184" s="569"/>
      <c r="CA184" s="569"/>
      <c r="CB184" s="569"/>
      <c r="CC184" s="569"/>
      <c r="CD184" s="569"/>
      <c r="CE184" s="569"/>
      <c r="CF184" s="569"/>
      <c r="CG184" s="569"/>
      <c r="CH184" s="569"/>
      <c r="CI184" s="569"/>
      <c r="CJ184" s="569"/>
      <c r="CK184" s="569"/>
      <c r="CL184" s="569"/>
      <c r="CM184" s="569"/>
      <c r="CN184" s="569"/>
      <c r="CO184" s="569"/>
      <c r="CP184" s="569"/>
      <c r="CQ184" s="569"/>
      <c r="CR184" s="569"/>
      <c r="CS184" s="569"/>
      <c r="CT184" s="569"/>
      <c r="CU184" s="569"/>
      <c r="CV184" s="569"/>
      <c r="CW184" s="569"/>
      <c r="CX184" s="569"/>
      <c r="CY184" s="569"/>
      <c r="CZ184" s="569"/>
      <c r="DA184" s="569"/>
      <c r="DB184" s="569"/>
      <c r="DC184" s="569"/>
      <c r="DD184" s="569"/>
      <c r="DE184" s="569"/>
      <c r="DF184" s="569"/>
      <c r="DG184" s="569"/>
      <c r="DH184" s="569"/>
      <c r="DI184" s="569"/>
      <c r="DJ184" s="569"/>
      <c r="DK184" s="569"/>
      <c r="DL184" s="569"/>
      <c r="DM184" s="569"/>
      <c r="DN184" s="569"/>
      <c r="DO184" s="569"/>
      <c r="DP184" s="569"/>
      <c r="DQ184" s="569"/>
      <c r="DR184" s="569"/>
      <c r="DS184" s="569"/>
      <c r="DT184" s="569"/>
      <c r="DU184" s="569"/>
      <c r="DV184" s="569"/>
      <c r="DW184" s="569"/>
      <c r="DX184" s="569"/>
      <c r="DY184" s="569"/>
      <c r="DZ184" s="569"/>
      <c r="EA184" s="569"/>
      <c r="EB184" s="569"/>
      <c r="EC184" s="569"/>
      <c r="ED184" s="569"/>
      <c r="EE184" s="569"/>
      <c r="EF184" s="569"/>
      <c r="EG184" s="569"/>
      <c r="EH184" s="569"/>
      <c r="EI184" s="569"/>
      <c r="EJ184" s="569"/>
      <c r="EK184" s="569"/>
      <c r="EL184" s="569"/>
      <c r="EM184" s="569"/>
      <c r="EN184" s="569"/>
      <c r="EO184" s="569"/>
      <c r="EP184" s="569"/>
      <c r="EQ184" s="569"/>
      <c r="ER184" s="569"/>
      <c r="ES184" s="569"/>
      <c r="ET184" s="569"/>
      <c r="EU184" s="569"/>
      <c r="EV184" s="569"/>
      <c r="EW184" s="569"/>
      <c r="EX184" s="569"/>
      <c r="EY184" s="569"/>
      <c r="EZ184" s="569"/>
      <c r="FA184" s="569"/>
      <c r="FB184" s="569"/>
      <c r="FC184" s="569"/>
      <c r="FD184" s="569"/>
      <c r="FE184" s="569"/>
      <c r="FF184" s="569"/>
      <c r="FG184" s="569"/>
      <c r="FH184" s="569"/>
      <c r="FI184" s="569"/>
      <c r="FJ184" s="569"/>
      <c r="FK184" s="569"/>
      <c r="FL184" s="569"/>
      <c r="FM184" s="569"/>
      <c r="FN184" s="569"/>
      <c r="FO184" s="569"/>
      <c r="FP184" s="569"/>
      <c r="FQ184" s="569"/>
      <c r="FR184" s="569"/>
      <c r="FS184" s="569"/>
      <c r="FT184" s="569"/>
      <c r="FU184" s="569"/>
      <c r="FV184" s="569"/>
      <c r="FW184" s="569"/>
      <c r="FX184" s="569"/>
      <c r="FY184" s="570"/>
      <c r="FZ184" s="570"/>
      <c r="GA184" s="570"/>
      <c r="GB184" s="570"/>
      <c r="GC184" s="570"/>
      <c r="GD184" s="570"/>
      <c r="GE184" s="570"/>
      <c r="GF184" s="570"/>
      <c r="GG184" s="570"/>
      <c r="GH184" s="570"/>
      <c r="GI184" s="570"/>
      <c r="GJ184" s="570"/>
      <c r="GK184" s="570"/>
      <c r="GL184" s="570"/>
      <c r="GM184" s="570"/>
      <c r="GN184" s="570"/>
      <c r="GO184" s="570"/>
      <c r="GP184" s="569"/>
      <c r="GQ184" s="569"/>
      <c r="GR184" s="569"/>
      <c r="GS184" s="569"/>
      <c r="GT184" s="569"/>
      <c r="GU184" s="569"/>
      <c r="GV184" s="571"/>
      <c r="GW184" s="569"/>
      <c r="GX184" s="569"/>
      <c r="GY184" s="569"/>
      <c r="GZ184" s="569"/>
      <c r="HA184" s="569"/>
      <c r="HB184" s="569"/>
      <c r="HC184" s="569"/>
      <c r="HD184" s="569"/>
      <c r="HE184" s="569"/>
      <c r="HF184" s="569"/>
      <c r="HG184" s="569"/>
      <c r="HH184" s="569"/>
      <c r="HI184" s="569"/>
      <c r="HJ184" s="569"/>
      <c r="HK184" s="569"/>
      <c r="HL184" s="571"/>
      <c r="HM184" s="571"/>
      <c r="HN184" s="569"/>
      <c r="HO184" s="569"/>
      <c r="HP184" s="111"/>
      <c r="HQ184" s="111"/>
      <c r="HR184" s="111"/>
      <c r="HS184" s="111"/>
      <c r="HT184" s="111"/>
      <c r="HU184" s="111"/>
      <c r="HV184" s="111"/>
      <c r="HW184" s="111"/>
      <c r="HX184" s="111"/>
      <c r="HY184" s="111"/>
      <c r="HZ184" s="111"/>
      <c r="IA184" s="111"/>
      <c r="IB184" s="111"/>
      <c r="IC184" s="111"/>
      <c r="ID184" s="111"/>
      <c r="IE184" s="111"/>
      <c r="IF184" s="111"/>
      <c r="IG184" s="111"/>
      <c r="IH184" s="111"/>
      <c r="II184" s="111"/>
      <c r="IJ184" s="111"/>
      <c r="IK184" s="111"/>
      <c r="IL184" s="111"/>
      <c r="IM184" s="111"/>
      <c r="IN184" s="111"/>
      <c r="IO184" s="111"/>
      <c r="IP184" s="111"/>
      <c r="IQ184" s="111"/>
      <c r="IR184" s="111"/>
      <c r="IS184" s="111"/>
      <c r="IT184" s="111"/>
      <c r="IU184" s="111"/>
    </row>
    <row r="185" spans="1:255" s="105" customFormat="1" ht="13.9" customHeight="1">
      <c r="A185" s="36"/>
      <c r="B185" s="1"/>
      <c r="C185" s="1"/>
      <c r="D185" s="1"/>
      <c r="E185" s="1"/>
      <c r="F185" s="1"/>
      <c r="G185" s="1"/>
      <c r="H185" s="1"/>
      <c r="I185" s="1"/>
      <c r="J185" s="1"/>
      <c r="K185" s="1"/>
      <c r="L185" s="1"/>
      <c r="M185" s="1"/>
      <c r="N185" s="1"/>
      <c r="O185" s="1"/>
      <c r="V185" s="569"/>
      <c r="W185" s="569"/>
      <c r="X185" s="569"/>
      <c r="Y185" s="569"/>
      <c r="Z185" s="569"/>
      <c r="AA185" s="569"/>
      <c r="AB185" s="569"/>
      <c r="AC185" s="569"/>
      <c r="AD185" s="569"/>
      <c r="AE185" s="569"/>
      <c r="AF185" s="569"/>
      <c r="AG185" s="569"/>
      <c r="AH185" s="569"/>
      <c r="AI185" s="569"/>
      <c r="AJ185" s="569"/>
      <c r="AK185" s="569"/>
      <c r="AL185" s="569"/>
      <c r="AM185" s="569"/>
      <c r="AN185" s="569"/>
      <c r="AO185" s="569"/>
      <c r="AP185" s="569"/>
      <c r="AQ185" s="569"/>
      <c r="AR185" s="569"/>
      <c r="AS185" s="569"/>
      <c r="AT185" s="569"/>
      <c r="AU185" s="569"/>
      <c r="AV185" s="569"/>
      <c r="AW185" s="569"/>
      <c r="AX185" s="569"/>
      <c r="AY185" s="569"/>
      <c r="AZ185" s="569"/>
      <c r="BA185" s="569"/>
      <c r="BB185" s="569"/>
      <c r="BC185" s="569"/>
      <c r="BD185" s="569"/>
      <c r="BE185" s="569"/>
      <c r="BF185" s="569"/>
      <c r="BG185" s="569"/>
      <c r="BH185" s="569"/>
      <c r="BI185" s="569"/>
      <c r="BJ185" s="569"/>
      <c r="BK185" s="569"/>
      <c r="BL185" s="569"/>
      <c r="BM185" s="569"/>
      <c r="BN185" s="569"/>
      <c r="BO185" s="569"/>
      <c r="BP185" s="569"/>
      <c r="BQ185" s="569"/>
      <c r="BR185" s="569"/>
      <c r="BS185" s="569"/>
      <c r="BT185" s="569"/>
      <c r="BU185" s="569"/>
      <c r="BV185" s="569"/>
      <c r="BW185" s="569"/>
      <c r="BX185" s="569"/>
      <c r="BY185" s="569"/>
      <c r="BZ185" s="569"/>
      <c r="CA185" s="569"/>
      <c r="CB185" s="569"/>
      <c r="CC185" s="569"/>
      <c r="CD185" s="569"/>
      <c r="CE185" s="569"/>
      <c r="CF185" s="569"/>
      <c r="CG185" s="569"/>
      <c r="CH185" s="569"/>
      <c r="CI185" s="569"/>
      <c r="CJ185" s="569"/>
      <c r="CK185" s="569"/>
      <c r="CL185" s="569"/>
      <c r="CM185" s="569"/>
      <c r="CN185" s="569"/>
      <c r="CO185" s="569"/>
      <c r="CP185" s="569"/>
      <c r="CQ185" s="569"/>
      <c r="CR185" s="569"/>
      <c r="CS185" s="569"/>
      <c r="CT185" s="569"/>
      <c r="CU185" s="569"/>
      <c r="CV185" s="569"/>
      <c r="CW185" s="569"/>
      <c r="CX185" s="569"/>
      <c r="CY185" s="569"/>
      <c r="CZ185" s="569"/>
      <c r="DA185" s="569"/>
      <c r="DB185" s="569"/>
      <c r="DC185" s="569"/>
      <c r="DD185" s="569"/>
      <c r="DE185" s="569"/>
      <c r="DF185" s="569"/>
      <c r="DG185" s="569"/>
      <c r="DH185" s="569"/>
      <c r="DI185" s="569"/>
      <c r="DJ185" s="569"/>
      <c r="DK185" s="569"/>
      <c r="DL185" s="569"/>
      <c r="DM185" s="569"/>
      <c r="DN185" s="569"/>
      <c r="DO185" s="569"/>
      <c r="DP185" s="569"/>
      <c r="DQ185" s="569"/>
      <c r="DR185" s="569"/>
      <c r="DS185" s="569"/>
      <c r="DT185" s="569"/>
      <c r="DU185" s="569"/>
      <c r="DV185" s="569"/>
      <c r="DW185" s="569"/>
      <c r="DX185" s="569"/>
      <c r="DY185" s="569"/>
      <c r="DZ185" s="569"/>
      <c r="EA185" s="569"/>
      <c r="EB185" s="569"/>
      <c r="EC185" s="569"/>
      <c r="ED185" s="569"/>
      <c r="EE185" s="569"/>
      <c r="EF185" s="569"/>
      <c r="EG185" s="569"/>
      <c r="EH185" s="569"/>
      <c r="EI185" s="569"/>
      <c r="EJ185" s="569"/>
      <c r="EK185" s="569"/>
      <c r="EL185" s="569"/>
      <c r="EM185" s="569"/>
      <c r="EN185" s="569"/>
      <c r="EO185" s="569"/>
      <c r="EP185" s="569"/>
      <c r="EQ185" s="569"/>
      <c r="ER185" s="569"/>
      <c r="ES185" s="569"/>
      <c r="ET185" s="569"/>
      <c r="EU185" s="569"/>
      <c r="EV185" s="569"/>
      <c r="EW185" s="569"/>
      <c r="EX185" s="569"/>
      <c r="EY185" s="569"/>
      <c r="EZ185" s="569"/>
      <c r="FA185" s="569"/>
      <c r="FB185" s="569"/>
      <c r="FC185" s="569"/>
      <c r="FD185" s="569"/>
      <c r="FE185" s="569"/>
      <c r="FF185" s="569"/>
      <c r="FG185" s="569"/>
      <c r="FH185" s="569"/>
      <c r="FI185" s="569"/>
      <c r="FJ185" s="569"/>
      <c r="FK185" s="569"/>
      <c r="FL185" s="569"/>
      <c r="FM185" s="569"/>
      <c r="FN185" s="569"/>
      <c r="FO185" s="569"/>
      <c r="FP185" s="569"/>
      <c r="FQ185" s="569"/>
      <c r="FR185" s="569"/>
      <c r="FS185" s="569"/>
      <c r="FT185" s="569"/>
      <c r="FU185" s="569"/>
      <c r="FV185" s="569"/>
      <c r="FW185" s="569"/>
      <c r="FX185" s="569"/>
      <c r="FY185" s="570"/>
      <c r="FZ185" s="570"/>
      <c r="GA185" s="570"/>
      <c r="GB185" s="570"/>
      <c r="GC185" s="570"/>
      <c r="GD185" s="570"/>
      <c r="GE185" s="570"/>
      <c r="GF185" s="570"/>
      <c r="GG185" s="570"/>
      <c r="GH185" s="570"/>
      <c r="GI185" s="570"/>
      <c r="GJ185" s="570"/>
      <c r="GK185" s="570"/>
      <c r="GL185" s="570"/>
      <c r="GM185" s="570"/>
      <c r="GN185" s="570"/>
      <c r="GO185" s="570"/>
      <c r="GP185" s="569"/>
      <c r="GQ185" s="569"/>
      <c r="GR185" s="569"/>
      <c r="GS185" s="569"/>
      <c r="GT185" s="569"/>
      <c r="GU185" s="569"/>
      <c r="GV185" s="571"/>
      <c r="GW185" s="569"/>
      <c r="GX185" s="569"/>
      <c r="GY185" s="569"/>
      <c r="GZ185" s="569"/>
      <c r="HA185" s="569"/>
      <c r="HB185" s="569"/>
      <c r="HC185" s="569"/>
      <c r="HD185" s="569"/>
      <c r="HE185" s="569"/>
      <c r="HF185" s="569"/>
      <c r="HG185" s="569"/>
      <c r="HH185" s="569"/>
      <c r="HI185" s="569"/>
      <c r="HJ185" s="569"/>
      <c r="HK185" s="569"/>
      <c r="HL185" s="571"/>
      <c r="HM185" s="571"/>
      <c r="HN185" s="569"/>
      <c r="HO185" s="569"/>
      <c r="HP185" s="111"/>
      <c r="HQ185" s="111"/>
      <c r="HR185" s="111"/>
      <c r="HS185" s="111"/>
      <c r="HT185" s="111"/>
      <c r="HU185" s="111"/>
      <c r="HV185" s="111"/>
      <c r="HW185" s="111"/>
      <c r="HX185" s="111"/>
      <c r="HY185" s="111"/>
      <c r="HZ185" s="111"/>
      <c r="IA185" s="111"/>
      <c r="IB185" s="111"/>
      <c r="IC185" s="111"/>
      <c r="ID185" s="111"/>
      <c r="IE185" s="111"/>
      <c r="IF185" s="111"/>
      <c r="IG185" s="111"/>
      <c r="IH185" s="111"/>
      <c r="II185" s="111"/>
      <c r="IJ185" s="111"/>
      <c r="IK185" s="111"/>
      <c r="IL185" s="111"/>
      <c r="IM185" s="111"/>
      <c r="IN185" s="111"/>
      <c r="IO185" s="111"/>
      <c r="IP185" s="111"/>
      <c r="IQ185" s="111"/>
      <c r="IR185" s="111"/>
      <c r="IS185" s="111"/>
      <c r="IT185" s="111"/>
      <c r="IU185" s="111"/>
    </row>
    <row r="186" spans="1:255" s="105" customFormat="1" ht="13.9" customHeight="1">
      <c r="A186" s="2"/>
      <c r="B186" s="1"/>
      <c r="C186" s="1"/>
      <c r="D186" s="1"/>
      <c r="E186" s="1"/>
      <c r="F186" s="1"/>
      <c r="G186" s="1"/>
      <c r="H186" s="1"/>
      <c r="I186" s="1"/>
      <c r="J186" s="1"/>
      <c r="K186" s="1"/>
      <c r="L186" s="1"/>
      <c r="M186" s="1"/>
      <c r="N186" s="1"/>
      <c r="O186" s="1"/>
      <c r="V186" s="569"/>
      <c r="W186" s="569"/>
      <c r="X186" s="569"/>
      <c r="Y186" s="569"/>
      <c r="Z186" s="569"/>
      <c r="AA186" s="569"/>
      <c r="AB186" s="569"/>
      <c r="AC186" s="569"/>
      <c r="AD186" s="569"/>
      <c r="AE186" s="569"/>
      <c r="AF186" s="569"/>
      <c r="AG186" s="569"/>
      <c r="AH186" s="569"/>
      <c r="AI186" s="569"/>
      <c r="AJ186" s="569"/>
      <c r="AK186" s="569"/>
      <c r="AL186" s="569"/>
      <c r="AM186" s="569"/>
      <c r="AN186" s="569"/>
      <c r="AO186" s="569"/>
      <c r="AP186" s="569"/>
      <c r="AQ186" s="569"/>
      <c r="AR186" s="569"/>
      <c r="AS186" s="569"/>
      <c r="AT186" s="569"/>
      <c r="AU186" s="569"/>
      <c r="AV186" s="569"/>
      <c r="AW186" s="569"/>
      <c r="AX186" s="569"/>
      <c r="AY186" s="569"/>
      <c r="AZ186" s="569"/>
      <c r="BA186" s="569"/>
      <c r="BB186" s="569"/>
      <c r="BC186" s="569"/>
      <c r="BD186" s="569"/>
      <c r="BE186" s="569"/>
      <c r="BF186" s="569"/>
      <c r="BG186" s="569"/>
      <c r="BH186" s="569"/>
      <c r="BI186" s="569"/>
      <c r="BJ186" s="569"/>
      <c r="BK186" s="569"/>
      <c r="BL186" s="569"/>
      <c r="BM186" s="569"/>
      <c r="BN186" s="569"/>
      <c r="BO186" s="569"/>
      <c r="BP186" s="569"/>
      <c r="BQ186" s="569"/>
      <c r="BR186" s="569"/>
      <c r="BS186" s="569"/>
      <c r="BT186" s="569"/>
      <c r="BU186" s="569"/>
      <c r="BV186" s="569"/>
      <c r="BW186" s="569"/>
      <c r="BX186" s="569"/>
      <c r="BY186" s="569"/>
      <c r="BZ186" s="569"/>
      <c r="CA186" s="569"/>
      <c r="CB186" s="569"/>
      <c r="CC186" s="569"/>
      <c r="CD186" s="569"/>
      <c r="CE186" s="569"/>
      <c r="CF186" s="569"/>
      <c r="CG186" s="569"/>
      <c r="CH186" s="569"/>
      <c r="CI186" s="569"/>
      <c r="CJ186" s="569"/>
      <c r="CK186" s="569"/>
      <c r="CL186" s="569"/>
      <c r="CM186" s="569"/>
      <c r="CN186" s="569"/>
      <c r="CO186" s="569"/>
      <c r="CP186" s="569"/>
      <c r="CQ186" s="569"/>
      <c r="CR186" s="569"/>
      <c r="CS186" s="569"/>
      <c r="CT186" s="569"/>
      <c r="CU186" s="569"/>
      <c r="CV186" s="569"/>
      <c r="CW186" s="569"/>
      <c r="CX186" s="569"/>
      <c r="CY186" s="569"/>
      <c r="CZ186" s="569"/>
      <c r="DA186" s="569"/>
      <c r="DB186" s="569"/>
      <c r="DC186" s="569"/>
      <c r="DD186" s="569"/>
      <c r="DE186" s="569"/>
      <c r="DF186" s="569"/>
      <c r="DG186" s="569"/>
      <c r="DH186" s="569"/>
      <c r="DI186" s="569"/>
      <c r="DJ186" s="569"/>
      <c r="DK186" s="569"/>
      <c r="DL186" s="569"/>
      <c r="DM186" s="569"/>
      <c r="DN186" s="569"/>
      <c r="DO186" s="569"/>
      <c r="DP186" s="569"/>
      <c r="DQ186" s="569"/>
      <c r="DR186" s="569"/>
      <c r="DS186" s="569"/>
      <c r="DT186" s="569"/>
      <c r="DU186" s="569"/>
      <c r="DV186" s="569"/>
      <c r="DW186" s="569"/>
      <c r="DX186" s="569"/>
      <c r="DY186" s="569"/>
      <c r="DZ186" s="569"/>
      <c r="EA186" s="569"/>
      <c r="EB186" s="569"/>
      <c r="EC186" s="569"/>
      <c r="ED186" s="569"/>
      <c r="EE186" s="569"/>
      <c r="EF186" s="569"/>
      <c r="EG186" s="569"/>
      <c r="EH186" s="569"/>
      <c r="EI186" s="569"/>
      <c r="EJ186" s="569"/>
      <c r="EK186" s="569"/>
      <c r="EL186" s="569"/>
      <c r="EM186" s="569"/>
      <c r="EN186" s="569"/>
      <c r="EO186" s="569"/>
      <c r="EP186" s="569"/>
      <c r="EQ186" s="569"/>
      <c r="ER186" s="569"/>
      <c r="ES186" s="569"/>
      <c r="ET186" s="569"/>
      <c r="EU186" s="569"/>
      <c r="EV186" s="569"/>
      <c r="EW186" s="569"/>
      <c r="EX186" s="569"/>
      <c r="EY186" s="569"/>
      <c r="EZ186" s="569"/>
      <c r="FA186" s="569"/>
      <c r="FB186" s="569"/>
      <c r="FC186" s="569"/>
      <c r="FD186" s="569"/>
      <c r="FE186" s="569"/>
      <c r="FF186" s="569"/>
      <c r="FG186" s="569"/>
      <c r="FH186" s="569"/>
      <c r="FI186" s="569"/>
      <c r="FJ186" s="569"/>
      <c r="FK186" s="569"/>
      <c r="FL186" s="569"/>
      <c r="FM186" s="569"/>
      <c r="FN186" s="569"/>
      <c r="FO186" s="569"/>
      <c r="FP186" s="569"/>
      <c r="FQ186" s="569"/>
      <c r="FR186" s="569"/>
      <c r="FS186" s="569"/>
      <c r="FT186" s="569"/>
      <c r="FU186" s="569"/>
      <c r="FV186" s="569"/>
      <c r="FW186" s="569"/>
      <c r="FX186" s="569"/>
      <c r="FY186" s="570"/>
      <c r="FZ186" s="570"/>
      <c r="GA186" s="570"/>
      <c r="GB186" s="570"/>
      <c r="GC186" s="570"/>
      <c r="GD186" s="570"/>
      <c r="GE186" s="570"/>
      <c r="GF186" s="570"/>
      <c r="GG186" s="570"/>
      <c r="GH186" s="570"/>
      <c r="GI186" s="570"/>
      <c r="GJ186" s="570"/>
      <c r="GK186" s="570"/>
      <c r="GL186" s="570"/>
      <c r="GM186" s="570"/>
      <c r="GN186" s="570"/>
      <c r="GO186" s="570"/>
      <c r="GP186" s="569"/>
      <c r="GQ186" s="569"/>
      <c r="GR186" s="569"/>
      <c r="GS186" s="569"/>
      <c r="GT186" s="569"/>
      <c r="GU186" s="569"/>
      <c r="GV186" s="571"/>
      <c r="GW186" s="569"/>
      <c r="GX186" s="569"/>
      <c r="GY186" s="569"/>
      <c r="GZ186" s="569"/>
      <c r="HA186" s="569"/>
      <c r="HB186" s="569"/>
      <c r="HC186" s="569"/>
      <c r="HD186" s="569"/>
      <c r="HE186" s="569"/>
      <c r="HF186" s="569"/>
      <c r="HG186" s="569"/>
      <c r="HH186" s="569"/>
      <c r="HI186" s="569"/>
      <c r="HJ186" s="569"/>
      <c r="HK186" s="569"/>
      <c r="HL186" s="571"/>
      <c r="HM186" s="571"/>
      <c r="HN186" s="569"/>
      <c r="HO186" s="569"/>
      <c r="HP186" s="111"/>
      <c r="HQ186" s="111"/>
      <c r="HR186" s="111"/>
      <c r="HS186" s="111"/>
      <c r="HT186" s="111"/>
      <c r="HU186" s="111"/>
      <c r="HV186" s="111"/>
      <c r="HW186" s="111"/>
      <c r="HX186" s="111"/>
      <c r="HY186" s="111"/>
      <c r="HZ186" s="111"/>
      <c r="IA186" s="111"/>
      <c r="IB186" s="111"/>
      <c r="IC186" s="111"/>
      <c r="ID186" s="111"/>
      <c r="IE186" s="111"/>
      <c r="IF186" s="111"/>
      <c r="IG186" s="111"/>
      <c r="IH186" s="111"/>
      <c r="II186" s="111"/>
      <c r="IJ186" s="111"/>
      <c r="IK186" s="111"/>
      <c r="IL186" s="111"/>
      <c r="IM186" s="111"/>
      <c r="IN186" s="111"/>
      <c r="IO186" s="111"/>
      <c r="IP186" s="111"/>
      <c r="IQ186" s="111"/>
      <c r="IR186" s="111"/>
      <c r="IS186" s="111"/>
      <c r="IT186" s="111"/>
      <c r="IU186" s="111"/>
    </row>
    <row r="187" spans="1:255" s="105" customFormat="1" ht="13.9" customHeight="1">
      <c r="A187" s="1"/>
      <c r="B187" s="1"/>
      <c r="C187" s="1"/>
      <c r="D187" s="1"/>
      <c r="E187" s="1"/>
      <c r="F187" s="1"/>
      <c r="G187" s="1"/>
      <c r="H187" s="1"/>
      <c r="I187" s="1"/>
      <c r="J187" s="1"/>
      <c r="K187" s="1"/>
      <c r="L187" s="1"/>
      <c r="M187" s="1"/>
      <c r="N187" s="1"/>
      <c r="O187" s="1"/>
      <c r="V187" s="569"/>
      <c r="W187" s="569"/>
      <c r="X187" s="569"/>
      <c r="Y187" s="569"/>
      <c r="Z187" s="569"/>
      <c r="AA187" s="569"/>
      <c r="AB187" s="569"/>
      <c r="AC187" s="569"/>
      <c r="AD187" s="569"/>
      <c r="AE187" s="569"/>
      <c r="AF187" s="569"/>
      <c r="AG187" s="569"/>
      <c r="AH187" s="569"/>
      <c r="AI187" s="569"/>
      <c r="AJ187" s="569"/>
      <c r="AK187" s="569"/>
      <c r="AL187" s="569"/>
      <c r="AM187" s="569"/>
      <c r="AN187" s="569"/>
      <c r="AO187" s="569"/>
      <c r="AP187" s="569"/>
      <c r="AQ187" s="569"/>
      <c r="AR187" s="569"/>
      <c r="AS187" s="569"/>
      <c r="AT187" s="569"/>
      <c r="AU187" s="569"/>
      <c r="AV187" s="569"/>
      <c r="AW187" s="569"/>
      <c r="AX187" s="569"/>
      <c r="AY187" s="569"/>
      <c r="AZ187" s="569"/>
      <c r="BA187" s="569"/>
      <c r="BB187" s="569"/>
      <c r="BC187" s="569"/>
      <c r="BD187" s="569"/>
      <c r="BE187" s="569"/>
      <c r="BF187" s="569"/>
      <c r="BG187" s="569"/>
      <c r="BH187" s="569"/>
      <c r="BI187" s="569"/>
      <c r="BJ187" s="569"/>
      <c r="BK187" s="569"/>
      <c r="BL187" s="569"/>
      <c r="BM187" s="569"/>
      <c r="BN187" s="569"/>
      <c r="BO187" s="569"/>
      <c r="BP187" s="569"/>
      <c r="BQ187" s="569"/>
      <c r="BR187" s="569"/>
      <c r="BS187" s="569"/>
      <c r="BT187" s="569"/>
      <c r="BU187" s="569"/>
      <c r="BV187" s="569"/>
      <c r="BW187" s="569"/>
      <c r="BX187" s="569"/>
      <c r="BY187" s="569"/>
      <c r="BZ187" s="569"/>
      <c r="CA187" s="569"/>
      <c r="CB187" s="569"/>
      <c r="CC187" s="569"/>
      <c r="CD187" s="569"/>
      <c r="CE187" s="569"/>
      <c r="CF187" s="569"/>
      <c r="CG187" s="569"/>
      <c r="CH187" s="569"/>
      <c r="CI187" s="569"/>
      <c r="CJ187" s="569"/>
      <c r="CK187" s="569"/>
      <c r="CL187" s="569"/>
      <c r="CM187" s="569"/>
      <c r="CN187" s="569"/>
      <c r="CO187" s="569"/>
      <c r="CP187" s="569"/>
      <c r="CQ187" s="569"/>
      <c r="CR187" s="569"/>
      <c r="CS187" s="569"/>
      <c r="CT187" s="569"/>
      <c r="CU187" s="569"/>
      <c r="CV187" s="569"/>
      <c r="CW187" s="569"/>
      <c r="CX187" s="569"/>
      <c r="CY187" s="569"/>
      <c r="CZ187" s="569"/>
      <c r="DA187" s="569"/>
      <c r="DB187" s="569"/>
      <c r="DC187" s="569"/>
      <c r="DD187" s="569"/>
      <c r="DE187" s="569"/>
      <c r="DF187" s="569"/>
      <c r="DG187" s="569"/>
      <c r="DH187" s="569"/>
      <c r="DI187" s="569"/>
      <c r="DJ187" s="569"/>
      <c r="DK187" s="569"/>
      <c r="DL187" s="569"/>
      <c r="DM187" s="569"/>
      <c r="DN187" s="569"/>
      <c r="DO187" s="569"/>
      <c r="DP187" s="569"/>
      <c r="DQ187" s="569"/>
      <c r="DR187" s="569"/>
      <c r="DS187" s="569"/>
      <c r="DT187" s="569"/>
      <c r="DU187" s="569"/>
      <c r="DV187" s="569"/>
      <c r="DW187" s="569"/>
      <c r="DX187" s="569"/>
      <c r="DY187" s="569"/>
      <c r="DZ187" s="569"/>
      <c r="EA187" s="569"/>
      <c r="EB187" s="569"/>
      <c r="EC187" s="569"/>
      <c r="ED187" s="569"/>
      <c r="EE187" s="569"/>
      <c r="EF187" s="569"/>
      <c r="EG187" s="569"/>
      <c r="EH187" s="569"/>
      <c r="EI187" s="569"/>
      <c r="EJ187" s="569"/>
      <c r="EK187" s="569"/>
      <c r="EL187" s="569"/>
      <c r="EM187" s="569"/>
      <c r="EN187" s="569"/>
      <c r="EO187" s="569"/>
      <c r="EP187" s="569"/>
      <c r="EQ187" s="569"/>
      <c r="ER187" s="569"/>
      <c r="ES187" s="569"/>
      <c r="ET187" s="569"/>
      <c r="EU187" s="569"/>
      <c r="EV187" s="569"/>
      <c r="EW187" s="569"/>
      <c r="EX187" s="569"/>
      <c r="EY187" s="569"/>
      <c r="EZ187" s="569"/>
      <c r="FA187" s="569"/>
      <c r="FB187" s="569"/>
      <c r="FC187" s="569"/>
      <c r="FD187" s="569"/>
      <c r="FE187" s="569"/>
      <c r="FF187" s="569"/>
      <c r="FG187" s="569"/>
      <c r="FH187" s="569"/>
      <c r="FI187" s="569"/>
      <c r="FJ187" s="569"/>
      <c r="FK187" s="569"/>
      <c r="FL187" s="569"/>
      <c r="FM187" s="569"/>
      <c r="FN187" s="569"/>
      <c r="FO187" s="569"/>
      <c r="FP187" s="569"/>
      <c r="FQ187" s="569"/>
      <c r="FR187" s="569"/>
      <c r="FS187" s="569"/>
      <c r="FT187" s="569"/>
      <c r="FU187" s="569"/>
      <c r="FV187" s="569"/>
      <c r="FW187" s="569"/>
      <c r="FX187" s="569"/>
      <c r="FY187" s="570"/>
      <c r="FZ187" s="570"/>
      <c r="GA187" s="570"/>
      <c r="GB187" s="570"/>
      <c r="GC187" s="570"/>
      <c r="GD187" s="570"/>
      <c r="GE187" s="570"/>
      <c r="GF187" s="570"/>
      <c r="GG187" s="570"/>
      <c r="GH187" s="570"/>
      <c r="GI187" s="570"/>
      <c r="GJ187" s="570"/>
      <c r="GK187" s="570"/>
      <c r="GL187" s="570"/>
      <c r="GM187" s="570"/>
      <c r="GN187" s="570"/>
      <c r="GO187" s="570"/>
      <c r="GP187" s="569"/>
      <c r="GQ187" s="569"/>
      <c r="GR187" s="569"/>
      <c r="GS187" s="569"/>
      <c r="GT187" s="569"/>
      <c r="GU187" s="569"/>
      <c r="GV187" s="571"/>
      <c r="GW187" s="569"/>
      <c r="GX187" s="569"/>
      <c r="GY187" s="569"/>
      <c r="GZ187" s="569"/>
      <c r="HA187" s="569"/>
      <c r="HB187" s="569"/>
      <c r="HC187" s="569"/>
      <c r="HD187" s="569"/>
      <c r="HE187" s="569"/>
      <c r="HF187" s="569"/>
      <c r="HG187" s="569"/>
      <c r="HH187" s="569"/>
      <c r="HI187" s="569"/>
      <c r="HJ187" s="569"/>
      <c r="HK187" s="569"/>
      <c r="HL187" s="571"/>
      <c r="HM187" s="571"/>
      <c r="HN187" s="569"/>
      <c r="HO187" s="569"/>
      <c r="HP187" s="111"/>
      <c r="HQ187" s="111"/>
      <c r="HR187" s="111"/>
      <c r="HS187" s="111"/>
      <c r="HT187" s="111"/>
      <c r="HU187" s="111"/>
      <c r="HV187" s="111"/>
      <c r="HW187" s="111"/>
      <c r="HX187" s="111"/>
      <c r="HY187" s="111"/>
      <c r="HZ187" s="111"/>
      <c r="IA187" s="111"/>
      <c r="IB187" s="111"/>
      <c r="IC187" s="111"/>
      <c r="ID187" s="111"/>
      <c r="IE187" s="111"/>
      <c r="IF187" s="111"/>
      <c r="IG187" s="111"/>
      <c r="IH187" s="111"/>
      <c r="II187" s="111"/>
      <c r="IJ187" s="111"/>
      <c r="IK187" s="111"/>
      <c r="IL187" s="111"/>
      <c r="IM187" s="111"/>
      <c r="IN187" s="111"/>
      <c r="IO187" s="111"/>
      <c r="IP187" s="111"/>
      <c r="IQ187" s="111"/>
      <c r="IR187" s="111"/>
      <c r="IS187" s="111"/>
      <c r="IT187" s="111"/>
      <c r="IU187" s="111"/>
    </row>
    <row r="188" spans="1:255" s="105" customFormat="1" ht="13.9" customHeight="1">
      <c r="A188" s="1"/>
      <c r="B188" s="1"/>
      <c r="C188" s="1"/>
      <c r="D188" s="1"/>
      <c r="E188" s="1"/>
      <c r="F188" s="1"/>
      <c r="G188" s="1"/>
      <c r="H188" s="1"/>
      <c r="I188" s="1"/>
      <c r="J188" s="1"/>
      <c r="K188" s="1"/>
      <c r="L188" s="1"/>
      <c r="M188" s="1"/>
      <c r="N188" s="1"/>
      <c r="O188" s="1"/>
      <c r="V188" s="569"/>
      <c r="W188" s="569"/>
      <c r="X188" s="569"/>
      <c r="Y188" s="569"/>
      <c r="Z188" s="569"/>
      <c r="AA188" s="569"/>
      <c r="AB188" s="569"/>
      <c r="AC188" s="569"/>
      <c r="AD188" s="569"/>
      <c r="AE188" s="569"/>
      <c r="AF188" s="569"/>
      <c r="AG188" s="569"/>
      <c r="AH188" s="569"/>
      <c r="AI188" s="569"/>
      <c r="AJ188" s="569"/>
      <c r="AK188" s="569"/>
      <c r="AL188" s="569"/>
      <c r="AM188" s="569"/>
      <c r="AN188" s="569"/>
      <c r="AO188" s="569"/>
      <c r="AP188" s="569"/>
      <c r="AQ188" s="569"/>
      <c r="AR188" s="569"/>
      <c r="AS188" s="569"/>
      <c r="AT188" s="569"/>
      <c r="AU188" s="569"/>
      <c r="AV188" s="569"/>
      <c r="AW188" s="569"/>
      <c r="AX188" s="569"/>
      <c r="AY188" s="569"/>
      <c r="AZ188" s="569"/>
      <c r="BA188" s="569"/>
      <c r="BB188" s="569"/>
      <c r="BC188" s="569"/>
      <c r="BD188" s="569"/>
      <c r="BE188" s="569"/>
      <c r="BF188" s="569"/>
      <c r="BG188" s="569"/>
      <c r="BH188" s="569"/>
      <c r="BI188" s="569"/>
      <c r="BJ188" s="569"/>
      <c r="BK188" s="569"/>
      <c r="BL188" s="569"/>
      <c r="BM188" s="569"/>
      <c r="BN188" s="569"/>
      <c r="BO188" s="569"/>
      <c r="BP188" s="569"/>
      <c r="BQ188" s="569"/>
      <c r="BR188" s="569"/>
      <c r="BS188" s="569"/>
      <c r="BT188" s="569"/>
      <c r="BU188" s="569"/>
      <c r="BV188" s="569"/>
      <c r="BW188" s="569"/>
      <c r="BX188" s="569"/>
      <c r="BY188" s="569"/>
      <c r="BZ188" s="569"/>
      <c r="CA188" s="569"/>
      <c r="CB188" s="569"/>
      <c r="CC188" s="569"/>
      <c r="CD188" s="569"/>
      <c r="CE188" s="569"/>
      <c r="CF188" s="569"/>
      <c r="CG188" s="569"/>
      <c r="CH188" s="569"/>
      <c r="CI188" s="569"/>
      <c r="CJ188" s="569"/>
      <c r="CK188" s="569"/>
      <c r="CL188" s="569"/>
      <c r="CM188" s="569"/>
      <c r="CN188" s="569"/>
      <c r="CO188" s="569"/>
      <c r="CP188" s="569"/>
      <c r="CQ188" s="569"/>
      <c r="CR188" s="569"/>
      <c r="CS188" s="569"/>
      <c r="CT188" s="569"/>
      <c r="CU188" s="569"/>
      <c r="CV188" s="569"/>
      <c r="CW188" s="569"/>
      <c r="CX188" s="569"/>
      <c r="CY188" s="569"/>
      <c r="CZ188" s="569"/>
      <c r="DA188" s="569"/>
      <c r="DB188" s="569"/>
      <c r="DC188" s="569"/>
      <c r="DD188" s="569"/>
      <c r="DE188" s="569"/>
      <c r="DF188" s="569"/>
      <c r="DG188" s="569"/>
      <c r="DH188" s="569"/>
      <c r="DI188" s="569"/>
      <c r="DJ188" s="569"/>
      <c r="DK188" s="569"/>
      <c r="DL188" s="569"/>
      <c r="DM188" s="569"/>
      <c r="DN188" s="569"/>
      <c r="DO188" s="569"/>
      <c r="DP188" s="569"/>
      <c r="DQ188" s="569"/>
      <c r="DR188" s="569"/>
      <c r="DS188" s="569"/>
      <c r="DT188" s="569"/>
      <c r="DU188" s="569"/>
      <c r="DV188" s="569"/>
      <c r="DW188" s="569"/>
      <c r="DX188" s="569"/>
      <c r="DY188" s="569"/>
      <c r="DZ188" s="569"/>
      <c r="EA188" s="569"/>
      <c r="EB188" s="569"/>
      <c r="EC188" s="569"/>
      <c r="ED188" s="569"/>
      <c r="EE188" s="569"/>
      <c r="EF188" s="569"/>
      <c r="EG188" s="569"/>
      <c r="EH188" s="569"/>
      <c r="EI188" s="569"/>
      <c r="EJ188" s="569"/>
      <c r="EK188" s="569"/>
      <c r="EL188" s="569"/>
      <c r="EM188" s="569"/>
      <c r="EN188" s="569"/>
      <c r="EO188" s="569"/>
      <c r="EP188" s="569"/>
      <c r="EQ188" s="569"/>
      <c r="ER188" s="569"/>
      <c r="ES188" s="569"/>
      <c r="ET188" s="569"/>
      <c r="EU188" s="569"/>
      <c r="EV188" s="569"/>
      <c r="EW188" s="569"/>
      <c r="EX188" s="569"/>
      <c r="EY188" s="569"/>
      <c r="EZ188" s="569"/>
      <c r="FA188" s="569"/>
      <c r="FB188" s="569"/>
      <c r="FC188" s="569"/>
      <c r="FD188" s="569"/>
      <c r="FE188" s="569"/>
      <c r="FF188" s="569"/>
      <c r="FG188" s="569"/>
      <c r="FH188" s="569"/>
      <c r="FI188" s="569"/>
      <c r="FJ188" s="569"/>
      <c r="FK188" s="569"/>
      <c r="FL188" s="569"/>
      <c r="FM188" s="569"/>
      <c r="FN188" s="569"/>
      <c r="FO188" s="569"/>
      <c r="FP188" s="569"/>
      <c r="FQ188" s="569"/>
      <c r="FR188" s="569"/>
      <c r="FS188" s="569"/>
      <c r="FT188" s="569"/>
      <c r="FU188" s="569"/>
      <c r="FV188" s="569"/>
      <c r="FW188" s="569"/>
      <c r="FX188" s="569"/>
      <c r="FY188" s="570"/>
      <c r="FZ188" s="570"/>
      <c r="GA188" s="570"/>
      <c r="GB188" s="570"/>
      <c r="GC188" s="570"/>
      <c r="GD188" s="570"/>
      <c r="GE188" s="570"/>
      <c r="GF188" s="570"/>
      <c r="GG188" s="570"/>
      <c r="GH188" s="570"/>
      <c r="GI188" s="570"/>
      <c r="GJ188" s="570"/>
      <c r="GK188" s="570"/>
      <c r="GL188" s="570"/>
      <c r="GM188" s="570"/>
      <c r="GN188" s="570"/>
      <c r="GO188" s="570"/>
      <c r="GP188" s="569"/>
      <c r="GQ188" s="569"/>
      <c r="GR188" s="569"/>
      <c r="GS188" s="569"/>
      <c r="GT188" s="569"/>
      <c r="GU188" s="569"/>
      <c r="GV188" s="571"/>
      <c r="GW188" s="569"/>
      <c r="GX188" s="569"/>
      <c r="GY188" s="569"/>
      <c r="GZ188" s="569"/>
      <c r="HA188" s="569"/>
      <c r="HB188" s="569"/>
      <c r="HC188" s="569"/>
      <c r="HD188" s="569"/>
      <c r="HE188" s="569"/>
      <c r="HF188" s="569"/>
      <c r="HG188" s="569"/>
      <c r="HH188" s="569"/>
      <c r="HI188" s="569"/>
      <c r="HJ188" s="569"/>
      <c r="HK188" s="569"/>
      <c r="HL188" s="571"/>
      <c r="HM188" s="571"/>
      <c r="HN188" s="569"/>
      <c r="HO188" s="569"/>
      <c r="HP188" s="111"/>
      <c r="HQ188" s="111"/>
      <c r="HR188" s="111"/>
      <c r="HS188" s="111"/>
      <c r="HT188" s="111"/>
      <c r="HU188" s="111"/>
      <c r="HV188" s="111"/>
      <c r="HW188" s="111"/>
      <c r="HX188" s="111"/>
      <c r="HY188" s="111"/>
      <c r="HZ188" s="111"/>
      <c r="IA188" s="111"/>
      <c r="IB188" s="111"/>
      <c r="IC188" s="111"/>
      <c r="ID188" s="111"/>
      <c r="IE188" s="111"/>
      <c r="IF188" s="111"/>
      <c r="IG188" s="111"/>
      <c r="IH188" s="111"/>
      <c r="II188" s="111"/>
      <c r="IJ188" s="111"/>
      <c r="IK188" s="111"/>
      <c r="IL188" s="111"/>
      <c r="IM188" s="111"/>
      <c r="IN188" s="111"/>
      <c r="IO188" s="111"/>
      <c r="IP188" s="111"/>
      <c r="IQ188" s="111"/>
      <c r="IR188" s="111"/>
      <c r="IS188" s="111"/>
      <c r="IT188" s="111"/>
      <c r="IU188" s="111"/>
    </row>
    <row r="189" spans="1:255" ht="13.9" customHeight="1"/>
    <row r="190" spans="1:255" ht="13.9" customHeight="1">
      <c r="A190" s="16"/>
    </row>
    <row r="191" spans="1:255" ht="13.9" customHeight="1"/>
    <row r="192" spans="1:255" ht="13.9" customHeight="1"/>
    <row r="193" spans="1:255" ht="13.9" customHeight="1"/>
    <row r="194" spans="1:255" ht="13.9" customHeight="1"/>
    <row r="195" spans="1:255" ht="13.9" customHeight="1"/>
    <row r="196" spans="1:255" s="105" customFormat="1" ht="13.9" customHeight="1">
      <c r="A196" s="36"/>
      <c r="B196" s="1"/>
      <c r="C196" s="1"/>
      <c r="D196" s="1"/>
      <c r="E196" s="1"/>
      <c r="F196" s="1"/>
      <c r="G196" s="1"/>
      <c r="H196" s="1"/>
      <c r="I196" s="1"/>
      <c r="J196" s="1"/>
      <c r="K196" s="1"/>
      <c r="L196" s="1"/>
      <c r="M196" s="1"/>
      <c r="N196" s="1"/>
      <c r="O196" s="1"/>
      <c r="V196" s="569"/>
      <c r="W196" s="569"/>
      <c r="X196" s="569"/>
      <c r="Y196" s="569"/>
      <c r="Z196" s="569"/>
      <c r="AA196" s="569"/>
      <c r="AB196" s="569"/>
      <c r="AC196" s="569"/>
      <c r="AD196" s="569"/>
      <c r="AE196" s="569"/>
      <c r="AF196" s="569"/>
      <c r="AG196" s="569"/>
      <c r="AH196" s="569"/>
      <c r="AI196" s="569"/>
      <c r="AJ196" s="569"/>
      <c r="AK196" s="569"/>
      <c r="AL196" s="569"/>
      <c r="AM196" s="569"/>
      <c r="AN196" s="569"/>
      <c r="AO196" s="569"/>
      <c r="AP196" s="569"/>
      <c r="AQ196" s="569"/>
      <c r="AR196" s="569"/>
      <c r="AS196" s="569"/>
      <c r="AT196" s="569"/>
      <c r="AU196" s="569"/>
      <c r="AV196" s="569"/>
      <c r="AW196" s="569"/>
      <c r="AX196" s="569"/>
      <c r="AY196" s="569"/>
      <c r="AZ196" s="569"/>
      <c r="BA196" s="569"/>
      <c r="BB196" s="569"/>
      <c r="BC196" s="569"/>
      <c r="BD196" s="569"/>
      <c r="BE196" s="569"/>
      <c r="BF196" s="569"/>
      <c r="BG196" s="569"/>
      <c r="BH196" s="569"/>
      <c r="BI196" s="569"/>
      <c r="BJ196" s="569"/>
      <c r="BK196" s="569"/>
      <c r="BL196" s="569"/>
      <c r="BM196" s="569"/>
      <c r="BN196" s="569"/>
      <c r="BO196" s="569"/>
      <c r="BP196" s="569"/>
      <c r="BQ196" s="569"/>
      <c r="BR196" s="569"/>
      <c r="BS196" s="569"/>
      <c r="BT196" s="569"/>
      <c r="BU196" s="569"/>
      <c r="BV196" s="569"/>
      <c r="BW196" s="569"/>
      <c r="BX196" s="569"/>
      <c r="BY196" s="569"/>
      <c r="BZ196" s="569"/>
      <c r="CA196" s="569"/>
      <c r="CB196" s="569"/>
      <c r="CC196" s="569"/>
      <c r="CD196" s="569"/>
      <c r="CE196" s="569"/>
      <c r="CF196" s="569"/>
      <c r="CG196" s="569"/>
      <c r="CH196" s="569"/>
      <c r="CI196" s="569"/>
      <c r="CJ196" s="569"/>
      <c r="CK196" s="569"/>
      <c r="CL196" s="569"/>
      <c r="CM196" s="569"/>
      <c r="CN196" s="569"/>
      <c r="CO196" s="569"/>
      <c r="CP196" s="569"/>
      <c r="CQ196" s="569"/>
      <c r="CR196" s="569"/>
      <c r="CS196" s="569"/>
      <c r="CT196" s="569"/>
      <c r="CU196" s="569"/>
      <c r="CV196" s="569"/>
      <c r="CW196" s="569"/>
      <c r="CX196" s="569"/>
      <c r="CY196" s="569"/>
      <c r="CZ196" s="569"/>
      <c r="DA196" s="569"/>
      <c r="DB196" s="569"/>
      <c r="DC196" s="569"/>
      <c r="DD196" s="569"/>
      <c r="DE196" s="569"/>
      <c r="DF196" s="569"/>
      <c r="DG196" s="569"/>
      <c r="DH196" s="569"/>
      <c r="DI196" s="569"/>
      <c r="DJ196" s="569"/>
      <c r="DK196" s="569"/>
      <c r="DL196" s="569"/>
      <c r="DM196" s="569"/>
      <c r="DN196" s="569"/>
      <c r="DO196" s="569"/>
      <c r="DP196" s="569"/>
      <c r="DQ196" s="569"/>
      <c r="DR196" s="569"/>
      <c r="DS196" s="569"/>
      <c r="DT196" s="569"/>
      <c r="DU196" s="569"/>
      <c r="DV196" s="569"/>
      <c r="DW196" s="569"/>
      <c r="DX196" s="569"/>
      <c r="DY196" s="569"/>
      <c r="DZ196" s="569"/>
      <c r="EA196" s="569"/>
      <c r="EB196" s="569"/>
      <c r="EC196" s="569"/>
      <c r="ED196" s="569"/>
      <c r="EE196" s="569"/>
      <c r="EF196" s="569"/>
      <c r="EG196" s="569"/>
      <c r="EH196" s="569"/>
      <c r="EI196" s="569"/>
      <c r="EJ196" s="569"/>
      <c r="EK196" s="569"/>
      <c r="EL196" s="569"/>
      <c r="EM196" s="569"/>
      <c r="EN196" s="569"/>
      <c r="EO196" s="569"/>
      <c r="EP196" s="569"/>
      <c r="EQ196" s="569"/>
      <c r="ER196" s="569"/>
      <c r="ES196" s="569"/>
      <c r="ET196" s="569"/>
      <c r="EU196" s="569"/>
      <c r="EV196" s="569"/>
      <c r="EW196" s="569"/>
      <c r="EX196" s="569"/>
      <c r="EY196" s="569"/>
      <c r="EZ196" s="569"/>
      <c r="FA196" s="569"/>
      <c r="FB196" s="569"/>
      <c r="FC196" s="569"/>
      <c r="FD196" s="569"/>
      <c r="FE196" s="569"/>
      <c r="FF196" s="569"/>
      <c r="FG196" s="569"/>
      <c r="FH196" s="569"/>
      <c r="FI196" s="569"/>
      <c r="FJ196" s="569"/>
      <c r="FK196" s="569"/>
      <c r="FL196" s="569"/>
      <c r="FM196" s="569"/>
      <c r="FN196" s="569"/>
      <c r="FO196" s="569"/>
      <c r="FP196" s="569"/>
      <c r="FQ196" s="569"/>
      <c r="FR196" s="569"/>
      <c r="FS196" s="569"/>
      <c r="FT196" s="569"/>
      <c r="FU196" s="569"/>
      <c r="FV196" s="569"/>
      <c r="FW196" s="569"/>
      <c r="FX196" s="569"/>
      <c r="FY196" s="570"/>
      <c r="FZ196" s="570"/>
      <c r="GA196" s="570"/>
      <c r="GB196" s="570"/>
      <c r="GC196" s="570"/>
      <c r="GD196" s="570"/>
      <c r="GE196" s="570"/>
      <c r="GF196" s="570"/>
      <c r="GG196" s="570"/>
      <c r="GH196" s="570"/>
      <c r="GI196" s="570"/>
      <c r="GJ196" s="570"/>
      <c r="GK196" s="570"/>
      <c r="GL196" s="570"/>
      <c r="GM196" s="570"/>
      <c r="GN196" s="570"/>
      <c r="GO196" s="570"/>
      <c r="GP196" s="569"/>
      <c r="GQ196" s="569"/>
      <c r="GR196" s="569"/>
      <c r="GS196" s="569"/>
      <c r="GT196" s="569"/>
      <c r="GU196" s="569"/>
      <c r="GV196" s="571"/>
      <c r="GW196" s="569"/>
      <c r="GX196" s="569"/>
      <c r="GY196" s="569"/>
      <c r="GZ196" s="569"/>
      <c r="HA196" s="569"/>
      <c r="HB196" s="569"/>
      <c r="HC196" s="569"/>
      <c r="HD196" s="569"/>
      <c r="HE196" s="569"/>
      <c r="HF196" s="569"/>
      <c r="HG196" s="569"/>
      <c r="HH196" s="569"/>
      <c r="HI196" s="569"/>
      <c r="HJ196" s="569"/>
      <c r="HK196" s="569"/>
      <c r="HL196" s="571"/>
      <c r="HM196" s="571"/>
      <c r="HN196" s="569"/>
      <c r="HO196" s="569"/>
      <c r="HP196" s="111"/>
      <c r="HQ196" s="111"/>
      <c r="HR196" s="111"/>
      <c r="HS196" s="111"/>
      <c r="HT196" s="111"/>
      <c r="HU196" s="111"/>
      <c r="HV196" s="111"/>
      <c r="HW196" s="111"/>
      <c r="HX196" s="111"/>
      <c r="HY196" s="111"/>
      <c r="HZ196" s="111"/>
      <c r="IA196" s="111"/>
      <c r="IB196" s="111"/>
      <c r="IC196" s="111"/>
      <c r="ID196" s="111"/>
      <c r="IE196" s="111"/>
      <c r="IF196" s="111"/>
      <c r="IG196" s="111"/>
      <c r="IH196" s="111"/>
      <c r="II196" s="111"/>
      <c r="IJ196" s="111"/>
      <c r="IK196" s="111"/>
      <c r="IL196" s="111"/>
      <c r="IM196" s="111"/>
      <c r="IN196" s="111"/>
      <c r="IO196" s="111"/>
      <c r="IP196" s="111"/>
      <c r="IQ196" s="111"/>
      <c r="IR196" s="111"/>
      <c r="IS196" s="111"/>
      <c r="IT196" s="111"/>
      <c r="IU196" s="111"/>
    </row>
    <row r="197" spans="1:255" s="105" customFormat="1" ht="13.9" customHeight="1">
      <c r="A197" s="36"/>
      <c r="B197" s="1"/>
      <c r="C197" s="1"/>
      <c r="D197" s="1"/>
      <c r="E197" s="1"/>
      <c r="F197" s="1"/>
      <c r="G197" s="1"/>
      <c r="H197" s="1"/>
      <c r="I197" s="1"/>
      <c r="J197" s="1"/>
      <c r="K197" s="1"/>
      <c r="L197" s="1"/>
      <c r="M197" s="1"/>
      <c r="N197" s="1"/>
      <c r="O197" s="1"/>
      <c r="V197" s="569"/>
      <c r="W197" s="569"/>
      <c r="X197" s="569"/>
      <c r="Y197" s="569"/>
      <c r="Z197" s="569"/>
      <c r="AA197" s="569"/>
      <c r="AB197" s="569"/>
      <c r="AC197" s="569"/>
      <c r="AD197" s="569"/>
      <c r="AE197" s="569"/>
      <c r="AF197" s="569"/>
      <c r="AG197" s="569"/>
      <c r="AH197" s="569"/>
      <c r="AI197" s="569"/>
      <c r="AJ197" s="569"/>
      <c r="AK197" s="569"/>
      <c r="AL197" s="569"/>
      <c r="AM197" s="569"/>
      <c r="AN197" s="569"/>
      <c r="AO197" s="569"/>
      <c r="AP197" s="569"/>
      <c r="AQ197" s="569"/>
      <c r="AR197" s="569"/>
      <c r="AS197" s="569"/>
      <c r="AT197" s="569"/>
      <c r="AU197" s="569"/>
      <c r="AV197" s="569"/>
      <c r="AW197" s="569"/>
      <c r="AX197" s="569"/>
      <c r="AY197" s="569"/>
      <c r="AZ197" s="569"/>
      <c r="BA197" s="569"/>
      <c r="BB197" s="569"/>
      <c r="BC197" s="569"/>
      <c r="BD197" s="569"/>
      <c r="BE197" s="569"/>
      <c r="BF197" s="569"/>
      <c r="BG197" s="569"/>
      <c r="BH197" s="569"/>
      <c r="BI197" s="569"/>
      <c r="BJ197" s="569"/>
      <c r="BK197" s="569"/>
      <c r="BL197" s="569"/>
      <c r="BM197" s="569"/>
      <c r="BN197" s="569"/>
      <c r="BO197" s="569"/>
      <c r="BP197" s="569"/>
      <c r="BQ197" s="569"/>
      <c r="BR197" s="569"/>
      <c r="BS197" s="569"/>
      <c r="BT197" s="569"/>
      <c r="BU197" s="569"/>
      <c r="BV197" s="569"/>
      <c r="BW197" s="569"/>
      <c r="BX197" s="569"/>
      <c r="BY197" s="569"/>
      <c r="BZ197" s="569"/>
      <c r="CA197" s="569"/>
      <c r="CB197" s="569"/>
      <c r="CC197" s="569"/>
      <c r="CD197" s="569"/>
      <c r="CE197" s="569"/>
      <c r="CF197" s="569"/>
      <c r="CG197" s="569"/>
      <c r="CH197" s="569"/>
      <c r="CI197" s="569"/>
      <c r="CJ197" s="569"/>
      <c r="CK197" s="569"/>
      <c r="CL197" s="569"/>
      <c r="CM197" s="569"/>
      <c r="CN197" s="569"/>
      <c r="CO197" s="569"/>
      <c r="CP197" s="569"/>
      <c r="CQ197" s="569"/>
      <c r="CR197" s="569"/>
      <c r="CS197" s="569"/>
      <c r="CT197" s="569"/>
      <c r="CU197" s="569"/>
      <c r="CV197" s="569"/>
      <c r="CW197" s="569"/>
      <c r="CX197" s="569"/>
      <c r="CY197" s="569"/>
      <c r="CZ197" s="569"/>
      <c r="DA197" s="569"/>
      <c r="DB197" s="569"/>
      <c r="DC197" s="569"/>
      <c r="DD197" s="569"/>
      <c r="DE197" s="569"/>
      <c r="DF197" s="569"/>
      <c r="DG197" s="569"/>
      <c r="DH197" s="569"/>
      <c r="DI197" s="569"/>
      <c r="DJ197" s="569"/>
      <c r="DK197" s="569"/>
      <c r="DL197" s="569"/>
      <c r="DM197" s="569"/>
      <c r="DN197" s="569"/>
      <c r="DO197" s="569"/>
      <c r="DP197" s="569"/>
      <c r="DQ197" s="569"/>
      <c r="DR197" s="569"/>
      <c r="DS197" s="569"/>
      <c r="DT197" s="569"/>
      <c r="DU197" s="569"/>
      <c r="DV197" s="569"/>
      <c r="DW197" s="569"/>
      <c r="DX197" s="569"/>
      <c r="DY197" s="569"/>
      <c r="DZ197" s="569"/>
      <c r="EA197" s="569"/>
      <c r="EB197" s="569"/>
      <c r="EC197" s="569"/>
      <c r="ED197" s="569"/>
      <c r="EE197" s="569"/>
      <c r="EF197" s="569"/>
      <c r="EG197" s="569"/>
      <c r="EH197" s="569"/>
      <c r="EI197" s="569"/>
      <c r="EJ197" s="569"/>
      <c r="EK197" s="569"/>
      <c r="EL197" s="569"/>
      <c r="EM197" s="569"/>
      <c r="EN197" s="569"/>
      <c r="EO197" s="569"/>
      <c r="EP197" s="569"/>
      <c r="EQ197" s="569"/>
      <c r="ER197" s="569"/>
      <c r="ES197" s="569"/>
      <c r="ET197" s="569"/>
      <c r="EU197" s="569"/>
      <c r="EV197" s="569"/>
      <c r="EW197" s="569"/>
      <c r="EX197" s="569"/>
      <c r="EY197" s="569"/>
      <c r="EZ197" s="569"/>
      <c r="FA197" s="569"/>
      <c r="FB197" s="569"/>
      <c r="FC197" s="569"/>
      <c r="FD197" s="569"/>
      <c r="FE197" s="569"/>
      <c r="FF197" s="569"/>
      <c r="FG197" s="569"/>
      <c r="FH197" s="569"/>
      <c r="FI197" s="569"/>
      <c r="FJ197" s="569"/>
      <c r="FK197" s="569"/>
      <c r="FL197" s="569"/>
      <c r="FM197" s="569"/>
      <c r="FN197" s="569"/>
      <c r="FO197" s="569"/>
      <c r="FP197" s="569"/>
      <c r="FQ197" s="569"/>
      <c r="FR197" s="569"/>
      <c r="FS197" s="569"/>
      <c r="FT197" s="569"/>
      <c r="FU197" s="569"/>
      <c r="FV197" s="569"/>
      <c r="FW197" s="569"/>
      <c r="FX197" s="569"/>
      <c r="FY197" s="570"/>
      <c r="FZ197" s="570"/>
      <c r="GA197" s="570"/>
      <c r="GB197" s="570"/>
      <c r="GC197" s="570"/>
      <c r="GD197" s="570"/>
      <c r="GE197" s="570"/>
      <c r="GF197" s="570"/>
      <c r="GG197" s="570"/>
      <c r="GH197" s="570"/>
      <c r="GI197" s="570"/>
      <c r="GJ197" s="570"/>
      <c r="GK197" s="570"/>
      <c r="GL197" s="570"/>
      <c r="GM197" s="570"/>
      <c r="GN197" s="570"/>
      <c r="GO197" s="570"/>
      <c r="GP197" s="569"/>
      <c r="GQ197" s="569"/>
      <c r="GR197" s="569"/>
      <c r="GS197" s="569"/>
      <c r="GT197" s="569"/>
      <c r="GU197" s="569"/>
      <c r="GV197" s="571"/>
      <c r="GW197" s="569"/>
      <c r="GX197" s="569"/>
      <c r="GY197" s="569"/>
      <c r="GZ197" s="569"/>
      <c r="HA197" s="569"/>
      <c r="HB197" s="569"/>
      <c r="HC197" s="569"/>
      <c r="HD197" s="569"/>
      <c r="HE197" s="569"/>
      <c r="HF197" s="569"/>
      <c r="HG197" s="569"/>
      <c r="HH197" s="569"/>
      <c r="HI197" s="569"/>
      <c r="HJ197" s="569"/>
      <c r="HK197" s="569"/>
      <c r="HL197" s="571"/>
      <c r="HM197" s="571"/>
      <c r="HN197" s="569"/>
      <c r="HO197" s="569"/>
      <c r="HP197" s="111"/>
      <c r="HQ197" s="111"/>
      <c r="HR197" s="111"/>
      <c r="HS197" s="111"/>
      <c r="HT197" s="111"/>
      <c r="HU197" s="111"/>
      <c r="HV197" s="111"/>
      <c r="HW197" s="111"/>
      <c r="HX197" s="111"/>
      <c r="HY197" s="111"/>
      <c r="HZ197" s="111"/>
      <c r="IA197" s="111"/>
      <c r="IB197" s="111"/>
      <c r="IC197" s="111"/>
      <c r="ID197" s="111"/>
      <c r="IE197" s="111"/>
      <c r="IF197" s="111"/>
      <c r="IG197" s="111"/>
      <c r="IH197" s="111"/>
      <c r="II197" s="111"/>
      <c r="IJ197" s="111"/>
      <c r="IK197" s="111"/>
      <c r="IL197" s="111"/>
      <c r="IM197" s="111"/>
      <c r="IN197" s="111"/>
      <c r="IO197" s="111"/>
      <c r="IP197" s="111"/>
      <c r="IQ197" s="111"/>
      <c r="IR197" s="111"/>
      <c r="IS197" s="111"/>
      <c r="IT197" s="111"/>
      <c r="IU197" s="111"/>
    </row>
    <row r="198" spans="1:255" s="105" customFormat="1" ht="13.9" customHeight="1">
      <c r="A198" s="2"/>
      <c r="B198" s="1"/>
      <c r="C198" s="1"/>
      <c r="D198" s="1"/>
      <c r="E198" s="1"/>
      <c r="F198" s="1"/>
      <c r="G198" s="1"/>
      <c r="H198" s="1"/>
      <c r="I198" s="1"/>
      <c r="J198" s="1"/>
      <c r="K198" s="1"/>
      <c r="L198" s="1"/>
      <c r="M198" s="1"/>
      <c r="N198" s="1"/>
      <c r="O198" s="1"/>
      <c r="V198" s="569"/>
      <c r="W198" s="569"/>
      <c r="X198" s="569"/>
      <c r="Y198" s="569"/>
      <c r="Z198" s="569"/>
      <c r="AA198" s="569"/>
      <c r="AB198" s="569"/>
      <c r="AC198" s="569"/>
      <c r="AD198" s="569"/>
      <c r="AE198" s="569"/>
      <c r="AF198" s="569"/>
      <c r="AG198" s="569"/>
      <c r="AH198" s="569"/>
      <c r="AI198" s="569"/>
      <c r="AJ198" s="569"/>
      <c r="AK198" s="569"/>
      <c r="AL198" s="569"/>
      <c r="AM198" s="569"/>
      <c r="AN198" s="569"/>
      <c r="AO198" s="569"/>
      <c r="AP198" s="569"/>
      <c r="AQ198" s="569"/>
      <c r="AR198" s="569"/>
      <c r="AS198" s="569"/>
      <c r="AT198" s="569"/>
      <c r="AU198" s="569"/>
      <c r="AV198" s="569"/>
      <c r="AW198" s="569"/>
      <c r="AX198" s="569"/>
      <c r="AY198" s="569"/>
      <c r="AZ198" s="569"/>
      <c r="BA198" s="569"/>
      <c r="BB198" s="569"/>
      <c r="BC198" s="569"/>
      <c r="BD198" s="569"/>
      <c r="BE198" s="569"/>
      <c r="BF198" s="569"/>
      <c r="BG198" s="569"/>
      <c r="BH198" s="569"/>
      <c r="BI198" s="569"/>
      <c r="BJ198" s="569"/>
      <c r="BK198" s="569"/>
      <c r="BL198" s="569"/>
      <c r="BM198" s="569"/>
      <c r="BN198" s="569"/>
      <c r="BO198" s="569"/>
      <c r="BP198" s="569"/>
      <c r="BQ198" s="569"/>
      <c r="BR198" s="569"/>
      <c r="BS198" s="569"/>
      <c r="BT198" s="569"/>
      <c r="BU198" s="569"/>
      <c r="BV198" s="569"/>
      <c r="BW198" s="569"/>
      <c r="BX198" s="569"/>
      <c r="BY198" s="569"/>
      <c r="BZ198" s="569"/>
      <c r="CA198" s="569"/>
      <c r="CB198" s="569"/>
      <c r="CC198" s="569"/>
      <c r="CD198" s="569"/>
      <c r="CE198" s="569"/>
      <c r="CF198" s="569"/>
      <c r="CG198" s="569"/>
      <c r="CH198" s="569"/>
      <c r="CI198" s="569"/>
      <c r="CJ198" s="569"/>
      <c r="CK198" s="569"/>
      <c r="CL198" s="569"/>
      <c r="CM198" s="569"/>
      <c r="CN198" s="569"/>
      <c r="CO198" s="569"/>
      <c r="CP198" s="569"/>
      <c r="CQ198" s="569"/>
      <c r="CR198" s="569"/>
      <c r="CS198" s="569"/>
      <c r="CT198" s="569"/>
      <c r="CU198" s="569"/>
      <c r="CV198" s="569"/>
      <c r="CW198" s="569"/>
      <c r="CX198" s="569"/>
      <c r="CY198" s="569"/>
      <c r="CZ198" s="569"/>
      <c r="DA198" s="569"/>
      <c r="DB198" s="569"/>
      <c r="DC198" s="569"/>
      <c r="DD198" s="569"/>
      <c r="DE198" s="569"/>
      <c r="DF198" s="569"/>
      <c r="DG198" s="569"/>
      <c r="DH198" s="569"/>
      <c r="DI198" s="569"/>
      <c r="DJ198" s="569"/>
      <c r="DK198" s="569"/>
      <c r="DL198" s="569"/>
      <c r="DM198" s="569"/>
      <c r="DN198" s="569"/>
      <c r="DO198" s="569"/>
      <c r="DP198" s="569"/>
      <c r="DQ198" s="569"/>
      <c r="DR198" s="569"/>
      <c r="DS198" s="569"/>
      <c r="DT198" s="569"/>
      <c r="DU198" s="569"/>
      <c r="DV198" s="569"/>
      <c r="DW198" s="569"/>
      <c r="DX198" s="569"/>
      <c r="DY198" s="569"/>
      <c r="DZ198" s="569"/>
      <c r="EA198" s="569"/>
      <c r="EB198" s="569"/>
      <c r="EC198" s="569"/>
      <c r="ED198" s="569"/>
      <c r="EE198" s="569"/>
      <c r="EF198" s="569"/>
      <c r="EG198" s="569"/>
      <c r="EH198" s="569"/>
      <c r="EI198" s="569"/>
      <c r="EJ198" s="569"/>
      <c r="EK198" s="569"/>
      <c r="EL198" s="569"/>
      <c r="EM198" s="569"/>
      <c r="EN198" s="569"/>
      <c r="EO198" s="569"/>
      <c r="EP198" s="569"/>
      <c r="EQ198" s="569"/>
      <c r="ER198" s="569"/>
      <c r="ES198" s="569"/>
      <c r="ET198" s="569"/>
      <c r="EU198" s="569"/>
      <c r="EV198" s="569"/>
      <c r="EW198" s="569"/>
      <c r="EX198" s="569"/>
      <c r="EY198" s="569"/>
      <c r="EZ198" s="569"/>
      <c r="FA198" s="569"/>
      <c r="FB198" s="569"/>
      <c r="FC198" s="569"/>
      <c r="FD198" s="569"/>
      <c r="FE198" s="569"/>
      <c r="FF198" s="569"/>
      <c r="FG198" s="569"/>
      <c r="FH198" s="569"/>
      <c r="FI198" s="569"/>
      <c r="FJ198" s="569"/>
      <c r="FK198" s="569"/>
      <c r="FL198" s="569"/>
      <c r="FM198" s="569"/>
      <c r="FN198" s="569"/>
      <c r="FO198" s="569"/>
      <c r="FP198" s="569"/>
      <c r="FQ198" s="569"/>
      <c r="FR198" s="569"/>
      <c r="FS198" s="569"/>
      <c r="FT198" s="569"/>
      <c r="FU198" s="569"/>
      <c r="FV198" s="569"/>
      <c r="FW198" s="569"/>
      <c r="FX198" s="569"/>
      <c r="FY198" s="570"/>
      <c r="FZ198" s="570"/>
      <c r="GA198" s="570"/>
      <c r="GB198" s="570"/>
      <c r="GC198" s="570"/>
      <c r="GD198" s="570"/>
      <c r="GE198" s="570"/>
      <c r="GF198" s="570"/>
      <c r="GG198" s="570"/>
      <c r="GH198" s="570"/>
      <c r="GI198" s="570"/>
      <c r="GJ198" s="570"/>
      <c r="GK198" s="570"/>
      <c r="GL198" s="570"/>
      <c r="GM198" s="570"/>
      <c r="GN198" s="570"/>
      <c r="GO198" s="570"/>
      <c r="GP198" s="569"/>
      <c r="GQ198" s="569"/>
      <c r="GR198" s="569"/>
      <c r="GS198" s="569"/>
      <c r="GT198" s="569"/>
      <c r="GU198" s="569"/>
      <c r="GV198" s="571"/>
      <c r="GW198" s="569"/>
      <c r="GX198" s="569"/>
      <c r="GY198" s="569"/>
      <c r="GZ198" s="569"/>
      <c r="HA198" s="569"/>
      <c r="HB198" s="569"/>
      <c r="HC198" s="569"/>
      <c r="HD198" s="569"/>
      <c r="HE198" s="569"/>
      <c r="HF198" s="569"/>
      <c r="HG198" s="569"/>
      <c r="HH198" s="569"/>
      <c r="HI198" s="569"/>
      <c r="HJ198" s="569"/>
      <c r="HK198" s="569"/>
      <c r="HL198" s="571"/>
      <c r="HM198" s="571"/>
      <c r="HN198" s="569"/>
      <c r="HO198" s="569"/>
      <c r="HP198" s="111"/>
      <c r="HQ198" s="111"/>
      <c r="HR198" s="111"/>
      <c r="HS198" s="111"/>
      <c r="HT198" s="111"/>
      <c r="HU198" s="111"/>
      <c r="HV198" s="111"/>
      <c r="HW198" s="111"/>
      <c r="HX198" s="111"/>
      <c r="HY198" s="111"/>
      <c r="HZ198" s="111"/>
      <c r="IA198" s="111"/>
      <c r="IB198" s="111"/>
      <c r="IC198" s="111"/>
      <c r="ID198" s="111"/>
      <c r="IE198" s="111"/>
      <c r="IF198" s="111"/>
      <c r="IG198" s="111"/>
      <c r="IH198" s="111"/>
      <c r="II198" s="111"/>
      <c r="IJ198" s="111"/>
      <c r="IK198" s="111"/>
      <c r="IL198" s="111"/>
      <c r="IM198" s="111"/>
      <c r="IN198" s="111"/>
      <c r="IO198" s="111"/>
      <c r="IP198" s="111"/>
      <c r="IQ198" s="111"/>
      <c r="IR198" s="111"/>
      <c r="IS198" s="111"/>
      <c r="IT198" s="111"/>
      <c r="IU198" s="111"/>
    </row>
    <row r="199" spans="1:255" s="105" customFormat="1" ht="13.9" customHeight="1">
      <c r="A199" s="1"/>
      <c r="B199" s="1"/>
      <c r="C199" s="1"/>
      <c r="D199" s="1"/>
      <c r="E199" s="1"/>
      <c r="F199" s="1"/>
      <c r="G199" s="1"/>
      <c r="H199" s="1"/>
      <c r="I199" s="1"/>
      <c r="J199" s="1"/>
      <c r="K199" s="1"/>
      <c r="L199" s="1"/>
      <c r="M199" s="1"/>
      <c r="N199" s="1"/>
      <c r="O199" s="1"/>
      <c r="V199" s="569"/>
      <c r="W199" s="569"/>
      <c r="X199" s="569"/>
      <c r="Y199" s="569"/>
      <c r="Z199" s="569"/>
      <c r="AA199" s="569"/>
      <c r="AB199" s="569"/>
      <c r="AC199" s="569"/>
      <c r="AD199" s="569"/>
      <c r="AE199" s="569"/>
      <c r="AF199" s="569"/>
      <c r="AG199" s="569"/>
      <c r="AH199" s="569"/>
      <c r="AI199" s="569"/>
      <c r="AJ199" s="569"/>
      <c r="AK199" s="569"/>
      <c r="AL199" s="569"/>
      <c r="AM199" s="569"/>
      <c r="AN199" s="569"/>
      <c r="AO199" s="569"/>
      <c r="AP199" s="569"/>
      <c r="AQ199" s="569"/>
      <c r="AR199" s="569"/>
      <c r="AS199" s="569"/>
      <c r="AT199" s="569"/>
      <c r="AU199" s="569"/>
      <c r="AV199" s="569"/>
      <c r="AW199" s="569"/>
      <c r="AX199" s="569"/>
      <c r="AY199" s="569"/>
      <c r="AZ199" s="569"/>
      <c r="BA199" s="569"/>
      <c r="BB199" s="569"/>
      <c r="BC199" s="569"/>
      <c r="BD199" s="569"/>
      <c r="BE199" s="569"/>
      <c r="BF199" s="569"/>
      <c r="BG199" s="569"/>
      <c r="BH199" s="569"/>
      <c r="BI199" s="569"/>
      <c r="BJ199" s="569"/>
      <c r="BK199" s="569"/>
      <c r="BL199" s="569"/>
      <c r="BM199" s="569"/>
      <c r="BN199" s="569"/>
      <c r="BO199" s="569"/>
      <c r="BP199" s="569"/>
      <c r="BQ199" s="569"/>
      <c r="BR199" s="569"/>
      <c r="BS199" s="569"/>
      <c r="BT199" s="569"/>
      <c r="BU199" s="569"/>
      <c r="BV199" s="569"/>
      <c r="BW199" s="569"/>
      <c r="BX199" s="569"/>
      <c r="BY199" s="569"/>
      <c r="BZ199" s="569"/>
      <c r="CA199" s="569"/>
      <c r="CB199" s="569"/>
      <c r="CC199" s="569"/>
      <c r="CD199" s="569"/>
      <c r="CE199" s="569"/>
      <c r="CF199" s="569"/>
      <c r="CG199" s="569"/>
      <c r="CH199" s="569"/>
      <c r="CI199" s="569"/>
      <c r="CJ199" s="569"/>
      <c r="CK199" s="569"/>
      <c r="CL199" s="569"/>
      <c r="CM199" s="569"/>
      <c r="CN199" s="569"/>
      <c r="CO199" s="569"/>
      <c r="CP199" s="569"/>
      <c r="CQ199" s="569"/>
      <c r="CR199" s="569"/>
      <c r="CS199" s="569"/>
      <c r="CT199" s="569"/>
      <c r="CU199" s="569"/>
      <c r="CV199" s="569"/>
      <c r="CW199" s="569"/>
      <c r="CX199" s="569"/>
      <c r="CY199" s="569"/>
      <c r="CZ199" s="569"/>
      <c r="DA199" s="569"/>
      <c r="DB199" s="569"/>
      <c r="DC199" s="569"/>
      <c r="DD199" s="569"/>
      <c r="DE199" s="569"/>
      <c r="DF199" s="569"/>
      <c r="DG199" s="569"/>
      <c r="DH199" s="569"/>
      <c r="DI199" s="569"/>
      <c r="DJ199" s="569"/>
      <c r="DK199" s="569"/>
      <c r="DL199" s="569"/>
      <c r="DM199" s="569"/>
      <c r="DN199" s="569"/>
      <c r="DO199" s="569"/>
      <c r="DP199" s="569"/>
      <c r="DQ199" s="569"/>
      <c r="DR199" s="569"/>
      <c r="DS199" s="569"/>
      <c r="DT199" s="569"/>
      <c r="DU199" s="569"/>
      <c r="DV199" s="569"/>
      <c r="DW199" s="569"/>
      <c r="DX199" s="569"/>
      <c r="DY199" s="569"/>
      <c r="DZ199" s="569"/>
      <c r="EA199" s="569"/>
      <c r="EB199" s="569"/>
      <c r="EC199" s="569"/>
      <c r="ED199" s="569"/>
      <c r="EE199" s="569"/>
      <c r="EF199" s="569"/>
      <c r="EG199" s="569"/>
      <c r="EH199" s="569"/>
      <c r="EI199" s="569"/>
      <c r="EJ199" s="569"/>
      <c r="EK199" s="569"/>
      <c r="EL199" s="569"/>
      <c r="EM199" s="569"/>
      <c r="EN199" s="569"/>
      <c r="EO199" s="569"/>
      <c r="EP199" s="569"/>
      <c r="EQ199" s="569"/>
      <c r="ER199" s="569"/>
      <c r="ES199" s="569"/>
      <c r="ET199" s="569"/>
      <c r="EU199" s="569"/>
      <c r="EV199" s="569"/>
      <c r="EW199" s="569"/>
      <c r="EX199" s="569"/>
      <c r="EY199" s="569"/>
      <c r="EZ199" s="569"/>
      <c r="FA199" s="569"/>
      <c r="FB199" s="569"/>
      <c r="FC199" s="569"/>
      <c r="FD199" s="569"/>
      <c r="FE199" s="569"/>
      <c r="FF199" s="569"/>
      <c r="FG199" s="569"/>
      <c r="FH199" s="569"/>
      <c r="FI199" s="569"/>
      <c r="FJ199" s="569"/>
      <c r="FK199" s="569"/>
      <c r="FL199" s="569"/>
      <c r="FM199" s="569"/>
      <c r="FN199" s="569"/>
      <c r="FO199" s="569"/>
      <c r="FP199" s="569"/>
      <c r="FQ199" s="569"/>
      <c r="FR199" s="569"/>
      <c r="FS199" s="569"/>
      <c r="FT199" s="569"/>
      <c r="FU199" s="569"/>
      <c r="FV199" s="569"/>
      <c r="FW199" s="569"/>
      <c r="FX199" s="569"/>
      <c r="FY199" s="570"/>
      <c r="FZ199" s="570"/>
      <c r="GA199" s="570"/>
      <c r="GB199" s="570"/>
      <c r="GC199" s="570"/>
      <c r="GD199" s="570"/>
      <c r="GE199" s="570"/>
      <c r="GF199" s="570"/>
      <c r="GG199" s="570"/>
      <c r="GH199" s="570"/>
      <c r="GI199" s="570"/>
      <c r="GJ199" s="570"/>
      <c r="GK199" s="570"/>
      <c r="GL199" s="570"/>
      <c r="GM199" s="570"/>
      <c r="GN199" s="570"/>
      <c r="GO199" s="570"/>
      <c r="GP199" s="569"/>
      <c r="GQ199" s="569"/>
      <c r="GR199" s="569"/>
      <c r="GS199" s="569"/>
      <c r="GT199" s="569"/>
      <c r="GU199" s="569"/>
      <c r="GV199" s="571"/>
      <c r="GW199" s="569"/>
      <c r="GX199" s="569"/>
      <c r="GY199" s="569"/>
      <c r="GZ199" s="569"/>
      <c r="HA199" s="569"/>
      <c r="HB199" s="569"/>
      <c r="HC199" s="569"/>
      <c r="HD199" s="569"/>
      <c r="HE199" s="569"/>
      <c r="HF199" s="569"/>
      <c r="HG199" s="569"/>
      <c r="HH199" s="569"/>
      <c r="HI199" s="569"/>
      <c r="HJ199" s="569"/>
      <c r="HK199" s="569"/>
      <c r="HL199" s="571"/>
      <c r="HM199" s="571"/>
      <c r="HN199" s="569"/>
      <c r="HO199" s="569"/>
      <c r="HP199" s="111"/>
      <c r="HQ199" s="111"/>
      <c r="HR199" s="111"/>
      <c r="HS199" s="111"/>
      <c r="HT199" s="111"/>
      <c r="HU199" s="111"/>
      <c r="HV199" s="111"/>
      <c r="HW199" s="111"/>
      <c r="HX199" s="111"/>
      <c r="HY199" s="111"/>
      <c r="HZ199" s="111"/>
      <c r="IA199" s="111"/>
      <c r="IB199" s="111"/>
      <c r="IC199" s="111"/>
      <c r="ID199" s="111"/>
      <c r="IE199" s="111"/>
      <c r="IF199" s="111"/>
      <c r="IG199" s="111"/>
      <c r="IH199" s="111"/>
      <c r="II199" s="111"/>
      <c r="IJ199" s="111"/>
      <c r="IK199" s="111"/>
      <c r="IL199" s="111"/>
      <c r="IM199" s="111"/>
      <c r="IN199" s="111"/>
      <c r="IO199" s="111"/>
      <c r="IP199" s="111"/>
      <c r="IQ199" s="111"/>
      <c r="IR199" s="111"/>
      <c r="IS199" s="111"/>
      <c r="IT199" s="111"/>
      <c r="IU199" s="111"/>
    </row>
    <row r="200" spans="1:255" s="105" customFormat="1" ht="13.9" customHeight="1">
      <c r="A200" s="1"/>
      <c r="B200" s="1"/>
      <c r="C200" s="1"/>
      <c r="D200" s="1"/>
      <c r="E200" s="1"/>
      <c r="F200" s="1"/>
      <c r="G200" s="1"/>
      <c r="H200" s="1"/>
      <c r="I200" s="1"/>
      <c r="J200" s="1"/>
      <c r="K200" s="1"/>
      <c r="L200" s="1"/>
      <c r="M200" s="1"/>
      <c r="N200" s="1"/>
      <c r="O200" s="1"/>
      <c r="V200" s="569"/>
      <c r="W200" s="569"/>
      <c r="X200" s="569"/>
      <c r="Y200" s="569"/>
      <c r="Z200" s="569"/>
      <c r="AA200" s="569"/>
      <c r="AB200" s="569"/>
      <c r="AC200" s="569"/>
      <c r="AD200" s="569"/>
      <c r="AE200" s="569"/>
      <c r="AF200" s="569"/>
      <c r="AG200" s="569"/>
      <c r="AH200" s="569"/>
      <c r="AI200" s="569"/>
      <c r="AJ200" s="569"/>
      <c r="AK200" s="569"/>
      <c r="AL200" s="569"/>
      <c r="AM200" s="569"/>
      <c r="AN200" s="569"/>
      <c r="AO200" s="569"/>
      <c r="AP200" s="569"/>
      <c r="AQ200" s="569"/>
      <c r="AR200" s="569"/>
      <c r="AS200" s="569"/>
      <c r="AT200" s="569"/>
      <c r="AU200" s="569"/>
      <c r="AV200" s="569"/>
      <c r="AW200" s="569"/>
      <c r="AX200" s="569"/>
      <c r="AY200" s="569"/>
      <c r="AZ200" s="569"/>
      <c r="BA200" s="569"/>
      <c r="BB200" s="569"/>
      <c r="BC200" s="569"/>
      <c r="BD200" s="569"/>
      <c r="BE200" s="569"/>
      <c r="BF200" s="569"/>
      <c r="BG200" s="569"/>
      <c r="BH200" s="569"/>
      <c r="BI200" s="569"/>
      <c r="BJ200" s="569"/>
      <c r="BK200" s="569"/>
      <c r="BL200" s="569"/>
      <c r="BM200" s="569"/>
      <c r="BN200" s="569"/>
      <c r="BO200" s="569"/>
      <c r="BP200" s="569"/>
      <c r="BQ200" s="569"/>
      <c r="BR200" s="569"/>
      <c r="BS200" s="569"/>
      <c r="BT200" s="569"/>
      <c r="BU200" s="569"/>
      <c r="BV200" s="569"/>
      <c r="BW200" s="569"/>
      <c r="BX200" s="569"/>
      <c r="BY200" s="569"/>
      <c r="BZ200" s="569"/>
      <c r="CA200" s="569"/>
      <c r="CB200" s="569"/>
      <c r="CC200" s="569"/>
      <c r="CD200" s="569"/>
      <c r="CE200" s="569"/>
      <c r="CF200" s="569"/>
      <c r="CG200" s="569"/>
      <c r="CH200" s="569"/>
      <c r="CI200" s="569"/>
      <c r="CJ200" s="569"/>
      <c r="CK200" s="569"/>
      <c r="CL200" s="569"/>
      <c r="CM200" s="569"/>
      <c r="CN200" s="569"/>
      <c r="CO200" s="569"/>
      <c r="CP200" s="569"/>
      <c r="CQ200" s="569"/>
      <c r="CR200" s="569"/>
      <c r="CS200" s="569"/>
      <c r="CT200" s="569"/>
      <c r="CU200" s="569"/>
      <c r="CV200" s="569"/>
      <c r="CW200" s="569"/>
      <c r="CX200" s="569"/>
      <c r="CY200" s="569"/>
      <c r="CZ200" s="569"/>
      <c r="DA200" s="569"/>
      <c r="DB200" s="569"/>
      <c r="DC200" s="569"/>
      <c r="DD200" s="569"/>
      <c r="DE200" s="569"/>
      <c r="DF200" s="569"/>
      <c r="DG200" s="569"/>
      <c r="DH200" s="569"/>
      <c r="DI200" s="569"/>
      <c r="DJ200" s="569"/>
      <c r="DK200" s="569"/>
      <c r="DL200" s="569"/>
      <c r="DM200" s="569"/>
      <c r="DN200" s="569"/>
      <c r="DO200" s="569"/>
      <c r="DP200" s="569"/>
      <c r="DQ200" s="569"/>
      <c r="DR200" s="569"/>
      <c r="DS200" s="569"/>
      <c r="DT200" s="569"/>
      <c r="DU200" s="569"/>
      <c r="DV200" s="569"/>
      <c r="DW200" s="569"/>
      <c r="DX200" s="569"/>
      <c r="DY200" s="569"/>
      <c r="DZ200" s="569"/>
      <c r="EA200" s="569"/>
      <c r="EB200" s="569"/>
      <c r="EC200" s="569"/>
      <c r="ED200" s="569"/>
      <c r="EE200" s="569"/>
      <c r="EF200" s="569"/>
      <c r="EG200" s="569"/>
      <c r="EH200" s="569"/>
      <c r="EI200" s="569"/>
      <c r="EJ200" s="569"/>
      <c r="EK200" s="569"/>
      <c r="EL200" s="569"/>
      <c r="EM200" s="569"/>
      <c r="EN200" s="569"/>
      <c r="EO200" s="569"/>
      <c r="EP200" s="569"/>
      <c r="EQ200" s="569"/>
      <c r="ER200" s="569"/>
      <c r="ES200" s="569"/>
      <c r="ET200" s="569"/>
      <c r="EU200" s="569"/>
      <c r="EV200" s="569"/>
      <c r="EW200" s="569"/>
      <c r="EX200" s="569"/>
      <c r="EY200" s="569"/>
      <c r="EZ200" s="569"/>
      <c r="FA200" s="569"/>
      <c r="FB200" s="569"/>
      <c r="FC200" s="569"/>
      <c r="FD200" s="569"/>
      <c r="FE200" s="569"/>
      <c r="FF200" s="569"/>
      <c r="FG200" s="569"/>
      <c r="FH200" s="569"/>
      <c r="FI200" s="569"/>
      <c r="FJ200" s="569"/>
      <c r="FK200" s="569"/>
      <c r="FL200" s="569"/>
      <c r="FM200" s="569"/>
      <c r="FN200" s="569"/>
      <c r="FO200" s="569"/>
      <c r="FP200" s="569"/>
      <c r="FQ200" s="569"/>
      <c r="FR200" s="569"/>
      <c r="FS200" s="569"/>
      <c r="FT200" s="569"/>
      <c r="FU200" s="569"/>
      <c r="FV200" s="569"/>
      <c r="FW200" s="569"/>
      <c r="FX200" s="569"/>
      <c r="FY200" s="570"/>
      <c r="FZ200" s="570"/>
      <c r="GA200" s="570"/>
      <c r="GB200" s="570"/>
      <c r="GC200" s="570"/>
      <c r="GD200" s="570"/>
      <c r="GE200" s="570"/>
      <c r="GF200" s="570"/>
      <c r="GG200" s="570"/>
      <c r="GH200" s="570"/>
      <c r="GI200" s="570"/>
      <c r="GJ200" s="570"/>
      <c r="GK200" s="570"/>
      <c r="GL200" s="570"/>
      <c r="GM200" s="570"/>
      <c r="GN200" s="570"/>
      <c r="GO200" s="570"/>
      <c r="GP200" s="569"/>
      <c r="GQ200" s="569"/>
      <c r="GR200" s="569"/>
      <c r="GS200" s="569"/>
      <c r="GT200" s="569"/>
      <c r="GU200" s="569"/>
      <c r="GV200" s="571"/>
      <c r="GW200" s="569"/>
      <c r="GX200" s="569"/>
      <c r="GY200" s="569"/>
      <c r="GZ200" s="569"/>
      <c r="HA200" s="569"/>
      <c r="HB200" s="569"/>
      <c r="HC200" s="569"/>
      <c r="HD200" s="569"/>
      <c r="HE200" s="569"/>
      <c r="HF200" s="569"/>
      <c r="HG200" s="569"/>
      <c r="HH200" s="569"/>
      <c r="HI200" s="569"/>
      <c r="HJ200" s="569"/>
      <c r="HK200" s="569"/>
      <c r="HL200" s="571"/>
      <c r="HM200" s="571"/>
      <c r="HN200" s="569"/>
      <c r="HO200" s="569"/>
      <c r="HP200" s="111"/>
      <c r="HQ200" s="111"/>
      <c r="HR200" s="111"/>
      <c r="HS200" s="111"/>
      <c r="HT200" s="111"/>
      <c r="HU200" s="111"/>
      <c r="HV200" s="111"/>
      <c r="HW200" s="111"/>
      <c r="HX200" s="111"/>
      <c r="HY200" s="111"/>
      <c r="HZ200" s="111"/>
      <c r="IA200" s="111"/>
      <c r="IB200" s="111"/>
      <c r="IC200" s="111"/>
      <c r="ID200" s="111"/>
      <c r="IE200" s="111"/>
      <c r="IF200" s="111"/>
      <c r="IG200" s="111"/>
      <c r="IH200" s="111"/>
      <c r="II200" s="111"/>
      <c r="IJ200" s="111"/>
      <c r="IK200" s="111"/>
      <c r="IL200" s="111"/>
      <c r="IM200" s="111"/>
      <c r="IN200" s="111"/>
      <c r="IO200" s="111"/>
      <c r="IP200" s="111"/>
      <c r="IQ200" s="111"/>
      <c r="IR200" s="111"/>
      <c r="IS200" s="111"/>
      <c r="IT200" s="111"/>
      <c r="IU200" s="111"/>
    </row>
    <row r="201" spans="1:255" ht="13.9" customHeight="1"/>
    <row r="202" spans="1:255" ht="13.9" customHeight="1">
      <c r="A202" s="16"/>
    </row>
    <row r="203" spans="1:255" ht="13.9" customHeight="1"/>
    <row r="204" spans="1:255" ht="13.9" customHeight="1"/>
    <row r="205" spans="1:255" ht="13.9" customHeight="1"/>
    <row r="206" spans="1:255" ht="13.9" customHeight="1"/>
    <row r="207" spans="1:255" ht="13.9" customHeight="1"/>
    <row r="208" spans="1:255" ht="13.9" customHeight="1"/>
    <row r="209" ht="13.9" customHeight="1"/>
    <row r="210" ht="13.9" customHeight="1"/>
    <row r="211" ht="13.9" customHeight="1"/>
  </sheetData>
  <sheetProtection password="F5C1" sheet="1" objects="1" scenarios="1" formatCells="0" formatColumns="0" formatRows="0"/>
  <mergeCells count="274">
    <mergeCell ref="AX4:AX9"/>
    <mergeCell ref="BP4:BP9"/>
    <mergeCell ref="BQ4:BQ9"/>
    <mergeCell ref="BW4:BW9"/>
    <mergeCell ref="BN4:BN9"/>
    <mergeCell ref="BO4:BO9"/>
    <mergeCell ref="BF4:BF9"/>
    <mergeCell ref="BG4:BG9"/>
    <mergeCell ref="T134:U136"/>
    <mergeCell ref="BL4:BL9"/>
    <mergeCell ref="BM4:BM9"/>
    <mergeCell ref="BH4:BH9"/>
    <mergeCell ref="BI4:BI9"/>
    <mergeCell ref="AW4:AW9"/>
    <mergeCell ref="CO4:CO9"/>
    <mergeCell ref="CU4:CU9"/>
    <mergeCell ref="CV4:CV9"/>
    <mergeCell ref="CW4:CW9"/>
    <mergeCell ref="CL4:CL9"/>
    <mergeCell ref="CI4:CI9"/>
    <mergeCell ref="CJ4:CJ9"/>
    <mergeCell ref="BT4:BT9"/>
    <mergeCell ref="BX4:BX9"/>
    <mergeCell ref="BV4:BV9"/>
    <mergeCell ref="CA4:CA9"/>
    <mergeCell ref="CB4:CB9"/>
    <mergeCell ref="CC4:CC9"/>
    <mergeCell ref="CE4:CE9"/>
    <mergeCell ref="CD4:CD9"/>
    <mergeCell ref="BU4:BU9"/>
    <mergeCell ref="CH4:CH9"/>
    <mergeCell ref="BZ4:BZ9"/>
    <mergeCell ref="CN4:CN9"/>
    <mergeCell ref="N151:P152"/>
    <mergeCell ref="T153:U165"/>
    <mergeCell ref="T140:U152"/>
    <mergeCell ref="CY4:CY9"/>
    <mergeCell ref="DD4:DD9"/>
    <mergeCell ref="DE4:DE9"/>
    <mergeCell ref="CR4:CR9"/>
    <mergeCell ref="CT4:CT9"/>
    <mergeCell ref="DY4:DY9"/>
    <mergeCell ref="AR4:AR9"/>
    <mergeCell ref="AH4:AH9"/>
    <mergeCell ref="AI4:AI9"/>
    <mergeCell ref="AT4:AT9"/>
    <mergeCell ref="AU4:AU9"/>
    <mergeCell ref="AV4:AV9"/>
    <mergeCell ref="CM4:CM9"/>
    <mergeCell ref="DN4:DN9"/>
    <mergeCell ref="DO4:DO9"/>
    <mergeCell ref="CS4:CS9"/>
    <mergeCell ref="CQ4:CQ9"/>
    <mergeCell ref="DG4:DG9"/>
    <mergeCell ref="DA4:DA9"/>
    <mergeCell ref="DB4:DB9"/>
    <mergeCell ref="CP4:CP9"/>
    <mergeCell ref="B153:E153"/>
    <mergeCell ref="K168:P168"/>
    <mergeCell ref="F162:G162"/>
    <mergeCell ref="A168:J168"/>
    <mergeCell ref="B164:E164"/>
    <mergeCell ref="F165:G165"/>
    <mergeCell ref="F164:G164"/>
    <mergeCell ref="K162:L162"/>
    <mergeCell ref="F163:G163"/>
    <mergeCell ref="K157:L157"/>
    <mergeCell ref="K161:L161"/>
    <mergeCell ref="K160:L160"/>
    <mergeCell ref="K159:L159"/>
    <mergeCell ref="K158:L158"/>
    <mergeCell ref="F152:G152"/>
    <mergeCell ref="F151:G151"/>
    <mergeCell ref="F153:G153"/>
    <mergeCell ref="F161:G161"/>
    <mergeCell ref="I161:J161"/>
    <mergeCell ref="F157:G157"/>
    <mergeCell ref="F158:G158"/>
    <mergeCell ref="F154:G154"/>
    <mergeCell ref="K141:L141"/>
    <mergeCell ref="F141:G141"/>
    <mergeCell ref="F144:G144"/>
    <mergeCell ref="F159:G159"/>
    <mergeCell ref="F160:G160"/>
    <mergeCell ref="I151:J151"/>
    <mergeCell ref="F148:G148"/>
    <mergeCell ref="K148:L148"/>
    <mergeCell ref="F150:G150"/>
    <mergeCell ref="F145:G145"/>
    <mergeCell ref="K150:L150"/>
    <mergeCell ref="K149:L149"/>
    <mergeCell ref="F149:G149"/>
    <mergeCell ref="K151:L151"/>
    <mergeCell ref="K152:L152"/>
    <mergeCell ref="E78:F79"/>
    <mergeCell ref="N143:O143"/>
    <mergeCell ref="GW4:GW9"/>
    <mergeCell ref="GS4:GS9"/>
    <mergeCell ref="BS4:BS9"/>
    <mergeCell ref="AA4:AA9"/>
    <mergeCell ref="DK4:DK9"/>
    <mergeCell ref="DU4:DU9"/>
    <mergeCell ref="DS4:DS9"/>
    <mergeCell ref="DT4:DT9"/>
    <mergeCell ref="T56:U62"/>
    <mergeCell ref="T10:U47"/>
    <mergeCell ref="T124:U126"/>
    <mergeCell ref="T119:U121"/>
    <mergeCell ref="T114:U116"/>
    <mergeCell ref="T109:U111"/>
    <mergeCell ref="T94:U100"/>
    <mergeCell ref="A51:P52"/>
    <mergeCell ref="T84:U92"/>
    <mergeCell ref="T72:U82"/>
    <mergeCell ref="BJ4:BJ9"/>
    <mergeCell ref="BK4:BK9"/>
    <mergeCell ref="AY4:AY9"/>
    <mergeCell ref="GC8:GC9"/>
    <mergeCell ref="B144:E144"/>
    <mergeCell ref="ED4:ED9"/>
    <mergeCell ref="BE4:BE9"/>
    <mergeCell ref="EI4:EI9"/>
    <mergeCell ref="A57:B75"/>
    <mergeCell ref="DP4:DP9"/>
    <mergeCell ref="DQ4:DQ9"/>
    <mergeCell ref="EB4:EB9"/>
    <mergeCell ref="CK4:CK9"/>
    <mergeCell ref="F142:G142"/>
    <mergeCell ref="F143:G143"/>
    <mergeCell ref="K142:L142"/>
    <mergeCell ref="K143:L143"/>
    <mergeCell ref="AJ4:AJ9"/>
    <mergeCell ref="C130:F130"/>
    <mergeCell ref="Q53:Q55"/>
    <mergeCell ref="C110:F110"/>
    <mergeCell ref="C120:F120"/>
    <mergeCell ref="N56:O57"/>
    <mergeCell ref="C115:F115"/>
    <mergeCell ref="C125:F125"/>
    <mergeCell ref="T9:U9"/>
    <mergeCell ref="T129:U131"/>
    <mergeCell ref="C135:F135"/>
    <mergeCell ref="A1:P1"/>
    <mergeCell ref="K8:L8"/>
    <mergeCell ref="A7:A9"/>
    <mergeCell ref="V4:V9"/>
    <mergeCell ref="N6:O6"/>
    <mergeCell ref="P8:Q8"/>
    <mergeCell ref="AK4:AK9"/>
    <mergeCell ref="AM4:AM9"/>
    <mergeCell ref="AS4:AS9"/>
    <mergeCell ref="X4:X9"/>
    <mergeCell ref="Y4:Y9"/>
    <mergeCell ref="Z4:Z9"/>
    <mergeCell ref="AP4:AP9"/>
    <mergeCell ref="AC4:AC9"/>
    <mergeCell ref="AD4:AD9"/>
    <mergeCell ref="AE4:AE9"/>
    <mergeCell ref="AF4:AF9"/>
    <mergeCell ref="R6:S6"/>
    <mergeCell ref="AB4:AB9"/>
    <mergeCell ref="AG4:AG9"/>
    <mergeCell ref="AQ4:AQ9"/>
    <mergeCell ref="HM4:HM9"/>
    <mergeCell ref="HG4:HG9"/>
    <mergeCell ref="HH4:HH9"/>
    <mergeCell ref="HI4:HI9"/>
    <mergeCell ref="HJ4:HJ9"/>
    <mergeCell ref="HK4:HK9"/>
    <mergeCell ref="HL4:HL9"/>
    <mergeCell ref="GH8:GH9"/>
    <mergeCell ref="HD4:HD9"/>
    <mergeCell ref="GO4:GO9"/>
    <mergeCell ref="GP4:GP9"/>
    <mergeCell ref="GX4:GX9"/>
    <mergeCell ref="GY4:GY9"/>
    <mergeCell ref="GK8:GK9"/>
    <mergeCell ref="GZ4:GZ9"/>
    <mergeCell ref="GV4:GV9"/>
    <mergeCell ref="GJ8:GJ9"/>
    <mergeCell ref="GI8:GI9"/>
    <mergeCell ref="HF4:HF9"/>
    <mergeCell ref="HE4:HE9"/>
    <mergeCell ref="HB4:HB9"/>
    <mergeCell ref="HC4:HC9"/>
    <mergeCell ref="GN8:GN9"/>
    <mergeCell ref="HA4:HA9"/>
    <mergeCell ref="CZ4:CZ9"/>
    <mergeCell ref="EP4:EP9"/>
    <mergeCell ref="EG4:EG9"/>
    <mergeCell ref="DC4:DC9"/>
    <mergeCell ref="DL4:DL9"/>
    <mergeCell ref="EH4:EH9"/>
    <mergeCell ref="DF4:DF9"/>
    <mergeCell ref="EE4:EE9"/>
    <mergeCell ref="DZ4:DZ9"/>
    <mergeCell ref="EC4:EC9"/>
    <mergeCell ref="EJ4:EJ9"/>
    <mergeCell ref="EK4:EK9"/>
    <mergeCell ref="EL4:EL9"/>
    <mergeCell ref="EO4:EO9"/>
    <mergeCell ref="EN4:EN9"/>
    <mergeCell ref="GT4:GT9"/>
    <mergeCell ref="FK8:FK9"/>
    <mergeCell ref="FW8:FW9"/>
    <mergeCell ref="FX8:FX9"/>
    <mergeCell ref="FU8:FU9"/>
    <mergeCell ref="FC8:FC9"/>
    <mergeCell ref="EM4:EM9"/>
    <mergeCell ref="FN8:FN9"/>
    <mergeCell ref="FM8:FM9"/>
    <mergeCell ref="FS8:FS9"/>
    <mergeCell ref="FP8:FP9"/>
    <mergeCell ref="ER4:ER9"/>
    <mergeCell ref="ES4:ES9"/>
    <mergeCell ref="EQ4:EQ9"/>
    <mergeCell ref="FQ8:FQ9"/>
    <mergeCell ref="FO8:FO9"/>
    <mergeCell ref="ET4:ET9"/>
    <mergeCell ref="FL8:FL9"/>
    <mergeCell ref="FD8:FD9"/>
    <mergeCell ref="FE8:FE9"/>
    <mergeCell ref="EU4:EU9"/>
    <mergeCell ref="EV8:EV9"/>
    <mergeCell ref="FV8:FV9"/>
    <mergeCell ref="FR8:FR9"/>
    <mergeCell ref="GF8:GF9"/>
    <mergeCell ref="GG8:GG9"/>
    <mergeCell ref="FB8:FB9"/>
    <mergeCell ref="BY4:BY9"/>
    <mergeCell ref="CX4:CX9"/>
    <mergeCell ref="CF4:CF9"/>
    <mergeCell ref="CG4:CG9"/>
    <mergeCell ref="DR4:DR9"/>
    <mergeCell ref="DM4:DM9"/>
    <mergeCell ref="GE8:GE9"/>
    <mergeCell ref="FY8:FY9"/>
    <mergeCell ref="GB8:GB9"/>
    <mergeCell ref="FT8:FT9"/>
    <mergeCell ref="FZ8:FZ9"/>
    <mergeCell ref="DV4:DV9"/>
    <mergeCell ref="DW4:DW9"/>
    <mergeCell ref="DH4:DH9"/>
    <mergeCell ref="DI4:DI9"/>
    <mergeCell ref="DJ4:DJ9"/>
    <mergeCell ref="DX4:DX9"/>
    <mergeCell ref="EA4:EA9"/>
    <mergeCell ref="GD8:GD9"/>
    <mergeCell ref="FA8:FA9"/>
    <mergeCell ref="EF4:EF9"/>
    <mergeCell ref="A82:D82"/>
    <mergeCell ref="H104:I104"/>
    <mergeCell ref="T168:U168"/>
    <mergeCell ref="T1:U1"/>
    <mergeCell ref="T55:U55"/>
    <mergeCell ref="T139:U139"/>
    <mergeCell ref="T68:U70"/>
    <mergeCell ref="T64:U66"/>
    <mergeCell ref="GU4:GU9"/>
    <mergeCell ref="GQ4:GQ9"/>
    <mergeCell ref="GR4:GR9"/>
    <mergeCell ref="GM8:GM9"/>
    <mergeCell ref="GL8:GL9"/>
    <mergeCell ref="AZ4:AZ9"/>
    <mergeCell ref="BR4:BR9"/>
    <mergeCell ref="W4:W9"/>
    <mergeCell ref="AL4:AL9"/>
    <mergeCell ref="BC4:BC9"/>
    <mergeCell ref="BD4:BD9"/>
    <mergeCell ref="AN4:AN9"/>
    <mergeCell ref="AO4:AO9"/>
    <mergeCell ref="BA4:BA9"/>
    <mergeCell ref="BB4:BB9"/>
    <mergeCell ref="GA8:GA9"/>
  </mergeCells>
  <phoneticPr fontId="6" type="noConversion"/>
  <conditionalFormatting sqref="H10">
    <cfRule type="expression" priority="3" stopIfTrue="1">
      <formula>AND($B10="PHA", $H10&gt;0)</formula>
    </cfRule>
  </conditionalFormatting>
  <conditionalFormatting sqref="Q83:S100 Q56:S80">
    <cfRule type="cellIs" dxfId="15" priority="4" stopIfTrue="1" operator="greaterThan">
      <formula>0</formula>
    </cfRule>
  </conditionalFormatting>
  <conditionalFormatting sqref="A10:A47">
    <cfRule type="cellIs" dxfId="14" priority="5" stopIfTrue="1" operator="equal">
      <formula>1</formula>
    </cfRule>
  </conditionalFormatting>
  <conditionalFormatting sqref="I10">
    <cfRule type="expression" priority="2" stopIfTrue="1">
      <formula>AND($B10="PHA", $H10&gt;0)</formula>
    </cfRule>
  </conditionalFormatting>
  <conditionalFormatting sqref="O104">
    <cfRule type="cellIs" dxfId="13" priority="1" operator="greaterThan">
      <formula>0.02</formula>
    </cfRule>
  </conditionalFormatting>
  <dataValidations count="9">
    <dataValidation type="list" allowBlank="1" showInputMessage="1" showErrorMessage="1" sqref="G6">
      <formula1>"Yes, No"</formula1>
    </dataValidation>
    <dataValidation type="list" allowBlank="1" showInputMessage="1" showErrorMessage="1" sqref="G5">
      <formula1>"Fixed, Floating"</formula1>
    </dataValidation>
    <dataValidation type="list" allowBlank="1" showInputMessage="1" showErrorMessage="1" sqref="J10:J47">
      <formula1>"HUD, PHA PBRA, USDA, Other Govt,RAD,  PHA Oper Sub"</formula1>
    </dataValidation>
    <dataValidation type="list" allowBlank="1" showInputMessage="1" showErrorMessage="1" sqref="M10:M47">
      <formula1>"No, Common, Residential"</formula1>
    </dataValidation>
    <dataValidation type="list" allowBlank="1" showInputMessage="1" showErrorMessage="1" sqref="N10:N47">
      <formula1>"SF Detached, Mfd Home, Duplex, Townhome, 1-Story, 2-Story, 2-Story Walkup, 3+ Story"</formula1>
    </dataValidation>
    <dataValidation type="list" allowBlank="1" showInputMessage="1" showErrorMessage="1" sqref="C10:C47">
      <formula1>"Efficiency, 1, 2, 3, 4"</formula1>
    </dataValidation>
    <dataValidation type="list" allowBlank="1" showInputMessage="1" showErrorMessage="1" sqref="D10:D47">
      <formula1>"0, 1.0, 1.5, 2.0, 2.5, 3.0, 3.5, 4.0"</formula1>
    </dataValidation>
    <dataValidation type="list" allowBlank="1" showInputMessage="1" showErrorMessage="1" sqref="B10:B47">
      <formula1>"&lt;&lt;Select&gt;&gt;,50% AMI, 60% AMI, Unrestricted, N/A-CS"</formula1>
    </dataValidation>
    <dataValidation type="list" allowBlank="1" showInputMessage="1" showErrorMessage="1" sqref="O10:O47">
      <formula1>"New Construction, Rehabilitation, Acquisition/Rehab"</formula1>
    </dataValidation>
  </dataValidations>
  <printOptions horizontalCentered="1"/>
  <pageMargins left="0.5" right="0.5" top="0.5" bottom="0.5" header="0.25" footer="0.25"/>
  <pageSetup scale="83" fitToHeight="0" orientation="landscape" r:id="rId1"/>
  <headerFooter alignWithMargins="0">
    <oddHeader>&amp;L&amp;11Georgia Department of Community Affairs&amp;C&amp;11 2014 Funding Application&amp;R&amp;11Housing Finance and Development Division</oddHeader>
    <oddFooter>&amp;L&amp;"Arial Narrow,Regular"&amp;G &amp;F&amp;C&amp;"Arial Narrow,Regular"&amp;A&amp;R&amp;"Arial Narrow,Regular"&amp;P of &amp;N</oddFooter>
  </headerFooter>
  <rowBreaks count="3" manualBreakCount="3">
    <brk id="52" max="16383" man="1"/>
    <brk id="101" max="16383" man="1"/>
    <brk id="137" max="16383" man="1"/>
  </rowBreaks>
  <ignoredErrors>
    <ignoredError sqref="K10:K27" unlockedFormula="1"/>
    <ignoredError sqref="H61:L61 H59:L59" formula="1"/>
  </ignoredErrors>
  <legacyDrawingHF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BDAEDA1CCF12AA4780FF722F6E8C28C6" ma:contentTypeVersion="0" ma:contentTypeDescription="Create a new document." ma:contentTypeScope="" ma:versionID="6821376888dda4d9916fc712b96b24c1">
  <xsd:schema xmlns:xsd="http://www.w3.org/2001/XMLSchema" xmlns:p="http://schemas.microsoft.com/office/2006/metadata/properties" targetNamespace="http://schemas.microsoft.com/office/2006/metadata/properties" ma:root="true" ma:fieldsID="4aeb20c0e3442673af7ee10786458764">
    <xsd:element name="properties">
      <xsd:complexType>
        <xsd:sequence>
          <xsd:element name="documentManagement">
            <xsd:complexType>
              <xsd:all/>
            </xsd:complexType>
          </xsd:element>
        </xsd:sequence>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office/internal/2005/internalDocumentation"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ma:readOnly="tru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lastPrinted" minOccurs="0" maxOccurs="1" type="xsd:dateTime"/>
        <xsd:element name="contentStatus" minOccurs="0" maxOccurs="1" type="xsd:string"/>
      </xsd:all>
    </xsd:complexType>
  </xsd:schema>
</ct:contentTypeSchema>
</file>

<file path=customXml/itemProps1.xml><?xml version="1.0" encoding="utf-8"?>
<ds:datastoreItem xmlns:ds="http://schemas.openxmlformats.org/officeDocument/2006/customXml" ds:itemID="{9D6D7E3C-F36B-4FF9-8561-A8D858F1C41A}">
  <ds:schemaRefs>
    <ds:schemaRef ds:uri="http://schemas.openxmlformats.org/package/2006/metadata/core-properties"/>
    <ds:schemaRef ds:uri="http://schemas.microsoft.com/office/2006/documentManagement/types"/>
    <ds:schemaRef ds:uri="http://purl.org/dc/dcmitype/"/>
    <ds:schemaRef ds:uri="http://purl.org/dc/elements/1.1/"/>
    <ds:schemaRef ds:uri="http://purl.org/dc/terms/"/>
    <ds:schemaRef ds:uri="http://schemas.microsoft.com/office/2006/metadata/properties"/>
    <ds:schemaRef ds:uri="http://www.w3.org/XML/1998/namespace"/>
  </ds:schemaRefs>
</ds:datastoreItem>
</file>

<file path=customXml/itemProps2.xml><?xml version="1.0" encoding="utf-8"?>
<ds:datastoreItem xmlns:ds="http://schemas.openxmlformats.org/officeDocument/2006/customXml" ds:itemID="{76456315-C2EB-4BCF-92E4-0EFBDABC2C2A}">
  <ds:schemaRefs>
    <ds:schemaRef ds:uri="http://schemas.microsoft.com/sharepoint/v3/contenttype/forms"/>
  </ds:schemaRefs>
</ds:datastoreItem>
</file>

<file path=customXml/itemProps3.xml><?xml version="1.0" encoding="utf-8"?>
<ds:datastoreItem xmlns:ds="http://schemas.openxmlformats.org/officeDocument/2006/customXml" ds:itemID="{63080D89-2519-4803-B5AC-9E57F550C859}">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openxmlformats.org/package/2006/metadata/core-properties"/>
    <ds:schemaRef ds:uri="http://purl.org/dc/elements/1.1/"/>
    <ds:schemaRef ds:uri="http://purl.org/dc/terms/"/>
    <ds:schemaRef ds:uri="http://schemas.microsoft.com/office/internal/2005/internalDocumentation"/>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16</vt:i4>
      </vt:variant>
      <vt:variant>
        <vt:lpstr>Named Ranges</vt:lpstr>
      </vt:variant>
      <vt:variant>
        <vt:i4>27</vt:i4>
      </vt:variant>
    </vt:vector>
  </HeadingPairs>
  <TitlesOfParts>
    <vt:vector size="43" baseType="lpstr">
      <vt:lpstr>Project Narrative</vt:lpstr>
      <vt:lpstr>Part I-Project Information</vt:lpstr>
      <vt:lpstr>Part II-Development Team</vt:lpstr>
      <vt:lpstr>Part III-Sources of Funds</vt:lpstr>
      <vt:lpstr>Part III B-USDA 538 Loan</vt:lpstr>
      <vt:lpstr>Part III C-HUD Insured Loan</vt:lpstr>
      <vt:lpstr>Part IV-Uses of Funds</vt:lpstr>
      <vt:lpstr>Part V-Utility Allowances</vt:lpstr>
      <vt:lpstr>Part VI-Revenues &amp; Expenses</vt:lpstr>
      <vt:lpstr>Part VII-Pro Forma</vt:lpstr>
      <vt:lpstr>Part VIII-Threshold Criteria</vt:lpstr>
      <vt:lpstr>Part IX A-Scoring Criteria</vt:lpstr>
      <vt:lpstr>Pt IX B-Super Proj Concept Narr</vt:lpstr>
      <vt:lpstr>Part X - Applicant Cert Ltr</vt:lpstr>
      <vt:lpstr>DCA Underwriting Assumptions</vt:lpstr>
      <vt:lpstr>DCA USE ONLY</vt:lpstr>
      <vt:lpstr>'DCA Underwriting Assumptions'!Print_Area</vt:lpstr>
      <vt:lpstr>'Part II-Development Team'!Print_Area</vt:lpstr>
      <vt:lpstr>'Part III B-USDA 538 Loan'!Print_Area</vt:lpstr>
      <vt:lpstr>'Part III C-HUD Insured Loan'!Print_Area</vt:lpstr>
      <vt:lpstr>'Part III-Sources of Funds'!Print_Area</vt:lpstr>
      <vt:lpstr>'Part I-Project Information'!Print_Area</vt:lpstr>
      <vt:lpstr>'Part IV-Uses of Funds'!Print_Area</vt:lpstr>
      <vt:lpstr>'Part IX A-Scoring Criteria'!Print_Area</vt:lpstr>
      <vt:lpstr>'Part VIII-Threshold Criteria'!Print_Area</vt:lpstr>
      <vt:lpstr>'Part VII-Pro Forma'!Print_Area</vt:lpstr>
      <vt:lpstr>'Part VI-Revenues &amp; Expenses'!Print_Area</vt:lpstr>
      <vt:lpstr>'Part V-Utility Allowances'!Print_Area</vt:lpstr>
      <vt:lpstr>'Part X - Applicant Cert Ltr'!Print_Area</vt:lpstr>
      <vt:lpstr>'Project Narrative'!Print_Area</vt:lpstr>
      <vt:lpstr>'Pt IX B-Super Proj Concept Narr'!Print_Area</vt:lpstr>
      <vt:lpstr>'Part II-Development Team'!Print_Titles</vt:lpstr>
      <vt:lpstr>'Part III B-USDA 538 Loan'!Print_Titles</vt:lpstr>
      <vt:lpstr>'Part III C-HUD Insured Loan'!Print_Titles</vt:lpstr>
      <vt:lpstr>'Part III-Sources of Funds'!Print_Titles</vt:lpstr>
      <vt:lpstr>'Part I-Project Information'!Print_Titles</vt:lpstr>
      <vt:lpstr>'Part IV-Uses of Funds'!Print_Titles</vt:lpstr>
      <vt:lpstr>'Part IX A-Scoring Criteria'!Print_Titles</vt:lpstr>
      <vt:lpstr>'Part VIII-Threshold Criteria'!Print_Titles</vt:lpstr>
      <vt:lpstr>'Part VII-Pro Forma'!Print_Titles</vt:lpstr>
      <vt:lpstr>'Part VI-Revenues &amp; Expenses'!Print_Titles</vt:lpstr>
      <vt:lpstr>'Project Narrative'!Print_Titles</vt:lpstr>
      <vt:lpstr>'Pt IX B-Super Proj Concept Narr'!Print_Titles</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sbarrett</dc:creator>
  <cp:lastModifiedBy>stephen.barrett</cp:lastModifiedBy>
  <cp:lastPrinted>2014-06-05T15:02:17Z</cp:lastPrinted>
  <dcterms:created xsi:type="dcterms:W3CDTF">2005-09-15T20:51:37Z</dcterms:created>
  <dcterms:modified xsi:type="dcterms:W3CDTF">2014-07-24T15:29:14Z</dcterms:modified>
</cp:coreProperties>
</file>